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tic1\Downloads\"/>
    </mc:Choice>
  </mc:AlternateContent>
  <bookViews>
    <workbookView xWindow="0" yWindow="0" windowWidth="19005" windowHeight="11850"/>
  </bookViews>
  <sheets>
    <sheet name="MPV 2026 jan-apr" sheetId="1" r:id="rId1"/>
  </sheets>
  <calcPr calcId="0"/>
</workbook>
</file>

<file path=xl/calcChain.xml><?xml version="1.0" encoding="utf-8"?>
<calcChain xmlns="http://schemas.openxmlformats.org/spreadsheetml/2006/main">
  <c r="R3" i="1" l="1"/>
  <c r="S3" i="1"/>
  <c r="T3" i="1"/>
  <c r="U3" i="1"/>
  <c r="X3" i="1"/>
  <c r="Y3" i="1"/>
  <c r="Z3" i="1"/>
  <c r="AD3" i="1"/>
  <c r="AE3" i="1"/>
  <c r="AH3" i="1"/>
  <c r="AM3" i="1"/>
  <c r="AN3" i="1"/>
  <c r="AO3" i="1"/>
  <c r="AP3" i="1"/>
  <c r="AQ3" i="1"/>
  <c r="R4" i="1"/>
  <c r="S4" i="1"/>
  <c r="T4" i="1"/>
  <c r="U4" i="1"/>
  <c r="X4" i="1"/>
  <c r="Z4" i="1"/>
  <c r="AD4" i="1"/>
  <c r="AE4" i="1"/>
  <c r="AM4" i="1"/>
  <c r="AN4" i="1"/>
  <c r="AO4" i="1"/>
  <c r="AP4" i="1"/>
  <c r="AQ4" i="1"/>
  <c r="R5" i="1"/>
  <c r="S5" i="1"/>
  <c r="T5" i="1"/>
  <c r="U5" i="1"/>
  <c r="X5" i="1"/>
  <c r="Y5" i="1"/>
  <c r="Z5" i="1"/>
  <c r="AA5" i="1"/>
  <c r="AB5" i="1"/>
  <c r="AC5" i="1"/>
  <c r="AD5" i="1"/>
  <c r="AE5" i="1"/>
  <c r="R6" i="1"/>
  <c r="S6" i="1"/>
  <c r="T6" i="1"/>
  <c r="U6" i="1"/>
  <c r="X6" i="1"/>
  <c r="Y6" i="1"/>
  <c r="Z6" i="1"/>
  <c r="AA6" i="1"/>
  <c r="AB6" i="1"/>
  <c r="AC6" i="1"/>
  <c r="AD6" i="1"/>
  <c r="AE6" i="1"/>
  <c r="R7" i="1"/>
  <c r="S7" i="1"/>
  <c r="T7" i="1"/>
  <c r="U7" i="1"/>
  <c r="X7" i="1"/>
  <c r="Y7" i="1"/>
  <c r="Z7" i="1"/>
  <c r="AA7" i="1"/>
  <c r="AB7" i="1"/>
  <c r="AC7" i="1"/>
  <c r="AD7" i="1"/>
  <c r="AE7" i="1"/>
  <c r="R8" i="1"/>
  <c r="S8" i="1"/>
  <c r="T8" i="1"/>
  <c r="U8" i="1"/>
  <c r="X8" i="1"/>
  <c r="Y8" i="1"/>
  <c r="Z8" i="1"/>
  <c r="AA8" i="1"/>
  <c r="AB8" i="1"/>
  <c r="AC8" i="1"/>
  <c r="AD8" i="1"/>
  <c r="AE8" i="1"/>
  <c r="R9" i="1"/>
  <c r="S9" i="1"/>
  <c r="T9" i="1"/>
  <c r="U9" i="1"/>
  <c r="X9" i="1"/>
  <c r="Y9" i="1"/>
  <c r="Z9" i="1"/>
  <c r="AA9" i="1"/>
  <c r="AB9" i="1"/>
  <c r="AC9" i="1"/>
  <c r="AD9" i="1"/>
  <c r="AE9" i="1"/>
  <c r="R10" i="1"/>
  <c r="S10" i="1"/>
  <c r="T10" i="1"/>
  <c r="U10" i="1"/>
  <c r="X10" i="1"/>
  <c r="Y10" i="1"/>
  <c r="Z10" i="1"/>
  <c r="AA10" i="1"/>
  <c r="AB10" i="1"/>
  <c r="AC10" i="1"/>
  <c r="AD10" i="1"/>
  <c r="AE10" i="1"/>
  <c r="R11" i="1"/>
  <c r="S11" i="1"/>
  <c r="T11" i="1"/>
  <c r="U11" i="1"/>
  <c r="V11" i="1"/>
  <c r="X11" i="1"/>
  <c r="Y11" i="1"/>
  <c r="Z11" i="1"/>
  <c r="AA11" i="1"/>
  <c r="AB11" i="1"/>
  <c r="AC11" i="1"/>
  <c r="AD11" i="1"/>
  <c r="AE11" i="1"/>
  <c r="R12" i="1"/>
  <c r="S12" i="1"/>
  <c r="T12" i="1"/>
  <c r="U12" i="1"/>
  <c r="X12" i="1"/>
  <c r="Z12" i="1"/>
  <c r="AC12" i="1"/>
  <c r="AD12" i="1"/>
  <c r="AE12" i="1"/>
  <c r="R13" i="1"/>
  <c r="S13" i="1"/>
  <c r="T13" i="1"/>
  <c r="U13" i="1"/>
  <c r="X13" i="1"/>
  <c r="Z13" i="1"/>
  <c r="AC13" i="1"/>
  <c r="AD13" i="1"/>
  <c r="AE13" i="1"/>
  <c r="R14" i="1"/>
  <c r="S14" i="1"/>
  <c r="T14" i="1"/>
  <c r="U14" i="1"/>
  <c r="X14" i="1"/>
  <c r="Z14" i="1"/>
  <c r="AC14" i="1"/>
  <c r="AD14" i="1"/>
  <c r="AE14" i="1"/>
  <c r="R15" i="1"/>
  <c r="S15" i="1"/>
  <c r="T15" i="1"/>
  <c r="U15" i="1"/>
  <c r="X15" i="1"/>
  <c r="Z15" i="1"/>
  <c r="AC15" i="1"/>
  <c r="AD15" i="1"/>
  <c r="AE15" i="1"/>
  <c r="R16" i="1"/>
  <c r="S16" i="1"/>
  <c r="T16" i="1"/>
  <c r="U16" i="1"/>
  <c r="X16" i="1"/>
  <c r="Y16" i="1"/>
  <c r="Z16" i="1"/>
  <c r="AC16" i="1"/>
  <c r="AD16" i="1"/>
  <c r="AE16" i="1"/>
  <c r="R17" i="1"/>
  <c r="S17" i="1"/>
  <c r="T17" i="1"/>
  <c r="U17" i="1"/>
  <c r="X17" i="1"/>
  <c r="Z17" i="1"/>
  <c r="AA17" i="1"/>
  <c r="AB17" i="1"/>
  <c r="AD17" i="1"/>
  <c r="AE17" i="1"/>
  <c r="R18" i="1"/>
  <c r="S18" i="1"/>
  <c r="T18" i="1"/>
  <c r="U18" i="1"/>
  <c r="V18" i="1"/>
  <c r="X18" i="1"/>
  <c r="Y18" i="1"/>
  <c r="Z18" i="1"/>
  <c r="AD18" i="1"/>
  <c r="AE18" i="1"/>
  <c r="R19" i="1"/>
  <c r="S19" i="1"/>
  <c r="T19" i="1"/>
  <c r="U19" i="1"/>
  <c r="V19" i="1"/>
  <c r="X19" i="1"/>
  <c r="Z19" i="1"/>
  <c r="AA19" i="1"/>
  <c r="AB19" i="1"/>
  <c r="AC19" i="1"/>
  <c r="AD19" i="1"/>
  <c r="AE19" i="1"/>
  <c r="R20" i="1"/>
  <c r="S20" i="1"/>
  <c r="T20" i="1"/>
  <c r="U20" i="1"/>
  <c r="X20" i="1"/>
  <c r="Z20" i="1"/>
  <c r="AA20" i="1"/>
  <c r="AB20" i="1"/>
  <c r="AD20" i="1"/>
  <c r="AE20" i="1"/>
  <c r="R21" i="1"/>
  <c r="S21" i="1"/>
  <c r="T21" i="1"/>
  <c r="U21" i="1"/>
  <c r="X21" i="1"/>
  <c r="Z21" i="1"/>
  <c r="AC21" i="1"/>
  <c r="AD21" i="1"/>
  <c r="AE21" i="1"/>
  <c r="R22" i="1"/>
  <c r="S22" i="1"/>
  <c r="T22" i="1"/>
  <c r="U22" i="1"/>
  <c r="X22" i="1"/>
  <c r="Z22" i="1"/>
  <c r="AA22" i="1"/>
  <c r="AB22" i="1"/>
  <c r="AC22" i="1"/>
  <c r="AD22" i="1"/>
  <c r="AE22" i="1"/>
  <c r="AM22" i="1"/>
  <c r="AN22" i="1"/>
  <c r="AO22" i="1"/>
  <c r="AP22" i="1"/>
  <c r="R23" i="1"/>
  <c r="S23" i="1"/>
  <c r="T23" i="1"/>
  <c r="U23" i="1"/>
  <c r="X23" i="1"/>
  <c r="Z23" i="1"/>
  <c r="AA23" i="1"/>
  <c r="AB23" i="1"/>
  <c r="AD23" i="1"/>
  <c r="AE23" i="1"/>
  <c r="AM23" i="1"/>
  <c r="AN23" i="1"/>
  <c r="AO23" i="1"/>
  <c r="AP23" i="1"/>
  <c r="R24" i="1"/>
  <c r="S24" i="1"/>
  <c r="T24" i="1"/>
  <c r="U24" i="1"/>
  <c r="X24" i="1"/>
  <c r="Z24" i="1"/>
  <c r="AD24" i="1"/>
  <c r="AE24" i="1"/>
  <c r="AM24" i="1"/>
  <c r="AN24" i="1"/>
  <c r="AO24" i="1"/>
  <c r="AP24" i="1"/>
  <c r="R25" i="1"/>
  <c r="S25" i="1"/>
  <c r="T25" i="1"/>
  <c r="U25" i="1"/>
  <c r="X25" i="1"/>
  <c r="Y25" i="1"/>
  <c r="Z25" i="1"/>
  <c r="AD25" i="1"/>
  <c r="AE25" i="1"/>
  <c r="AM25" i="1"/>
  <c r="AN25" i="1"/>
  <c r="AO25" i="1"/>
  <c r="AP25" i="1"/>
  <c r="R26" i="1"/>
  <c r="S26" i="1"/>
  <c r="T26" i="1"/>
  <c r="U26" i="1"/>
  <c r="V26" i="1"/>
  <c r="X26" i="1"/>
  <c r="Y26" i="1"/>
  <c r="Z26" i="1"/>
  <c r="AC26" i="1"/>
  <c r="AD26" i="1"/>
  <c r="AE26" i="1"/>
  <c r="R27" i="1"/>
  <c r="S27" i="1"/>
  <c r="T27" i="1"/>
  <c r="U27" i="1"/>
  <c r="X27" i="1"/>
  <c r="Z27" i="1"/>
  <c r="AD27" i="1"/>
  <c r="AE27" i="1"/>
  <c r="R28" i="1"/>
  <c r="S28" i="1"/>
  <c r="T28" i="1"/>
  <c r="U28" i="1"/>
  <c r="X28" i="1"/>
  <c r="Z28" i="1"/>
  <c r="AD28" i="1"/>
  <c r="AE28" i="1"/>
  <c r="R29" i="1"/>
  <c r="S29" i="1"/>
  <c r="T29" i="1"/>
  <c r="U29" i="1"/>
  <c r="X29" i="1"/>
  <c r="Z29" i="1"/>
  <c r="AD29" i="1"/>
  <c r="AE29" i="1"/>
  <c r="R30" i="1"/>
  <c r="S30" i="1"/>
  <c r="T30" i="1"/>
  <c r="U30" i="1"/>
  <c r="X30" i="1"/>
  <c r="Z30" i="1"/>
  <c r="AD30" i="1"/>
  <c r="AE30" i="1"/>
  <c r="R31" i="1"/>
  <c r="S31" i="1"/>
  <c r="T31" i="1"/>
  <c r="U31" i="1"/>
  <c r="X31" i="1"/>
  <c r="Z31" i="1"/>
  <c r="AD31" i="1"/>
  <c r="AE31" i="1"/>
  <c r="R32" i="1"/>
  <c r="S32" i="1"/>
  <c r="T32" i="1"/>
  <c r="U32" i="1"/>
  <c r="V32" i="1"/>
  <c r="X32" i="1"/>
  <c r="Z32" i="1"/>
  <c r="AD32" i="1"/>
  <c r="AE32" i="1"/>
  <c r="R33" i="1"/>
  <c r="S33" i="1"/>
  <c r="T33" i="1"/>
  <c r="U33" i="1"/>
  <c r="V33" i="1"/>
  <c r="X33" i="1"/>
  <c r="Z33" i="1"/>
  <c r="AB33" i="1"/>
  <c r="AD33" i="1"/>
  <c r="AE33" i="1"/>
  <c r="R34" i="1"/>
  <c r="S34" i="1"/>
  <c r="T34" i="1"/>
  <c r="U34" i="1"/>
  <c r="X34" i="1"/>
  <c r="Z34" i="1"/>
  <c r="AD34" i="1"/>
  <c r="AE34" i="1"/>
  <c r="R35" i="1"/>
  <c r="S35" i="1"/>
  <c r="T35" i="1"/>
  <c r="U35" i="1"/>
  <c r="X35" i="1"/>
  <c r="Y35" i="1"/>
  <c r="Z35" i="1"/>
  <c r="AA35" i="1"/>
  <c r="AB35" i="1"/>
  <c r="AC35" i="1"/>
  <c r="AD35" i="1"/>
  <c r="AE35" i="1"/>
  <c r="AH35" i="1"/>
  <c r="AM35" i="1"/>
  <c r="AN35" i="1"/>
  <c r="AO35" i="1"/>
  <c r="AP35" i="1"/>
  <c r="AR35" i="1"/>
  <c r="BT35" i="1"/>
  <c r="BU35" i="1"/>
  <c r="BX35" i="1"/>
  <c r="CB35" i="1"/>
  <c r="CE35" i="1"/>
  <c r="R36" i="1"/>
  <c r="S36" i="1"/>
  <c r="T36" i="1"/>
  <c r="U36" i="1"/>
  <c r="X36" i="1"/>
  <c r="Z36" i="1"/>
  <c r="AD36" i="1"/>
  <c r="AE36" i="1"/>
  <c r="R37" i="1"/>
  <c r="S37" i="1"/>
  <c r="T37" i="1"/>
  <c r="U37" i="1"/>
  <c r="X37" i="1"/>
  <c r="Z37" i="1"/>
  <c r="AD37" i="1"/>
  <c r="AE37" i="1"/>
  <c r="R38" i="1"/>
  <c r="S38" i="1"/>
  <c r="T38" i="1"/>
  <c r="U38" i="1"/>
  <c r="X38" i="1"/>
  <c r="Z38" i="1"/>
  <c r="AD38" i="1"/>
  <c r="AE38" i="1"/>
  <c r="AM38" i="1"/>
  <c r="AN38" i="1"/>
  <c r="AO38" i="1"/>
  <c r="AP38" i="1"/>
  <c r="AQ38" i="1"/>
  <c r="R39" i="1"/>
  <c r="S39" i="1"/>
  <c r="T39" i="1"/>
  <c r="U39" i="1"/>
  <c r="X39" i="1"/>
  <c r="Z39" i="1"/>
  <c r="AD39" i="1"/>
  <c r="AE39" i="1"/>
  <c r="R40" i="1"/>
  <c r="S40" i="1"/>
  <c r="T40" i="1"/>
  <c r="U40" i="1"/>
  <c r="X40" i="1"/>
  <c r="Z40" i="1"/>
  <c r="AD40" i="1"/>
  <c r="AE40" i="1"/>
  <c r="R41" i="1"/>
  <c r="S41" i="1"/>
  <c r="T41" i="1"/>
  <c r="U41" i="1"/>
  <c r="X41" i="1"/>
  <c r="Z41" i="1"/>
  <c r="AD41" i="1"/>
  <c r="AE41" i="1"/>
  <c r="R42" i="1"/>
  <c r="S42" i="1"/>
  <c r="T42" i="1"/>
  <c r="U42" i="1"/>
  <c r="V42" i="1"/>
  <c r="X42" i="1"/>
  <c r="Y42" i="1"/>
  <c r="Z42" i="1"/>
  <c r="AA42" i="1"/>
  <c r="AB42" i="1"/>
  <c r="AD42" i="1"/>
  <c r="AE42" i="1"/>
  <c r="R43" i="1"/>
  <c r="S43" i="1"/>
  <c r="T43" i="1"/>
  <c r="U43" i="1"/>
  <c r="X43" i="1"/>
  <c r="Y43" i="1"/>
  <c r="Z43" i="1"/>
  <c r="AA43" i="1"/>
  <c r="AB43" i="1"/>
  <c r="AD43" i="1"/>
  <c r="AE43" i="1"/>
  <c r="R44" i="1"/>
  <c r="S44" i="1"/>
  <c r="T44" i="1"/>
  <c r="U44" i="1"/>
  <c r="V44" i="1"/>
  <c r="X44" i="1"/>
  <c r="Y44" i="1"/>
  <c r="Z44" i="1"/>
  <c r="AA44" i="1"/>
  <c r="AB44" i="1"/>
  <c r="AC44" i="1"/>
  <c r="AD44" i="1"/>
  <c r="AE44" i="1"/>
  <c r="R45" i="1"/>
  <c r="S45" i="1"/>
  <c r="T45" i="1"/>
  <c r="U45" i="1"/>
  <c r="X45" i="1"/>
  <c r="Y45" i="1"/>
  <c r="Z45" i="1"/>
  <c r="AD45" i="1"/>
  <c r="AE45" i="1"/>
  <c r="R46" i="1"/>
  <c r="S46" i="1"/>
  <c r="T46" i="1"/>
  <c r="U46" i="1"/>
  <c r="X46" i="1"/>
  <c r="Z46" i="1"/>
  <c r="AC46" i="1"/>
  <c r="AD46" i="1"/>
  <c r="AE46" i="1"/>
  <c r="R47" i="1"/>
  <c r="S47" i="1"/>
  <c r="T47" i="1"/>
  <c r="U47" i="1"/>
  <c r="X47" i="1"/>
  <c r="Y47" i="1"/>
  <c r="Z47" i="1"/>
  <c r="AD47" i="1"/>
  <c r="AE47" i="1"/>
  <c r="R48" i="1"/>
  <c r="S48" i="1"/>
  <c r="T48" i="1"/>
  <c r="U48" i="1"/>
  <c r="V48" i="1"/>
  <c r="X48" i="1"/>
  <c r="Y48" i="1"/>
  <c r="Z48" i="1"/>
  <c r="AC48" i="1"/>
  <c r="AD48" i="1"/>
  <c r="AE48" i="1"/>
  <c r="R49" i="1"/>
  <c r="S49" i="1"/>
  <c r="T49" i="1"/>
  <c r="U49" i="1"/>
  <c r="X49" i="1"/>
  <c r="Z49" i="1"/>
  <c r="AD49" i="1"/>
  <c r="AE49" i="1"/>
  <c r="R50" i="1"/>
  <c r="S50" i="1"/>
  <c r="T50" i="1"/>
  <c r="U50" i="1"/>
  <c r="X50" i="1"/>
  <c r="Z50" i="1"/>
  <c r="AD50" i="1"/>
  <c r="AE50" i="1"/>
  <c r="R51" i="1"/>
  <c r="S51" i="1"/>
  <c r="T51" i="1"/>
  <c r="U51" i="1"/>
  <c r="X51" i="1"/>
  <c r="Y51" i="1"/>
  <c r="Z51" i="1"/>
  <c r="AD51" i="1"/>
  <c r="AE51" i="1"/>
  <c r="R52" i="1"/>
  <c r="S52" i="1"/>
  <c r="T52" i="1"/>
  <c r="U52" i="1"/>
  <c r="X52" i="1"/>
  <c r="Z52" i="1"/>
  <c r="AD52" i="1"/>
  <c r="AE52" i="1"/>
  <c r="R53" i="1"/>
  <c r="S53" i="1"/>
  <c r="T53" i="1"/>
  <c r="U53" i="1"/>
  <c r="X53" i="1"/>
  <c r="Z53" i="1"/>
  <c r="AD53" i="1"/>
  <c r="AE53" i="1"/>
  <c r="R54" i="1"/>
  <c r="S54" i="1"/>
  <c r="T54" i="1"/>
  <c r="U54" i="1"/>
  <c r="X54" i="1"/>
  <c r="Z54" i="1"/>
  <c r="AD54" i="1"/>
  <c r="AE54" i="1"/>
  <c r="R55" i="1"/>
  <c r="S55" i="1"/>
  <c r="T55" i="1"/>
  <c r="U55" i="1"/>
  <c r="X55" i="1"/>
  <c r="Z55" i="1"/>
  <c r="AD55" i="1"/>
  <c r="AE55" i="1"/>
  <c r="R56" i="1"/>
  <c r="S56" i="1"/>
  <c r="T56" i="1"/>
  <c r="U56" i="1"/>
  <c r="X56" i="1"/>
  <c r="Z56" i="1"/>
  <c r="AD56" i="1"/>
  <c r="AE56" i="1"/>
  <c r="R57" i="1"/>
  <c r="S57" i="1"/>
  <c r="T57" i="1"/>
  <c r="U57" i="1"/>
  <c r="X57" i="1"/>
  <c r="Y57" i="1"/>
  <c r="Z57" i="1"/>
  <c r="AA57" i="1"/>
  <c r="AB57" i="1"/>
  <c r="AC57" i="1"/>
  <c r="AD57" i="1"/>
  <c r="AE57" i="1"/>
  <c r="R58" i="1"/>
  <c r="S58" i="1"/>
  <c r="T58" i="1"/>
  <c r="U58" i="1"/>
  <c r="X58" i="1"/>
  <c r="Y58" i="1"/>
  <c r="Z58" i="1"/>
  <c r="AA58" i="1"/>
  <c r="AB58" i="1"/>
  <c r="AC58" i="1"/>
  <c r="AD58" i="1"/>
  <c r="AE58" i="1"/>
  <c r="AM58" i="1"/>
  <c r="AN58" i="1"/>
  <c r="AO58" i="1"/>
  <c r="AP58" i="1"/>
  <c r="R59" i="1"/>
  <c r="S59" i="1"/>
  <c r="T59" i="1"/>
  <c r="U59" i="1"/>
  <c r="X59" i="1"/>
  <c r="Y59" i="1"/>
  <c r="Z59" i="1"/>
  <c r="AA59" i="1"/>
  <c r="AB59" i="1"/>
  <c r="AC59" i="1"/>
  <c r="AD59" i="1"/>
  <c r="AE59" i="1"/>
  <c r="AR59" i="1"/>
  <c r="BR59" i="1"/>
  <c r="BT59" i="1"/>
  <c r="BU59" i="1"/>
  <c r="BX59" i="1"/>
  <c r="CE59" i="1"/>
  <c r="R60" i="1"/>
  <c r="S60" i="1"/>
  <c r="T60" i="1"/>
  <c r="U60" i="1"/>
  <c r="X60" i="1"/>
  <c r="Y60" i="1"/>
  <c r="Z60" i="1"/>
  <c r="AA60" i="1"/>
  <c r="AB60" i="1"/>
  <c r="AC60" i="1"/>
  <c r="AD60" i="1"/>
  <c r="AE60" i="1"/>
  <c r="R61" i="1"/>
  <c r="S61" i="1"/>
  <c r="T61" i="1"/>
  <c r="U61" i="1"/>
  <c r="X61" i="1"/>
  <c r="Z61" i="1"/>
  <c r="AD61" i="1"/>
  <c r="AE61" i="1"/>
  <c r="R62" i="1"/>
  <c r="S62" i="1"/>
  <c r="T62" i="1"/>
  <c r="U62" i="1"/>
  <c r="X62" i="1"/>
  <c r="Z62" i="1"/>
  <c r="AD62" i="1"/>
  <c r="AE62" i="1"/>
  <c r="R63" i="1"/>
  <c r="S63" i="1"/>
  <c r="T63" i="1"/>
  <c r="U63" i="1"/>
  <c r="X63" i="1"/>
  <c r="Z63" i="1"/>
  <c r="AD63" i="1"/>
  <c r="AE63" i="1"/>
  <c r="AR63" i="1"/>
  <c r="BX63" i="1"/>
  <c r="BY63" i="1"/>
  <c r="CB63" i="1"/>
  <c r="CE63" i="1"/>
  <c r="R64" i="1"/>
  <c r="S64" i="1"/>
  <c r="T64" i="1"/>
  <c r="U64" i="1"/>
  <c r="X64" i="1"/>
  <c r="Y64" i="1"/>
  <c r="Z64" i="1"/>
  <c r="AD64" i="1"/>
  <c r="AE64" i="1"/>
  <c r="R65" i="1"/>
  <c r="S65" i="1"/>
  <c r="T65" i="1"/>
  <c r="U65" i="1"/>
  <c r="X65" i="1"/>
  <c r="Y65" i="1"/>
  <c r="Z65" i="1"/>
  <c r="AD65" i="1"/>
  <c r="AE65" i="1"/>
  <c r="R66" i="1"/>
  <c r="S66" i="1"/>
  <c r="T66" i="1"/>
  <c r="U66" i="1"/>
  <c r="V66" i="1"/>
  <c r="X66" i="1"/>
  <c r="Y66" i="1"/>
  <c r="Z66" i="1"/>
  <c r="AD66" i="1"/>
  <c r="AE66" i="1"/>
  <c r="AM66" i="1"/>
  <c r="AN66" i="1"/>
  <c r="AO66" i="1"/>
  <c r="AP66" i="1"/>
  <c r="R67" i="1"/>
  <c r="S67" i="1"/>
  <c r="T67" i="1"/>
  <c r="U67" i="1"/>
  <c r="X67" i="1"/>
  <c r="Y67" i="1"/>
  <c r="Z67" i="1"/>
  <c r="AA67" i="1"/>
  <c r="AB67" i="1"/>
  <c r="AC67" i="1"/>
  <c r="AD67" i="1"/>
  <c r="AE67" i="1"/>
  <c r="R68" i="1"/>
  <c r="S68" i="1"/>
  <c r="T68" i="1"/>
  <c r="U68" i="1"/>
  <c r="X68" i="1"/>
  <c r="Y68" i="1"/>
  <c r="Z68" i="1"/>
  <c r="AA68" i="1"/>
  <c r="AB68" i="1"/>
  <c r="AC68" i="1"/>
  <c r="AD68" i="1"/>
  <c r="AE68" i="1"/>
  <c r="R69" i="1"/>
  <c r="S69" i="1"/>
  <c r="T69" i="1"/>
  <c r="U69" i="1"/>
  <c r="X69" i="1"/>
  <c r="Y69" i="1"/>
  <c r="Z69" i="1"/>
  <c r="AA69" i="1"/>
  <c r="AB69" i="1"/>
  <c r="AC69" i="1"/>
  <c r="AD69" i="1"/>
  <c r="AE69" i="1"/>
  <c r="R70" i="1"/>
  <c r="S70" i="1"/>
  <c r="T70" i="1"/>
  <c r="U70" i="1"/>
  <c r="X70" i="1"/>
  <c r="Z70" i="1"/>
  <c r="AA70" i="1"/>
  <c r="AB70" i="1"/>
  <c r="AD70" i="1"/>
  <c r="AE70" i="1"/>
  <c r="AH70" i="1"/>
  <c r="AM70" i="1"/>
  <c r="AN70" i="1"/>
  <c r="AO70" i="1"/>
  <c r="R71" i="1"/>
  <c r="S71" i="1"/>
  <c r="T71" i="1"/>
  <c r="U71" i="1"/>
  <c r="X71" i="1"/>
  <c r="Y71" i="1"/>
  <c r="Z71" i="1"/>
  <c r="AB71" i="1"/>
  <c r="AD71" i="1"/>
  <c r="AE71" i="1"/>
  <c r="R72" i="1"/>
  <c r="S72" i="1"/>
  <c r="T72" i="1"/>
  <c r="U72" i="1"/>
  <c r="X72" i="1"/>
  <c r="Y72" i="1"/>
  <c r="Z72" i="1"/>
  <c r="AC72" i="1"/>
  <c r="AD72" i="1"/>
  <c r="AE72" i="1"/>
  <c r="R73" i="1"/>
  <c r="S73" i="1"/>
  <c r="T73" i="1"/>
  <c r="U73" i="1"/>
  <c r="X73" i="1"/>
  <c r="Y73" i="1"/>
  <c r="Z73" i="1"/>
  <c r="AD73" i="1"/>
  <c r="AE73" i="1"/>
  <c r="R74" i="1"/>
  <c r="S74" i="1"/>
  <c r="T74" i="1"/>
  <c r="U74" i="1"/>
  <c r="X74" i="1"/>
  <c r="Z74" i="1"/>
  <c r="AD74" i="1"/>
  <c r="AE74" i="1"/>
  <c r="R75" i="1"/>
  <c r="S75" i="1"/>
  <c r="T75" i="1"/>
  <c r="U75" i="1"/>
  <c r="X75" i="1"/>
  <c r="Y75" i="1"/>
  <c r="Z75" i="1"/>
  <c r="AA75" i="1"/>
  <c r="AB75" i="1"/>
  <c r="AD75" i="1"/>
  <c r="AE75" i="1"/>
  <c r="R76" i="1"/>
  <c r="S76" i="1"/>
  <c r="T76" i="1"/>
  <c r="U76" i="1"/>
  <c r="V76" i="1"/>
  <c r="X76" i="1"/>
  <c r="Y76" i="1"/>
  <c r="Z76" i="1"/>
  <c r="AA76" i="1"/>
  <c r="AB76" i="1"/>
  <c r="AD76" i="1"/>
  <c r="AE76" i="1"/>
  <c r="AH76" i="1"/>
  <c r="AM76" i="1"/>
  <c r="AN76" i="1"/>
  <c r="AO76" i="1"/>
  <c r="AP76" i="1"/>
  <c r="R77" i="1"/>
  <c r="S77" i="1"/>
  <c r="T77" i="1"/>
  <c r="U77" i="1"/>
  <c r="X77" i="1"/>
  <c r="Y77" i="1"/>
  <c r="Z77" i="1"/>
  <c r="AA77" i="1"/>
  <c r="AB77" i="1"/>
  <c r="AD77" i="1"/>
  <c r="AE77" i="1"/>
  <c r="R78" i="1"/>
  <c r="S78" i="1"/>
  <c r="T78" i="1"/>
  <c r="U78" i="1"/>
  <c r="X78" i="1"/>
  <c r="Z78" i="1"/>
  <c r="AA78" i="1"/>
  <c r="AB78" i="1"/>
  <c r="AD78" i="1"/>
  <c r="AE78" i="1"/>
  <c r="AR78" i="1"/>
  <c r="R79" i="1"/>
  <c r="S79" i="1"/>
  <c r="T79" i="1"/>
  <c r="U79" i="1"/>
  <c r="X79" i="1"/>
  <c r="Z79" i="1"/>
  <c r="AA79" i="1"/>
  <c r="AB79" i="1"/>
  <c r="AD79" i="1"/>
  <c r="AE79" i="1"/>
  <c r="R80" i="1"/>
  <c r="S80" i="1"/>
  <c r="T80" i="1"/>
  <c r="U80" i="1"/>
  <c r="X80" i="1"/>
  <c r="Z80" i="1"/>
  <c r="AA80" i="1"/>
  <c r="AB80" i="1"/>
  <c r="AD80" i="1"/>
  <c r="AE80" i="1"/>
  <c r="R81" i="1"/>
  <c r="S81" i="1"/>
  <c r="T81" i="1"/>
  <c r="U81" i="1"/>
  <c r="X81" i="1"/>
  <c r="Z81" i="1"/>
  <c r="AD81" i="1"/>
  <c r="AE81" i="1"/>
  <c r="AM81" i="1"/>
  <c r="AN81" i="1"/>
  <c r="AO81" i="1"/>
  <c r="AP81" i="1"/>
  <c r="R82" i="1"/>
  <c r="S82" i="1"/>
  <c r="T82" i="1"/>
  <c r="U82" i="1"/>
  <c r="V82" i="1"/>
  <c r="X82" i="1"/>
  <c r="Z82" i="1"/>
  <c r="AD82" i="1"/>
  <c r="AE82" i="1"/>
  <c r="R83" i="1"/>
  <c r="S83" i="1"/>
  <c r="T83" i="1"/>
  <c r="U83" i="1"/>
  <c r="V83" i="1"/>
  <c r="X83" i="1"/>
  <c r="Z83" i="1"/>
  <c r="AD83" i="1"/>
  <c r="AE83" i="1"/>
  <c r="R84" i="1"/>
  <c r="S84" i="1"/>
  <c r="T84" i="1"/>
  <c r="U84" i="1"/>
  <c r="V84" i="1"/>
  <c r="X84" i="1"/>
  <c r="Z84" i="1"/>
  <c r="AD84" i="1"/>
  <c r="AE84" i="1"/>
  <c r="R85" i="1"/>
  <c r="S85" i="1"/>
  <c r="T85" i="1"/>
  <c r="U85" i="1"/>
  <c r="V85" i="1"/>
  <c r="X85" i="1"/>
  <c r="Y85" i="1"/>
  <c r="Z85" i="1"/>
  <c r="AD85" i="1"/>
  <c r="AE85" i="1"/>
  <c r="R86" i="1"/>
  <c r="S86" i="1"/>
  <c r="T86" i="1"/>
  <c r="U86" i="1"/>
  <c r="X86" i="1"/>
  <c r="Y86" i="1"/>
  <c r="Z86" i="1"/>
  <c r="AD86" i="1"/>
  <c r="AE86" i="1"/>
  <c r="R87" i="1"/>
  <c r="S87" i="1"/>
  <c r="T87" i="1"/>
  <c r="U87" i="1"/>
  <c r="X87" i="1"/>
  <c r="Y87" i="1"/>
  <c r="Z87" i="1"/>
  <c r="AD87" i="1"/>
  <c r="AE87" i="1"/>
  <c r="R88" i="1"/>
  <c r="S88" i="1"/>
  <c r="T88" i="1"/>
  <c r="U88" i="1"/>
  <c r="V88" i="1"/>
  <c r="X88" i="1"/>
  <c r="Y88" i="1"/>
  <c r="Z88" i="1"/>
  <c r="AA88" i="1"/>
  <c r="AB88" i="1"/>
  <c r="AD88" i="1"/>
  <c r="AE88" i="1"/>
  <c r="R89" i="1"/>
  <c r="S89" i="1"/>
  <c r="T89" i="1"/>
  <c r="U89" i="1"/>
  <c r="X89" i="1"/>
  <c r="Z89" i="1"/>
  <c r="AD89" i="1"/>
  <c r="AE89" i="1"/>
  <c r="R90" i="1"/>
  <c r="S90" i="1"/>
  <c r="T90" i="1"/>
  <c r="U90" i="1"/>
  <c r="V90" i="1"/>
  <c r="X90" i="1"/>
  <c r="Y90" i="1"/>
  <c r="Z90" i="1"/>
  <c r="AD90" i="1"/>
  <c r="AE90" i="1"/>
  <c r="R91" i="1"/>
  <c r="S91" i="1"/>
  <c r="T91" i="1"/>
  <c r="U91" i="1"/>
  <c r="V91" i="1"/>
  <c r="X91" i="1"/>
  <c r="Z91" i="1"/>
  <c r="AA91" i="1"/>
  <c r="AB91" i="1"/>
  <c r="AD91" i="1"/>
  <c r="AE91" i="1"/>
  <c r="R92" i="1"/>
  <c r="S92" i="1"/>
  <c r="T92" i="1"/>
  <c r="U92" i="1"/>
  <c r="X92" i="1"/>
  <c r="Z92" i="1"/>
  <c r="AC92" i="1"/>
  <c r="AD92" i="1"/>
  <c r="AE92" i="1"/>
  <c r="AM92" i="1"/>
  <c r="AN92" i="1"/>
  <c r="AO92" i="1"/>
  <c r="AP92" i="1"/>
  <c r="R93" i="1"/>
  <c r="S93" i="1"/>
  <c r="T93" i="1"/>
  <c r="U93" i="1"/>
  <c r="X93" i="1"/>
  <c r="Y93" i="1"/>
  <c r="Z93" i="1"/>
  <c r="AA93" i="1"/>
  <c r="AB93" i="1"/>
  <c r="AC93" i="1"/>
  <c r="AD93" i="1"/>
  <c r="AE93" i="1"/>
  <c r="R94" i="1"/>
  <c r="S94" i="1"/>
  <c r="T94" i="1"/>
  <c r="U94" i="1"/>
  <c r="X94" i="1"/>
  <c r="Z94" i="1"/>
  <c r="AD94" i="1"/>
  <c r="AE94" i="1"/>
  <c r="AR94" i="1"/>
  <c r="BR94" i="1"/>
  <c r="BS94" i="1"/>
  <c r="BT94" i="1"/>
  <c r="BY94" i="1"/>
  <c r="CB94" i="1"/>
  <c r="CE94" i="1"/>
  <c r="R95" i="1"/>
  <c r="S95" i="1"/>
  <c r="T95" i="1"/>
  <c r="U95" i="1"/>
  <c r="W95" i="1"/>
  <c r="X95" i="1"/>
  <c r="Z95" i="1"/>
  <c r="AC95" i="1"/>
  <c r="AD95" i="1"/>
  <c r="AE95" i="1"/>
  <c r="R96" i="1"/>
  <c r="S96" i="1"/>
  <c r="T96" i="1"/>
  <c r="U96" i="1"/>
  <c r="X96" i="1"/>
  <c r="Y96" i="1"/>
  <c r="Z96" i="1"/>
  <c r="AB96" i="1"/>
  <c r="AD96" i="1"/>
  <c r="AE96" i="1"/>
  <c r="R97" i="1"/>
  <c r="S97" i="1"/>
  <c r="T97" i="1"/>
  <c r="U97" i="1"/>
  <c r="X97" i="1"/>
  <c r="Z97" i="1"/>
  <c r="AC97" i="1"/>
  <c r="AD97" i="1"/>
  <c r="AE97" i="1"/>
  <c r="R98" i="1"/>
  <c r="S98" i="1"/>
  <c r="T98" i="1"/>
  <c r="U98" i="1"/>
  <c r="X98" i="1"/>
  <c r="Y98" i="1"/>
  <c r="Z98" i="1"/>
  <c r="AD98" i="1"/>
  <c r="AE98" i="1"/>
  <c r="AH98" i="1"/>
  <c r="AL98" i="1"/>
  <c r="AM98" i="1"/>
  <c r="AN98" i="1"/>
  <c r="AO98" i="1"/>
  <c r="AP98" i="1"/>
  <c r="R99" i="1"/>
  <c r="S99" i="1"/>
  <c r="T99" i="1"/>
  <c r="U99" i="1"/>
  <c r="X99" i="1"/>
  <c r="Z99" i="1"/>
  <c r="AA99" i="1"/>
  <c r="AB99" i="1"/>
  <c r="AD99" i="1"/>
  <c r="AE99" i="1"/>
  <c r="R100" i="1"/>
  <c r="S100" i="1"/>
  <c r="T100" i="1"/>
  <c r="U100" i="1"/>
  <c r="X100" i="1"/>
  <c r="Y100" i="1"/>
  <c r="Z100" i="1"/>
  <c r="AA100" i="1"/>
  <c r="AB100" i="1"/>
  <c r="AC100" i="1"/>
  <c r="AD100" i="1"/>
  <c r="AE100" i="1"/>
  <c r="R101" i="1"/>
  <c r="S101" i="1"/>
  <c r="T101" i="1"/>
  <c r="U101" i="1"/>
  <c r="X101" i="1"/>
  <c r="Z101" i="1"/>
  <c r="AC101" i="1"/>
  <c r="AD101" i="1"/>
  <c r="AE101" i="1"/>
  <c r="R102" i="1"/>
  <c r="S102" i="1"/>
  <c r="T102" i="1"/>
  <c r="U102" i="1"/>
  <c r="V102" i="1"/>
  <c r="X102" i="1"/>
  <c r="Y102" i="1"/>
  <c r="Z102" i="1"/>
  <c r="AA102" i="1"/>
  <c r="AB102" i="1"/>
  <c r="AD102" i="1"/>
  <c r="AE102" i="1"/>
  <c r="R103" i="1"/>
  <c r="S103" i="1"/>
  <c r="T103" i="1"/>
  <c r="U103" i="1"/>
  <c r="X103" i="1"/>
  <c r="Z103" i="1"/>
  <c r="AD103" i="1"/>
  <c r="AE103" i="1"/>
  <c r="R104" i="1"/>
  <c r="S104" i="1"/>
  <c r="T104" i="1"/>
  <c r="U104" i="1"/>
  <c r="X104" i="1"/>
  <c r="Z104" i="1"/>
  <c r="AD104" i="1"/>
  <c r="AE104" i="1"/>
  <c r="AL104" i="1"/>
  <c r="AM104" i="1"/>
  <c r="AN104" i="1"/>
  <c r="AO104" i="1"/>
  <c r="AP104" i="1"/>
  <c r="R105" i="1"/>
  <c r="S105" i="1"/>
  <c r="T105" i="1"/>
  <c r="U105" i="1"/>
  <c r="X105" i="1"/>
  <c r="Y105" i="1"/>
  <c r="Z105" i="1"/>
  <c r="AD105" i="1"/>
  <c r="AE105" i="1"/>
  <c r="R106" i="1"/>
  <c r="S106" i="1"/>
  <c r="T106" i="1"/>
  <c r="U106" i="1"/>
  <c r="X106" i="1"/>
  <c r="Z106" i="1"/>
  <c r="AD106" i="1"/>
  <c r="AE106" i="1"/>
  <c r="AM106" i="1"/>
  <c r="AN106" i="1"/>
  <c r="AO106" i="1"/>
  <c r="AP106" i="1"/>
  <c r="FF106" i="1"/>
  <c r="R107" i="1"/>
  <c r="S107" i="1"/>
  <c r="T107" i="1"/>
  <c r="U107" i="1"/>
  <c r="X107" i="1"/>
  <c r="Z107" i="1"/>
  <c r="AD107" i="1"/>
  <c r="AE107" i="1"/>
  <c r="R108" i="1"/>
  <c r="S108" i="1"/>
  <c r="T108" i="1"/>
  <c r="U108" i="1"/>
  <c r="X108" i="1"/>
  <c r="Z108" i="1"/>
  <c r="AD108" i="1"/>
  <c r="AE108" i="1"/>
  <c r="R109" i="1"/>
  <c r="S109" i="1"/>
  <c r="T109" i="1"/>
  <c r="U109" i="1"/>
  <c r="X109" i="1"/>
  <c r="Z109" i="1"/>
  <c r="AD109" i="1"/>
  <c r="AE109" i="1"/>
  <c r="R110" i="1"/>
  <c r="S110" i="1"/>
  <c r="T110" i="1"/>
  <c r="U110" i="1"/>
  <c r="X110" i="1"/>
  <c r="Y110" i="1"/>
  <c r="Z110" i="1"/>
  <c r="AD110" i="1"/>
  <c r="AE110" i="1"/>
  <c r="R111" i="1"/>
  <c r="S111" i="1"/>
  <c r="T111" i="1"/>
  <c r="U111" i="1"/>
  <c r="V111" i="1"/>
  <c r="X111" i="1"/>
  <c r="Y111" i="1"/>
  <c r="Z111" i="1"/>
  <c r="AA111" i="1"/>
  <c r="AB111" i="1"/>
  <c r="AC111" i="1"/>
  <c r="AD111" i="1"/>
  <c r="AE111" i="1"/>
  <c r="R112" i="1"/>
  <c r="S112" i="1"/>
  <c r="T112" i="1"/>
  <c r="U112" i="1"/>
  <c r="V112" i="1"/>
  <c r="X112" i="1"/>
  <c r="Y112" i="1"/>
  <c r="Z112" i="1"/>
  <c r="AD112" i="1"/>
  <c r="AE112" i="1"/>
  <c r="R113" i="1"/>
  <c r="S113" i="1"/>
  <c r="T113" i="1"/>
  <c r="U113" i="1"/>
  <c r="X113" i="1"/>
  <c r="Z113" i="1"/>
  <c r="AD113" i="1"/>
  <c r="AE113" i="1"/>
  <c r="R114" i="1"/>
  <c r="S114" i="1"/>
  <c r="T114" i="1"/>
  <c r="U114" i="1"/>
  <c r="V114" i="1"/>
  <c r="X114" i="1"/>
  <c r="Y114" i="1"/>
  <c r="Z114" i="1"/>
  <c r="AD114" i="1"/>
  <c r="AE114" i="1"/>
  <c r="AM114" i="1"/>
  <c r="AN114" i="1"/>
  <c r="AO114" i="1"/>
  <c r="AP114" i="1"/>
  <c r="R115" i="1"/>
  <c r="S115" i="1"/>
  <c r="T115" i="1"/>
  <c r="U115" i="1"/>
  <c r="X115" i="1"/>
  <c r="Y115" i="1"/>
  <c r="Z115" i="1"/>
  <c r="AD115" i="1"/>
  <c r="AE115" i="1"/>
  <c r="R116" i="1"/>
  <c r="S116" i="1"/>
  <c r="T116" i="1"/>
  <c r="U116" i="1"/>
  <c r="V116" i="1"/>
  <c r="X116" i="1"/>
  <c r="Y116" i="1"/>
  <c r="Z116" i="1"/>
  <c r="AA116" i="1"/>
  <c r="AB116" i="1"/>
  <c r="AC116" i="1"/>
  <c r="AD116" i="1"/>
  <c r="AE116" i="1"/>
  <c r="R117" i="1"/>
  <c r="S117" i="1"/>
  <c r="T117" i="1"/>
  <c r="U117" i="1"/>
  <c r="X117" i="1"/>
  <c r="Z117" i="1"/>
  <c r="AA117" i="1"/>
  <c r="AB117" i="1"/>
  <c r="AC117" i="1"/>
  <c r="AD117" i="1"/>
  <c r="AE117" i="1"/>
  <c r="R118" i="1"/>
  <c r="S118" i="1"/>
  <c r="T118" i="1"/>
  <c r="U118" i="1"/>
  <c r="X118" i="1"/>
  <c r="Z118" i="1"/>
  <c r="AD118" i="1"/>
  <c r="AE118" i="1"/>
  <c r="R119" i="1"/>
  <c r="S119" i="1"/>
  <c r="T119" i="1"/>
  <c r="U119" i="1"/>
  <c r="V119" i="1"/>
  <c r="X119" i="1"/>
  <c r="Y119" i="1"/>
  <c r="Z119" i="1"/>
  <c r="AD119" i="1"/>
  <c r="AE119" i="1"/>
  <c r="R120" i="1"/>
  <c r="S120" i="1"/>
  <c r="T120" i="1"/>
  <c r="U120" i="1"/>
  <c r="X120" i="1"/>
  <c r="Z120" i="1"/>
  <c r="AC120" i="1"/>
  <c r="AD120" i="1"/>
  <c r="AE120" i="1"/>
  <c r="R121" i="1"/>
  <c r="S121" i="1"/>
  <c r="T121" i="1"/>
  <c r="U121" i="1"/>
  <c r="X121" i="1"/>
  <c r="Y121" i="1"/>
  <c r="Z121" i="1"/>
  <c r="AC121" i="1"/>
  <c r="AD121" i="1"/>
  <c r="AE121" i="1"/>
  <c r="R122" i="1"/>
  <c r="S122" i="1"/>
  <c r="T122" i="1"/>
  <c r="U122" i="1"/>
  <c r="X122" i="1"/>
  <c r="Y122" i="1"/>
  <c r="Z122" i="1"/>
  <c r="AD122" i="1"/>
  <c r="AE122" i="1"/>
  <c r="R123" i="1"/>
  <c r="S123" i="1"/>
  <c r="T123" i="1"/>
  <c r="U123" i="1"/>
  <c r="X123" i="1"/>
  <c r="Y123" i="1"/>
  <c r="Z123" i="1"/>
  <c r="AA123" i="1"/>
  <c r="AB123" i="1"/>
  <c r="AC123" i="1"/>
  <c r="AD123" i="1"/>
  <c r="AE123" i="1"/>
  <c r="R124" i="1"/>
  <c r="S124" i="1"/>
  <c r="T124" i="1"/>
  <c r="U124" i="1"/>
  <c r="V124" i="1"/>
  <c r="X124" i="1"/>
  <c r="Y124" i="1"/>
  <c r="Z124" i="1"/>
  <c r="AB124" i="1"/>
  <c r="AD124" i="1"/>
  <c r="AE124" i="1"/>
  <c r="R125" i="1"/>
  <c r="S125" i="1"/>
  <c r="T125" i="1"/>
  <c r="U125" i="1"/>
  <c r="X125" i="1"/>
  <c r="Z125" i="1"/>
  <c r="AD125" i="1"/>
  <c r="AE125" i="1"/>
  <c r="R126" i="1"/>
  <c r="S126" i="1"/>
  <c r="T126" i="1"/>
  <c r="U126" i="1"/>
  <c r="X126" i="1"/>
  <c r="Y126" i="1"/>
  <c r="Z126" i="1"/>
  <c r="AD126" i="1"/>
  <c r="AE126" i="1"/>
  <c r="R127" i="1"/>
  <c r="S127" i="1"/>
  <c r="T127" i="1"/>
  <c r="U127" i="1"/>
  <c r="V127" i="1"/>
  <c r="X127" i="1"/>
  <c r="Z127" i="1"/>
  <c r="AA127" i="1"/>
  <c r="AB127" i="1"/>
  <c r="AD127" i="1"/>
  <c r="AE127" i="1"/>
  <c r="R128" i="1"/>
  <c r="S128" i="1"/>
  <c r="T128" i="1"/>
  <c r="U128" i="1"/>
  <c r="V128" i="1"/>
  <c r="X128" i="1"/>
  <c r="Y128" i="1"/>
  <c r="Z128" i="1"/>
  <c r="AA128" i="1"/>
  <c r="AB128" i="1"/>
  <c r="AC128" i="1"/>
  <c r="AD128" i="1"/>
  <c r="AE128" i="1"/>
  <c r="R129" i="1"/>
  <c r="S129" i="1"/>
  <c r="T129" i="1"/>
  <c r="U129" i="1"/>
  <c r="V129" i="1"/>
  <c r="X129" i="1"/>
  <c r="Z129" i="1"/>
  <c r="AC129" i="1"/>
  <c r="AD129" i="1"/>
  <c r="AE129" i="1"/>
  <c r="AM129" i="1"/>
  <c r="AN129" i="1"/>
  <c r="AO129" i="1"/>
  <c r="AP129" i="1"/>
  <c r="R130" i="1"/>
  <c r="S130" i="1"/>
  <c r="T130" i="1"/>
  <c r="U130" i="1"/>
  <c r="V130" i="1"/>
  <c r="X130" i="1"/>
  <c r="Y130" i="1"/>
  <c r="Z130" i="1"/>
  <c r="AA130" i="1"/>
  <c r="AB130" i="1"/>
  <c r="AC130" i="1"/>
  <c r="AD130" i="1"/>
  <c r="AE130" i="1"/>
  <c r="AH130" i="1"/>
  <c r="AN130" i="1"/>
  <c r="AO130" i="1"/>
  <c r="AP130" i="1"/>
  <c r="R131" i="1"/>
  <c r="S131" i="1"/>
  <c r="T131" i="1"/>
  <c r="U131" i="1"/>
  <c r="X131" i="1"/>
  <c r="Y131" i="1"/>
  <c r="Z131" i="1"/>
  <c r="AA131" i="1"/>
  <c r="AB131" i="1"/>
  <c r="AC131" i="1"/>
  <c r="AD131" i="1"/>
  <c r="AE131" i="1"/>
  <c r="R132" i="1"/>
  <c r="S132" i="1"/>
  <c r="T132" i="1"/>
  <c r="U132" i="1"/>
  <c r="V132" i="1"/>
  <c r="X132" i="1"/>
  <c r="Y132" i="1"/>
  <c r="Z132" i="1"/>
  <c r="AA132" i="1"/>
  <c r="AB132" i="1"/>
  <c r="AC132" i="1"/>
  <c r="AD132" i="1"/>
  <c r="AE132" i="1"/>
  <c r="AH132" i="1"/>
  <c r="AM132" i="1"/>
  <c r="AN132" i="1"/>
  <c r="AO132" i="1"/>
  <c r="AP132" i="1"/>
  <c r="CC132" i="1"/>
  <c r="R133" i="1"/>
  <c r="S133" i="1"/>
  <c r="T133" i="1"/>
  <c r="U133" i="1"/>
  <c r="V133" i="1"/>
  <c r="X133" i="1"/>
  <c r="Y133" i="1"/>
  <c r="Z133" i="1"/>
  <c r="AA133" i="1"/>
  <c r="AB133" i="1"/>
  <c r="AC133" i="1"/>
  <c r="AD133" i="1"/>
  <c r="AE133" i="1"/>
  <c r="R134" i="1"/>
  <c r="S134" i="1"/>
  <c r="T134" i="1"/>
  <c r="U134" i="1"/>
  <c r="X134" i="1"/>
  <c r="Z134" i="1"/>
  <c r="AD134" i="1"/>
  <c r="AE134" i="1"/>
  <c r="R135" i="1"/>
  <c r="S135" i="1"/>
  <c r="T135" i="1"/>
  <c r="U135" i="1"/>
  <c r="V135" i="1"/>
  <c r="X135" i="1"/>
  <c r="Y135" i="1"/>
  <c r="Z135" i="1"/>
  <c r="AD135" i="1"/>
  <c r="AE135" i="1"/>
  <c r="R136" i="1"/>
  <c r="S136" i="1"/>
  <c r="T136" i="1"/>
  <c r="U136" i="1"/>
  <c r="X136" i="1"/>
  <c r="Y136" i="1"/>
  <c r="Z136" i="1"/>
  <c r="AA136" i="1"/>
  <c r="AB136" i="1"/>
  <c r="AC136" i="1"/>
  <c r="AD136" i="1"/>
  <c r="AE136" i="1"/>
  <c r="R137" i="1"/>
  <c r="S137" i="1"/>
  <c r="T137" i="1"/>
  <c r="U137" i="1"/>
  <c r="V137" i="1"/>
  <c r="X137" i="1"/>
  <c r="Z137" i="1"/>
  <c r="AD137" i="1"/>
  <c r="AE137" i="1"/>
  <c r="AH137" i="1"/>
  <c r="AM137" i="1"/>
  <c r="AN137" i="1"/>
  <c r="AO137" i="1"/>
  <c r="AP137" i="1"/>
  <c r="R138" i="1"/>
  <c r="S138" i="1"/>
  <c r="T138" i="1"/>
  <c r="U138" i="1"/>
  <c r="V138" i="1"/>
  <c r="X138" i="1"/>
  <c r="Y138" i="1"/>
  <c r="Z138" i="1"/>
  <c r="AA138" i="1"/>
  <c r="AB138" i="1"/>
  <c r="AC138" i="1"/>
  <c r="AD138" i="1"/>
  <c r="AE138" i="1"/>
  <c r="AM138" i="1"/>
  <c r="AN138" i="1"/>
  <c r="AO138" i="1"/>
  <c r="AP138" i="1"/>
  <c r="R139" i="1"/>
  <c r="S139" i="1"/>
  <c r="T139" i="1"/>
  <c r="U139" i="1"/>
  <c r="V139" i="1"/>
  <c r="X139" i="1"/>
  <c r="Y139" i="1"/>
  <c r="Z139" i="1"/>
  <c r="AD139" i="1"/>
  <c r="AE139" i="1"/>
  <c r="R140" i="1"/>
  <c r="S140" i="1"/>
  <c r="T140" i="1"/>
  <c r="U140" i="1"/>
  <c r="X140" i="1"/>
  <c r="Z140" i="1"/>
  <c r="AD140" i="1"/>
  <c r="AE140" i="1"/>
  <c r="R141" i="1"/>
  <c r="S141" i="1"/>
  <c r="T141" i="1"/>
  <c r="U141" i="1"/>
  <c r="V141" i="1"/>
  <c r="X141" i="1"/>
  <c r="Y141" i="1"/>
  <c r="Z141" i="1"/>
  <c r="AA141" i="1"/>
  <c r="AB141" i="1"/>
  <c r="AC141" i="1"/>
  <c r="AD141" i="1"/>
  <c r="AE141" i="1"/>
  <c r="AM141" i="1"/>
  <c r="AN141" i="1"/>
  <c r="AO141" i="1"/>
  <c r="R142" i="1"/>
  <c r="S142" i="1"/>
  <c r="T142" i="1"/>
  <c r="U142" i="1"/>
  <c r="V142" i="1"/>
  <c r="X142" i="1"/>
  <c r="Y142" i="1"/>
  <c r="Z142" i="1"/>
  <c r="AA142" i="1"/>
  <c r="AB142" i="1"/>
  <c r="AC142" i="1"/>
  <c r="AD142" i="1"/>
  <c r="AE142" i="1"/>
  <c r="R143" i="1"/>
  <c r="S143" i="1"/>
  <c r="T143" i="1"/>
  <c r="U143" i="1"/>
  <c r="V143" i="1"/>
  <c r="X143" i="1"/>
  <c r="Z143" i="1"/>
  <c r="AC143" i="1"/>
  <c r="AD143" i="1"/>
  <c r="AE143" i="1"/>
  <c r="AM143" i="1"/>
  <c r="AN143" i="1"/>
  <c r="AO143" i="1"/>
  <c r="AP143" i="1"/>
  <c r="AQ143" i="1"/>
  <c r="R144" i="1"/>
  <c r="S144" i="1"/>
  <c r="T144" i="1"/>
  <c r="U144" i="1"/>
  <c r="V144" i="1"/>
  <c r="X144" i="1"/>
  <c r="Z144" i="1"/>
  <c r="AA144" i="1"/>
  <c r="AB144" i="1"/>
  <c r="AD144" i="1"/>
  <c r="AE144" i="1"/>
  <c r="R145" i="1"/>
  <c r="S145" i="1"/>
  <c r="T145" i="1"/>
  <c r="U145" i="1"/>
  <c r="X145" i="1"/>
  <c r="Z145" i="1"/>
  <c r="AA145" i="1"/>
  <c r="AB145" i="1"/>
  <c r="AD145" i="1"/>
  <c r="AE145" i="1"/>
  <c r="R146" i="1"/>
  <c r="S146" i="1"/>
  <c r="T146" i="1"/>
  <c r="U146" i="1"/>
  <c r="X146" i="1"/>
  <c r="Z146" i="1"/>
  <c r="AC146" i="1"/>
  <c r="AD146" i="1"/>
  <c r="AE146" i="1"/>
  <c r="AM146" i="1"/>
  <c r="AN146" i="1"/>
  <c r="AO146" i="1"/>
  <c r="AP146" i="1"/>
  <c r="R147" i="1"/>
  <c r="S147" i="1"/>
  <c r="T147" i="1"/>
  <c r="U147" i="1"/>
  <c r="V147" i="1"/>
  <c r="X147" i="1"/>
  <c r="Y147" i="1"/>
  <c r="Z147" i="1"/>
  <c r="AA147" i="1"/>
  <c r="AB147" i="1"/>
  <c r="AC147" i="1"/>
  <c r="AD147" i="1"/>
  <c r="AE147" i="1"/>
  <c r="AH147" i="1"/>
  <c r="AM147" i="1"/>
  <c r="AN147" i="1"/>
  <c r="AO147" i="1"/>
  <c r="R148" i="1"/>
  <c r="S148" i="1"/>
  <c r="T148" i="1"/>
  <c r="U148" i="1"/>
  <c r="X148" i="1"/>
  <c r="Y148" i="1"/>
  <c r="Z148" i="1"/>
  <c r="AA148" i="1"/>
  <c r="AB148" i="1"/>
  <c r="AC148" i="1"/>
  <c r="AD148" i="1"/>
  <c r="AE148" i="1"/>
  <c r="AH148" i="1"/>
  <c r="AM148" i="1"/>
  <c r="AN148" i="1"/>
  <c r="AO148" i="1"/>
  <c r="R149" i="1"/>
  <c r="S149" i="1"/>
  <c r="T149" i="1"/>
  <c r="U149" i="1"/>
  <c r="X149" i="1"/>
  <c r="Z149" i="1"/>
  <c r="AA149" i="1"/>
  <c r="AB149" i="1"/>
  <c r="AD149" i="1"/>
  <c r="AE149" i="1"/>
  <c r="R150" i="1"/>
  <c r="S150" i="1"/>
  <c r="T150" i="1"/>
  <c r="U150" i="1"/>
  <c r="X150" i="1"/>
  <c r="Z150" i="1"/>
  <c r="AD150" i="1"/>
  <c r="AE150" i="1"/>
  <c r="R151" i="1"/>
  <c r="S151" i="1"/>
  <c r="T151" i="1"/>
  <c r="U151" i="1"/>
  <c r="V151" i="1"/>
  <c r="X151" i="1"/>
  <c r="Z151" i="1"/>
  <c r="AA151" i="1"/>
  <c r="AB151" i="1"/>
  <c r="AD151" i="1"/>
  <c r="AE151" i="1"/>
  <c r="AO151" i="1"/>
  <c r="R152" i="1"/>
  <c r="S152" i="1"/>
  <c r="T152" i="1"/>
  <c r="U152" i="1"/>
  <c r="X152" i="1"/>
  <c r="Y152" i="1"/>
  <c r="Z152" i="1"/>
  <c r="AA152" i="1"/>
  <c r="AB152" i="1"/>
  <c r="AD152" i="1"/>
  <c r="AE152" i="1"/>
  <c r="AM152" i="1"/>
  <c r="AN152" i="1"/>
  <c r="AO152" i="1"/>
  <c r="R153" i="1"/>
  <c r="S153" i="1"/>
  <c r="T153" i="1"/>
  <c r="U153" i="1"/>
  <c r="X153" i="1"/>
  <c r="Z153" i="1"/>
  <c r="AC153" i="1"/>
  <c r="AD153" i="1"/>
  <c r="AE153" i="1"/>
  <c r="AM153" i="1"/>
  <c r="AN153" i="1"/>
  <c r="AO153" i="1"/>
  <c r="AP153" i="1"/>
  <c r="R154" i="1"/>
  <c r="S154" i="1"/>
  <c r="T154" i="1"/>
  <c r="U154" i="1"/>
  <c r="V154" i="1"/>
  <c r="X154" i="1"/>
  <c r="Z154" i="1"/>
  <c r="AA154" i="1"/>
  <c r="AB154" i="1"/>
  <c r="AD154" i="1"/>
  <c r="AE154" i="1"/>
  <c r="R155" i="1"/>
  <c r="S155" i="1"/>
  <c r="T155" i="1"/>
  <c r="U155" i="1"/>
  <c r="V155" i="1"/>
  <c r="X155" i="1"/>
  <c r="Z155" i="1"/>
  <c r="AD155" i="1"/>
  <c r="AE155" i="1"/>
  <c r="R156" i="1"/>
  <c r="S156" i="1"/>
  <c r="T156" i="1"/>
  <c r="U156" i="1"/>
  <c r="V156" i="1"/>
  <c r="X156" i="1"/>
  <c r="Y156" i="1"/>
  <c r="Z156" i="1"/>
  <c r="AD156" i="1"/>
  <c r="AE156" i="1"/>
  <c r="AM156" i="1"/>
  <c r="AN156" i="1"/>
  <c r="AO156" i="1"/>
  <c r="AP156" i="1"/>
  <c r="R157" i="1"/>
  <c r="S157" i="1"/>
  <c r="T157" i="1"/>
  <c r="U157" i="1"/>
  <c r="X157" i="1"/>
  <c r="Z157" i="1"/>
  <c r="AD157" i="1"/>
  <c r="AE157" i="1"/>
  <c r="R158" i="1"/>
  <c r="S158" i="1"/>
  <c r="T158" i="1"/>
  <c r="U158" i="1"/>
  <c r="V158" i="1"/>
  <c r="X158" i="1"/>
  <c r="Z158" i="1"/>
  <c r="AD158" i="1"/>
  <c r="AE158" i="1"/>
  <c r="R159" i="1"/>
  <c r="S159" i="1"/>
  <c r="T159" i="1"/>
  <c r="U159" i="1"/>
  <c r="V159" i="1"/>
  <c r="X159" i="1"/>
  <c r="Y159" i="1"/>
  <c r="Z159" i="1"/>
  <c r="AD159" i="1"/>
  <c r="AE159" i="1"/>
  <c r="R160" i="1"/>
  <c r="S160" i="1"/>
  <c r="T160" i="1"/>
  <c r="U160" i="1"/>
  <c r="X160" i="1"/>
  <c r="Z160" i="1"/>
  <c r="AD160" i="1"/>
  <c r="AE160" i="1"/>
  <c r="R161" i="1"/>
  <c r="S161" i="1"/>
  <c r="T161" i="1"/>
  <c r="U161" i="1"/>
  <c r="V161" i="1"/>
  <c r="X161" i="1"/>
  <c r="Z161" i="1"/>
  <c r="AC161" i="1"/>
  <c r="AD161" i="1"/>
  <c r="AE161" i="1"/>
  <c r="R162" i="1"/>
  <c r="S162" i="1"/>
  <c r="T162" i="1"/>
  <c r="U162" i="1"/>
  <c r="V162" i="1"/>
  <c r="X162" i="1"/>
  <c r="Y162" i="1"/>
  <c r="Z162" i="1"/>
  <c r="AA162" i="1"/>
  <c r="AB162" i="1"/>
  <c r="AC162" i="1"/>
  <c r="AD162" i="1"/>
  <c r="AE162" i="1"/>
  <c r="AH162" i="1"/>
  <c r="AM162" i="1"/>
  <c r="AN162" i="1"/>
  <c r="AO162" i="1"/>
  <c r="AP162" i="1"/>
  <c r="R163" i="1"/>
  <c r="S163" i="1"/>
  <c r="T163" i="1"/>
  <c r="U163" i="1"/>
  <c r="W163" i="1"/>
  <c r="X163" i="1"/>
  <c r="Z163" i="1"/>
  <c r="AD163" i="1"/>
  <c r="AE163" i="1"/>
  <c r="R164" i="1"/>
  <c r="S164" i="1"/>
  <c r="T164" i="1"/>
  <c r="U164" i="1"/>
  <c r="X164" i="1"/>
  <c r="Y164" i="1"/>
  <c r="Z164" i="1"/>
  <c r="AA164" i="1"/>
  <c r="AB164" i="1"/>
  <c r="AC164" i="1"/>
  <c r="AD164" i="1"/>
  <c r="AE164" i="1"/>
  <c r="CC164" i="1"/>
  <c r="R165" i="1"/>
  <c r="S165" i="1"/>
  <c r="T165" i="1"/>
  <c r="U165" i="1"/>
  <c r="V165" i="1"/>
  <c r="X165" i="1"/>
  <c r="Y165" i="1"/>
  <c r="Z165" i="1"/>
  <c r="AA165" i="1"/>
  <c r="AB165" i="1"/>
  <c r="AD165" i="1"/>
  <c r="AE165" i="1"/>
  <c r="AH165" i="1"/>
  <c r="AM165" i="1"/>
  <c r="AN165" i="1"/>
  <c r="AO165" i="1"/>
  <c r="AP165" i="1"/>
  <c r="R166" i="1"/>
  <c r="S166" i="1"/>
  <c r="T166" i="1"/>
  <c r="U166" i="1"/>
  <c r="X166" i="1"/>
  <c r="Y166" i="1"/>
  <c r="Z166" i="1"/>
  <c r="AA166" i="1"/>
  <c r="AB166" i="1"/>
  <c r="AC166" i="1"/>
  <c r="AD166" i="1"/>
  <c r="AE166" i="1"/>
  <c r="R167" i="1"/>
  <c r="S167" i="1"/>
  <c r="T167" i="1"/>
  <c r="U167" i="1"/>
  <c r="V167" i="1"/>
  <c r="X167" i="1"/>
  <c r="Y167" i="1"/>
  <c r="Z167" i="1"/>
  <c r="AA167" i="1"/>
  <c r="AB167" i="1"/>
  <c r="AC167" i="1"/>
  <c r="AD167" i="1"/>
  <c r="AE167" i="1"/>
  <c r="R168" i="1"/>
  <c r="S168" i="1"/>
  <c r="T168" i="1"/>
  <c r="U168" i="1"/>
  <c r="V168" i="1"/>
  <c r="X168" i="1"/>
  <c r="Y168" i="1"/>
  <c r="Z168" i="1"/>
  <c r="AD168" i="1"/>
  <c r="AE168" i="1"/>
  <c r="AM168" i="1"/>
  <c r="AN168" i="1"/>
  <c r="AO168" i="1"/>
  <c r="AP168" i="1"/>
  <c r="R169" i="1"/>
  <c r="S169" i="1"/>
  <c r="T169" i="1"/>
  <c r="U169" i="1"/>
  <c r="V169" i="1"/>
  <c r="X169" i="1"/>
  <c r="Z169" i="1"/>
  <c r="AC169" i="1"/>
  <c r="AD169" i="1"/>
  <c r="AE169" i="1"/>
  <c r="R170" i="1"/>
  <c r="S170" i="1"/>
  <c r="T170" i="1"/>
  <c r="U170" i="1"/>
  <c r="V170" i="1"/>
  <c r="X170" i="1"/>
  <c r="Z170" i="1"/>
  <c r="AD170" i="1"/>
  <c r="AE170" i="1"/>
  <c r="AM170" i="1"/>
  <c r="AN170" i="1"/>
  <c r="AO170" i="1"/>
  <c r="AP170" i="1"/>
  <c r="R171" i="1"/>
  <c r="S171" i="1"/>
  <c r="T171" i="1"/>
  <c r="U171" i="1"/>
  <c r="V171" i="1"/>
  <c r="X171" i="1"/>
  <c r="Z171" i="1"/>
  <c r="AD171" i="1"/>
  <c r="AE171" i="1"/>
  <c r="R172" i="1"/>
  <c r="S172" i="1"/>
  <c r="T172" i="1"/>
  <c r="U172" i="1"/>
  <c r="X172" i="1"/>
  <c r="Y172" i="1"/>
  <c r="Z172" i="1"/>
  <c r="AA172" i="1"/>
  <c r="AB172" i="1"/>
  <c r="AD172" i="1"/>
  <c r="AE172" i="1"/>
  <c r="R173" i="1"/>
  <c r="S173" i="1"/>
  <c r="T173" i="1"/>
  <c r="U173" i="1"/>
  <c r="V173" i="1"/>
  <c r="X173" i="1"/>
  <c r="Z173" i="1"/>
  <c r="AD173" i="1"/>
  <c r="AE173" i="1"/>
  <c r="R174" i="1"/>
  <c r="S174" i="1"/>
  <c r="T174" i="1"/>
  <c r="U174" i="1"/>
  <c r="X174" i="1"/>
  <c r="Y174" i="1"/>
  <c r="Z174" i="1"/>
  <c r="AD174" i="1"/>
  <c r="AE174" i="1"/>
  <c r="R175" i="1"/>
  <c r="S175" i="1"/>
  <c r="T175" i="1"/>
  <c r="U175" i="1"/>
  <c r="X175" i="1"/>
  <c r="Y175" i="1"/>
  <c r="Z175" i="1"/>
  <c r="AD175" i="1"/>
  <c r="AE175" i="1"/>
  <c r="R176" i="1"/>
  <c r="S176" i="1"/>
  <c r="T176" i="1"/>
  <c r="U176" i="1"/>
  <c r="V176" i="1"/>
  <c r="X176" i="1"/>
  <c r="Y176" i="1"/>
  <c r="Z176" i="1"/>
  <c r="AB176" i="1"/>
  <c r="AD176" i="1"/>
  <c r="AE176" i="1"/>
  <c r="R177" i="1"/>
  <c r="S177" i="1"/>
  <c r="T177" i="1"/>
  <c r="U177" i="1"/>
  <c r="X177" i="1"/>
  <c r="Y177" i="1"/>
  <c r="Z177" i="1"/>
  <c r="AD177" i="1"/>
  <c r="AE177" i="1"/>
  <c r="AM177" i="1"/>
  <c r="AN177" i="1"/>
  <c r="AO177" i="1"/>
  <c r="AP177" i="1"/>
  <c r="CZ177" i="1"/>
  <c r="EC177" i="1"/>
  <c r="R178" i="1"/>
  <c r="S178" i="1"/>
  <c r="T178" i="1"/>
  <c r="U178" i="1"/>
  <c r="X178" i="1"/>
  <c r="Y178" i="1"/>
  <c r="Z178" i="1"/>
  <c r="AA178" i="1"/>
  <c r="AB178" i="1"/>
  <c r="AC178" i="1"/>
  <c r="AD178" i="1"/>
  <c r="AE178" i="1"/>
  <c r="AH178" i="1"/>
  <c r="AM178" i="1"/>
  <c r="AN178" i="1"/>
  <c r="AO178" i="1"/>
  <c r="AP178" i="1"/>
  <c r="R179" i="1"/>
  <c r="S179" i="1"/>
  <c r="T179" i="1"/>
  <c r="U179" i="1"/>
  <c r="X179" i="1"/>
  <c r="Z179" i="1"/>
  <c r="AA179" i="1"/>
  <c r="AB179" i="1"/>
  <c r="AC179" i="1"/>
  <c r="AD179" i="1"/>
  <c r="AE179" i="1"/>
  <c r="AM179" i="1"/>
  <c r="AN179" i="1"/>
  <c r="AO179" i="1"/>
  <c r="AP179" i="1"/>
  <c r="R180" i="1"/>
  <c r="S180" i="1"/>
  <c r="T180" i="1"/>
  <c r="U180" i="1"/>
  <c r="X180" i="1"/>
  <c r="Z180" i="1"/>
  <c r="AA180" i="1"/>
  <c r="AB180" i="1"/>
  <c r="AD180" i="1"/>
  <c r="AE180" i="1"/>
  <c r="AM180" i="1"/>
  <c r="AN180" i="1"/>
  <c r="AO180" i="1"/>
  <c r="R181" i="1"/>
  <c r="S181" i="1"/>
  <c r="T181" i="1"/>
  <c r="U181" i="1"/>
  <c r="V181" i="1"/>
  <c r="X181" i="1"/>
  <c r="Z181" i="1"/>
  <c r="AD181" i="1"/>
  <c r="AE181" i="1"/>
  <c r="R182" i="1"/>
  <c r="S182" i="1"/>
  <c r="T182" i="1"/>
  <c r="U182" i="1"/>
  <c r="V182" i="1"/>
  <c r="X182" i="1"/>
  <c r="Y182" i="1"/>
  <c r="Z182" i="1"/>
  <c r="AA182" i="1"/>
  <c r="AB182" i="1"/>
  <c r="AC182" i="1"/>
  <c r="AD182" i="1"/>
  <c r="AE182" i="1"/>
  <c r="R183" i="1"/>
  <c r="S183" i="1"/>
  <c r="T183" i="1"/>
  <c r="U183" i="1"/>
  <c r="V183" i="1"/>
  <c r="X183" i="1"/>
  <c r="Z183" i="1"/>
  <c r="AC183" i="1"/>
  <c r="AD183" i="1"/>
  <c r="AE183" i="1"/>
  <c r="R184" i="1"/>
  <c r="S184" i="1"/>
  <c r="T184" i="1"/>
  <c r="U184" i="1"/>
  <c r="X184" i="1"/>
  <c r="Z184" i="1"/>
  <c r="AD184" i="1"/>
  <c r="AE184" i="1"/>
  <c r="R185" i="1"/>
  <c r="S185" i="1"/>
  <c r="T185" i="1"/>
  <c r="U185" i="1"/>
  <c r="V185" i="1"/>
  <c r="X185" i="1"/>
  <c r="Y185" i="1"/>
  <c r="Z185" i="1"/>
  <c r="AA185" i="1"/>
  <c r="AB185" i="1"/>
  <c r="AD185" i="1"/>
  <c r="AE185" i="1"/>
  <c r="R186" i="1"/>
  <c r="S186" i="1"/>
  <c r="T186" i="1"/>
  <c r="U186" i="1"/>
  <c r="X186" i="1"/>
  <c r="Y186" i="1"/>
  <c r="Z186" i="1"/>
  <c r="AA186" i="1"/>
  <c r="AB186" i="1"/>
  <c r="AC186" i="1"/>
  <c r="AD186" i="1"/>
  <c r="AE186" i="1"/>
  <c r="AH186" i="1"/>
  <c r="AM186" i="1"/>
  <c r="AN186" i="1"/>
  <c r="AO186" i="1"/>
  <c r="AP186" i="1"/>
  <c r="R187" i="1"/>
  <c r="S187" i="1"/>
  <c r="T187" i="1"/>
  <c r="U187" i="1"/>
  <c r="V187" i="1"/>
  <c r="X187" i="1"/>
  <c r="Y187" i="1"/>
  <c r="Z187" i="1"/>
  <c r="AD187" i="1"/>
  <c r="AE187" i="1"/>
  <c r="R188" i="1"/>
  <c r="S188" i="1"/>
  <c r="T188" i="1"/>
  <c r="U188" i="1"/>
  <c r="X188" i="1"/>
  <c r="Y188" i="1"/>
  <c r="Z188" i="1"/>
  <c r="AD188" i="1"/>
  <c r="AE188" i="1"/>
  <c r="AM188" i="1"/>
  <c r="AN188" i="1"/>
  <c r="AO188" i="1"/>
  <c r="AP188" i="1"/>
  <c r="AQ188" i="1"/>
  <c r="R189" i="1"/>
  <c r="S189" i="1"/>
  <c r="T189" i="1"/>
  <c r="U189" i="1"/>
  <c r="V189" i="1"/>
  <c r="X189" i="1"/>
  <c r="Y189" i="1"/>
  <c r="Z189" i="1"/>
  <c r="AD189" i="1"/>
  <c r="AE189" i="1"/>
  <c r="R190" i="1"/>
  <c r="S190" i="1"/>
  <c r="T190" i="1"/>
  <c r="U190" i="1"/>
  <c r="X190" i="1"/>
  <c r="Z190" i="1"/>
  <c r="AA190" i="1"/>
  <c r="AB190" i="1"/>
  <c r="AD190" i="1"/>
  <c r="AE190" i="1"/>
  <c r="R191" i="1"/>
  <c r="S191" i="1"/>
  <c r="T191" i="1"/>
  <c r="U191" i="1"/>
  <c r="W191" i="1"/>
  <c r="X191" i="1"/>
  <c r="Z191" i="1"/>
  <c r="AD191" i="1"/>
  <c r="AE191" i="1"/>
  <c r="R192" i="1"/>
  <c r="S192" i="1"/>
  <c r="T192" i="1"/>
  <c r="U192" i="1"/>
  <c r="V192" i="1"/>
  <c r="X192" i="1"/>
  <c r="Z192" i="1"/>
  <c r="AD192" i="1"/>
  <c r="AE192" i="1"/>
  <c r="R193" i="1"/>
  <c r="S193" i="1"/>
  <c r="T193" i="1"/>
  <c r="U193" i="1"/>
  <c r="V193" i="1"/>
  <c r="X193" i="1"/>
  <c r="Z193" i="1"/>
  <c r="AA193" i="1"/>
  <c r="AB193" i="1"/>
  <c r="AD193" i="1"/>
  <c r="AE193" i="1"/>
  <c r="R194" i="1"/>
  <c r="S194" i="1"/>
  <c r="T194" i="1"/>
  <c r="U194" i="1"/>
  <c r="V194" i="1"/>
  <c r="X194" i="1"/>
  <c r="Y194" i="1"/>
  <c r="Z194" i="1"/>
  <c r="AD194" i="1"/>
  <c r="AE194" i="1"/>
  <c r="R195" i="1"/>
  <c r="S195" i="1"/>
  <c r="T195" i="1"/>
  <c r="U195" i="1"/>
  <c r="V195" i="1"/>
  <c r="X195" i="1"/>
  <c r="Y195" i="1"/>
  <c r="Z195" i="1"/>
  <c r="AD195" i="1"/>
  <c r="AE195" i="1"/>
  <c r="R196" i="1"/>
  <c r="S196" i="1"/>
  <c r="T196" i="1"/>
  <c r="U196" i="1"/>
  <c r="X196" i="1"/>
  <c r="Z196" i="1"/>
  <c r="AD196" i="1"/>
  <c r="AE196" i="1"/>
  <c r="R197" i="1"/>
  <c r="S197" i="1"/>
  <c r="T197" i="1"/>
  <c r="U197" i="1"/>
  <c r="X197" i="1"/>
  <c r="Y197" i="1"/>
  <c r="Z197" i="1"/>
  <c r="AA197" i="1"/>
  <c r="AB197" i="1"/>
  <c r="AC197" i="1"/>
  <c r="AD197" i="1"/>
  <c r="AE197" i="1"/>
  <c r="R198" i="1"/>
  <c r="S198" i="1"/>
  <c r="T198" i="1"/>
  <c r="U198" i="1"/>
  <c r="X198" i="1"/>
  <c r="Y198" i="1"/>
  <c r="Z198" i="1"/>
  <c r="AA198" i="1"/>
  <c r="AB198" i="1"/>
  <c r="AC198" i="1"/>
  <c r="AD198" i="1"/>
  <c r="AE198" i="1"/>
  <c r="AM198" i="1"/>
  <c r="AN198" i="1"/>
  <c r="AO198" i="1"/>
  <c r="R199" i="1"/>
  <c r="S199" i="1"/>
  <c r="T199" i="1"/>
  <c r="U199" i="1"/>
  <c r="V199" i="1"/>
  <c r="X199" i="1"/>
  <c r="Z199" i="1"/>
  <c r="AA199" i="1"/>
  <c r="AB199" i="1"/>
  <c r="AC199" i="1"/>
  <c r="AD199" i="1"/>
  <c r="AE199" i="1"/>
  <c r="AM199" i="1"/>
  <c r="AO199" i="1"/>
  <c r="AP199" i="1"/>
  <c r="R200" i="1"/>
  <c r="S200" i="1"/>
  <c r="T200" i="1"/>
  <c r="U200" i="1"/>
  <c r="V200" i="1"/>
  <c r="X200" i="1"/>
  <c r="Y200" i="1"/>
  <c r="Z200" i="1"/>
  <c r="AA200" i="1"/>
  <c r="AB200" i="1"/>
  <c r="AC200" i="1"/>
  <c r="AD200" i="1"/>
  <c r="AE200" i="1"/>
  <c r="R201" i="1"/>
  <c r="S201" i="1"/>
  <c r="T201" i="1"/>
  <c r="U201" i="1"/>
  <c r="X201" i="1"/>
  <c r="Z201" i="1"/>
  <c r="AD201" i="1"/>
  <c r="AE201" i="1"/>
  <c r="AM201" i="1"/>
  <c r="AN201" i="1"/>
  <c r="AO201" i="1"/>
  <c r="AP201" i="1"/>
  <c r="R202" i="1"/>
  <c r="S202" i="1"/>
  <c r="T202" i="1"/>
  <c r="U202" i="1"/>
  <c r="V202" i="1"/>
  <c r="X202" i="1"/>
  <c r="Y202" i="1"/>
  <c r="Z202" i="1"/>
  <c r="AD202" i="1"/>
  <c r="AE202" i="1"/>
  <c r="R203" i="1"/>
  <c r="S203" i="1"/>
  <c r="T203" i="1"/>
  <c r="U203" i="1"/>
  <c r="X203" i="1"/>
  <c r="Y203" i="1"/>
  <c r="Z203" i="1"/>
  <c r="AA203" i="1"/>
  <c r="AB203" i="1"/>
  <c r="AD203" i="1"/>
  <c r="AE203" i="1"/>
  <c r="R204" i="1"/>
  <c r="S204" i="1"/>
  <c r="T204" i="1"/>
  <c r="U204" i="1"/>
  <c r="V204" i="1"/>
  <c r="X204" i="1"/>
  <c r="Y204" i="1"/>
  <c r="Z204" i="1"/>
  <c r="AC204" i="1"/>
  <c r="AD204" i="1"/>
  <c r="AE204" i="1"/>
  <c r="R205" i="1"/>
  <c r="S205" i="1"/>
  <c r="T205" i="1"/>
  <c r="U205" i="1"/>
  <c r="X205" i="1"/>
  <c r="Z205" i="1"/>
  <c r="AD205" i="1"/>
  <c r="AE205" i="1"/>
  <c r="AM205" i="1"/>
  <c r="AN205" i="1"/>
  <c r="AO205" i="1"/>
  <c r="AP205" i="1"/>
  <c r="R206" i="1"/>
  <c r="S206" i="1"/>
  <c r="T206" i="1"/>
  <c r="U206" i="1"/>
  <c r="X206" i="1"/>
  <c r="Z206" i="1"/>
  <c r="AC206" i="1"/>
  <c r="AD206" i="1"/>
  <c r="AE206" i="1"/>
  <c r="R207" i="1"/>
  <c r="S207" i="1"/>
  <c r="T207" i="1"/>
  <c r="U207" i="1"/>
  <c r="X207" i="1"/>
  <c r="Z207" i="1"/>
  <c r="AC207" i="1"/>
  <c r="AD207" i="1"/>
  <c r="AE207" i="1"/>
  <c r="R208" i="1"/>
  <c r="S208" i="1"/>
  <c r="T208" i="1"/>
  <c r="U208" i="1"/>
  <c r="V208" i="1"/>
  <c r="X208" i="1"/>
  <c r="Y208" i="1"/>
  <c r="Z208" i="1"/>
  <c r="AA208" i="1"/>
  <c r="AB208" i="1"/>
  <c r="AD208" i="1"/>
  <c r="AE208" i="1"/>
  <c r="R209" i="1"/>
  <c r="S209" i="1"/>
  <c r="T209" i="1"/>
  <c r="U209" i="1"/>
  <c r="V209" i="1"/>
  <c r="X209" i="1"/>
  <c r="Y209" i="1"/>
  <c r="Z209" i="1"/>
  <c r="AD209" i="1"/>
  <c r="AE209" i="1"/>
  <c r="AM209" i="1"/>
  <c r="AN209" i="1"/>
  <c r="AO209" i="1"/>
  <c r="AP209" i="1"/>
  <c r="R210" i="1"/>
  <c r="S210" i="1"/>
  <c r="T210" i="1"/>
  <c r="U210" i="1"/>
  <c r="X210" i="1"/>
  <c r="Y210" i="1"/>
  <c r="Z210" i="1"/>
  <c r="AA210" i="1"/>
  <c r="AB210" i="1"/>
  <c r="AD210" i="1"/>
  <c r="AE210" i="1"/>
  <c r="R211" i="1"/>
  <c r="S211" i="1"/>
  <c r="T211" i="1"/>
  <c r="U211" i="1"/>
  <c r="X211" i="1"/>
  <c r="Z211" i="1"/>
  <c r="AA211" i="1"/>
  <c r="AB211" i="1"/>
  <c r="AC211" i="1"/>
  <c r="AD211" i="1"/>
  <c r="AE211" i="1"/>
  <c r="AM211" i="1"/>
  <c r="AN211" i="1"/>
  <c r="AO211" i="1"/>
  <c r="R212" i="1"/>
  <c r="S212" i="1"/>
  <c r="T212" i="1"/>
  <c r="U212" i="1"/>
  <c r="X212" i="1"/>
  <c r="Y212" i="1"/>
  <c r="Z212" i="1"/>
  <c r="AA212" i="1"/>
  <c r="AB212" i="1"/>
  <c r="AD212" i="1"/>
  <c r="AE212" i="1"/>
  <c r="AM212" i="1"/>
  <c r="AN212" i="1"/>
  <c r="AO212" i="1"/>
  <c r="AP212" i="1"/>
  <c r="R213" i="1"/>
  <c r="S213" i="1"/>
  <c r="T213" i="1"/>
  <c r="U213" i="1"/>
  <c r="X213" i="1"/>
  <c r="Z213" i="1"/>
  <c r="AD213" i="1"/>
  <c r="AE213" i="1"/>
  <c r="R214" i="1"/>
  <c r="S214" i="1"/>
  <c r="T214" i="1"/>
  <c r="U214" i="1"/>
  <c r="X214" i="1"/>
  <c r="Y214" i="1"/>
  <c r="Z214" i="1"/>
  <c r="AD214" i="1"/>
  <c r="AE214" i="1"/>
  <c r="CC214" i="1"/>
  <c r="R215" i="1"/>
  <c r="S215" i="1"/>
  <c r="T215" i="1"/>
  <c r="U215" i="1"/>
  <c r="X215" i="1"/>
  <c r="Y215" i="1"/>
  <c r="Z215" i="1"/>
  <c r="AD215" i="1"/>
  <c r="AE215" i="1"/>
  <c r="AM215" i="1"/>
  <c r="AN215" i="1"/>
  <c r="AP215" i="1"/>
  <c r="AQ215" i="1"/>
  <c r="R216" i="1"/>
  <c r="S216" i="1"/>
  <c r="T216" i="1"/>
  <c r="U216" i="1"/>
  <c r="X216" i="1"/>
  <c r="Z216" i="1"/>
  <c r="AC216" i="1"/>
  <c r="AD216" i="1"/>
  <c r="AE216" i="1"/>
  <c r="R217" i="1"/>
  <c r="S217" i="1"/>
  <c r="T217" i="1"/>
  <c r="U217" i="1"/>
  <c r="X217" i="1"/>
  <c r="Z217" i="1"/>
  <c r="AD217" i="1"/>
  <c r="AE217" i="1"/>
  <c r="R218" i="1"/>
  <c r="S218" i="1"/>
  <c r="T218" i="1"/>
  <c r="U218" i="1"/>
  <c r="X218" i="1"/>
  <c r="Z218" i="1"/>
  <c r="AC218" i="1"/>
  <c r="AD218" i="1"/>
  <c r="AE218" i="1"/>
  <c r="AH218" i="1"/>
  <c r="AM218" i="1"/>
  <c r="AN218" i="1"/>
  <c r="AO218" i="1"/>
  <c r="AP218" i="1"/>
  <c r="R219" i="1"/>
  <c r="S219" i="1"/>
  <c r="T219" i="1"/>
  <c r="U219" i="1"/>
  <c r="W219" i="1"/>
  <c r="X219" i="1"/>
  <c r="Z219" i="1"/>
  <c r="AC219" i="1"/>
  <c r="AD219" i="1"/>
  <c r="AE219" i="1"/>
  <c r="R220" i="1"/>
  <c r="S220" i="1"/>
  <c r="T220" i="1"/>
  <c r="U220" i="1"/>
  <c r="V220" i="1"/>
  <c r="X220" i="1"/>
  <c r="Y220" i="1"/>
  <c r="Z220" i="1"/>
  <c r="AA220" i="1"/>
  <c r="AB220" i="1"/>
  <c r="AC220" i="1"/>
  <c r="AD220" i="1"/>
  <c r="AE220" i="1"/>
  <c r="CC220" i="1"/>
  <c r="R221" i="1"/>
  <c r="S221" i="1"/>
  <c r="T221" i="1"/>
  <c r="U221" i="1"/>
  <c r="V221" i="1"/>
  <c r="X221" i="1"/>
  <c r="Y221" i="1"/>
  <c r="Z221" i="1"/>
  <c r="AA221" i="1"/>
  <c r="AB221" i="1"/>
  <c r="AC221" i="1"/>
  <c r="AD221" i="1"/>
  <c r="AE221" i="1"/>
  <c r="AH221" i="1"/>
  <c r="AM221" i="1"/>
  <c r="AN221" i="1"/>
  <c r="AO221" i="1"/>
  <c r="AP221" i="1"/>
  <c r="CC221" i="1"/>
  <c r="R222" i="1"/>
  <c r="S222" i="1"/>
  <c r="T222" i="1"/>
  <c r="U222" i="1"/>
  <c r="X222" i="1"/>
  <c r="Y222" i="1"/>
  <c r="Z222" i="1"/>
  <c r="AA222" i="1"/>
  <c r="AB222" i="1"/>
  <c r="AC222" i="1"/>
  <c r="AD222" i="1"/>
  <c r="AE222" i="1"/>
  <c r="AH222" i="1"/>
  <c r="AM222" i="1"/>
  <c r="AN222" i="1"/>
  <c r="AO222" i="1"/>
  <c r="AP222" i="1"/>
  <c r="R223" i="1"/>
  <c r="S223" i="1"/>
  <c r="T223" i="1"/>
  <c r="U223" i="1"/>
  <c r="X223" i="1"/>
  <c r="Y223" i="1"/>
  <c r="Z223" i="1"/>
  <c r="AA223" i="1"/>
  <c r="AB223" i="1"/>
  <c r="AC223" i="1"/>
  <c r="AD223" i="1"/>
  <c r="AE223" i="1"/>
  <c r="AH223" i="1"/>
  <c r="AM223" i="1"/>
  <c r="AN223" i="1"/>
  <c r="AO223" i="1"/>
  <c r="AP223" i="1"/>
  <c r="R224" i="1"/>
  <c r="S224" i="1"/>
  <c r="T224" i="1"/>
  <c r="U224" i="1"/>
  <c r="V224" i="1"/>
  <c r="X224" i="1"/>
  <c r="Y224" i="1"/>
  <c r="Z224" i="1"/>
  <c r="AA224" i="1"/>
  <c r="AB224" i="1"/>
  <c r="AC224" i="1"/>
  <c r="AD224" i="1"/>
  <c r="AE224" i="1"/>
  <c r="CC224" i="1"/>
  <c r="R225" i="1"/>
  <c r="S225" i="1"/>
  <c r="T225" i="1"/>
  <c r="U225" i="1"/>
  <c r="V225" i="1"/>
  <c r="X225" i="1"/>
  <c r="Y225" i="1"/>
  <c r="Z225" i="1"/>
  <c r="AA225" i="1"/>
  <c r="AB225" i="1"/>
  <c r="AC225" i="1"/>
  <c r="AD225" i="1"/>
  <c r="AE225" i="1"/>
  <c r="R226" i="1"/>
  <c r="S226" i="1"/>
  <c r="T226" i="1"/>
  <c r="U226" i="1"/>
  <c r="X226" i="1"/>
  <c r="Y226" i="1"/>
  <c r="Z226" i="1"/>
  <c r="AA226" i="1"/>
  <c r="AB226" i="1"/>
  <c r="AC226" i="1"/>
  <c r="AD226" i="1"/>
  <c r="AE226" i="1"/>
  <c r="CC226" i="1"/>
  <c r="R227" i="1"/>
  <c r="S227" i="1"/>
  <c r="T227" i="1"/>
  <c r="U227" i="1"/>
  <c r="V227" i="1"/>
  <c r="X227" i="1"/>
  <c r="Z227" i="1"/>
  <c r="AD227" i="1"/>
  <c r="AE227" i="1"/>
  <c r="AH227" i="1"/>
  <c r="AM227" i="1"/>
  <c r="AN227" i="1"/>
  <c r="AO227" i="1"/>
  <c r="AP227" i="1"/>
  <c r="CC227" i="1"/>
  <c r="R228" i="1"/>
  <c r="S228" i="1"/>
  <c r="T228" i="1"/>
  <c r="U228" i="1"/>
  <c r="V228" i="1"/>
  <c r="X228" i="1"/>
  <c r="Y228" i="1"/>
  <c r="Z228" i="1"/>
  <c r="AC228" i="1"/>
  <c r="AD228" i="1"/>
  <c r="AE228" i="1"/>
  <c r="R229" i="1"/>
  <c r="S229" i="1"/>
  <c r="T229" i="1"/>
  <c r="U229" i="1"/>
  <c r="V229" i="1"/>
  <c r="X229" i="1"/>
  <c r="Y229" i="1"/>
  <c r="Z229" i="1"/>
  <c r="AD229" i="1"/>
  <c r="AE229" i="1"/>
  <c r="AH229" i="1"/>
  <c r="AL229" i="1"/>
  <c r="AM229" i="1"/>
  <c r="AN229" i="1"/>
  <c r="AO229" i="1"/>
  <c r="AP229" i="1"/>
  <c r="R230" i="1"/>
  <c r="S230" i="1"/>
  <c r="T230" i="1"/>
  <c r="U230" i="1"/>
  <c r="X230" i="1"/>
  <c r="Y230" i="1"/>
  <c r="Z230" i="1"/>
  <c r="AD230" i="1"/>
  <c r="AE230" i="1"/>
  <c r="CC230" i="1"/>
  <c r="R231" i="1"/>
  <c r="S231" i="1"/>
  <c r="T231" i="1"/>
  <c r="U231" i="1"/>
  <c r="X231" i="1"/>
  <c r="Y231" i="1"/>
  <c r="Z231" i="1"/>
  <c r="AA231" i="1"/>
  <c r="AB231" i="1"/>
  <c r="AC231" i="1"/>
  <c r="AD231" i="1"/>
  <c r="AE231" i="1"/>
  <c r="AG231" i="1"/>
  <c r="CC231" i="1"/>
  <c r="R232" i="1"/>
  <c r="S232" i="1"/>
  <c r="T232" i="1"/>
  <c r="U232" i="1"/>
  <c r="X232" i="1"/>
  <c r="Z232" i="1"/>
  <c r="AD232" i="1"/>
  <c r="AE232" i="1"/>
  <c r="R233" i="1"/>
  <c r="S233" i="1"/>
  <c r="T233" i="1"/>
  <c r="U233" i="1"/>
  <c r="V233" i="1"/>
  <c r="X233" i="1"/>
  <c r="Z233" i="1"/>
  <c r="AD233" i="1"/>
  <c r="AE233" i="1"/>
  <c r="AM233" i="1"/>
  <c r="AN233" i="1"/>
  <c r="AO233" i="1"/>
  <c r="AP233" i="1"/>
  <c r="R234" i="1"/>
  <c r="S234" i="1"/>
  <c r="T234" i="1"/>
  <c r="U234" i="1"/>
  <c r="X234" i="1"/>
  <c r="Y234" i="1"/>
  <c r="Z234" i="1"/>
  <c r="AA234" i="1"/>
  <c r="AB234" i="1"/>
  <c r="AC234" i="1"/>
  <c r="AD234" i="1"/>
  <c r="AE234" i="1"/>
  <c r="R235" i="1"/>
  <c r="S235" i="1"/>
  <c r="T235" i="1"/>
  <c r="U235" i="1"/>
  <c r="V235" i="1"/>
  <c r="X235" i="1"/>
  <c r="Z235" i="1"/>
  <c r="AC235" i="1"/>
  <c r="AD235" i="1"/>
  <c r="AE235" i="1"/>
  <c r="R236" i="1"/>
  <c r="S236" i="1"/>
  <c r="T236" i="1"/>
  <c r="U236" i="1"/>
  <c r="V236" i="1"/>
  <c r="X236" i="1"/>
  <c r="Y236" i="1"/>
  <c r="Z236" i="1"/>
  <c r="AA236" i="1"/>
  <c r="AB236" i="1"/>
  <c r="AC236" i="1"/>
  <c r="AD236" i="1"/>
  <c r="AE236" i="1"/>
  <c r="R237" i="1"/>
  <c r="S237" i="1"/>
  <c r="T237" i="1"/>
  <c r="U237" i="1"/>
  <c r="V237" i="1"/>
  <c r="X237" i="1"/>
  <c r="Y237" i="1"/>
  <c r="Z237" i="1"/>
  <c r="AA237" i="1"/>
  <c r="AB237" i="1"/>
  <c r="AC237" i="1"/>
  <c r="AD237" i="1"/>
  <c r="AE237" i="1"/>
  <c r="AM237" i="1"/>
  <c r="AN237" i="1"/>
  <c r="AO237" i="1"/>
  <c r="AP237" i="1"/>
  <c r="R238" i="1"/>
  <c r="S238" i="1"/>
  <c r="T238" i="1"/>
  <c r="U238" i="1"/>
  <c r="V238" i="1"/>
  <c r="X238" i="1"/>
  <c r="Z238" i="1"/>
  <c r="AD238" i="1"/>
  <c r="AE238" i="1"/>
  <c r="AM238" i="1"/>
  <c r="AN238" i="1"/>
  <c r="AO238" i="1"/>
  <c r="AP238" i="1"/>
  <c r="R239" i="1"/>
  <c r="S239" i="1"/>
  <c r="T239" i="1"/>
  <c r="U239" i="1"/>
  <c r="V239" i="1"/>
  <c r="X239" i="1"/>
  <c r="Y239" i="1"/>
  <c r="Z239" i="1"/>
  <c r="AD239" i="1"/>
  <c r="AE239" i="1"/>
  <c r="R240" i="1"/>
  <c r="S240" i="1"/>
  <c r="T240" i="1"/>
  <c r="U240" i="1"/>
  <c r="V240" i="1"/>
  <c r="X240" i="1"/>
  <c r="Z240" i="1"/>
  <c r="AD240" i="1"/>
  <c r="AE240" i="1"/>
  <c r="AH240" i="1"/>
  <c r="AM240" i="1"/>
  <c r="AN240" i="1"/>
  <c r="AO240" i="1"/>
  <c r="AP240" i="1"/>
  <c r="R241" i="1"/>
  <c r="S241" i="1"/>
  <c r="T241" i="1"/>
  <c r="U241" i="1"/>
  <c r="X241" i="1"/>
  <c r="Z241" i="1"/>
  <c r="AD241" i="1"/>
  <c r="AE241" i="1"/>
  <c r="CC241" i="1"/>
  <c r="R242" i="1"/>
  <c r="S242" i="1"/>
  <c r="T242" i="1"/>
  <c r="U242" i="1"/>
  <c r="X242" i="1"/>
  <c r="Z242" i="1"/>
  <c r="AC242" i="1"/>
  <c r="AD242" i="1"/>
  <c r="AE242" i="1"/>
  <c r="AM242" i="1"/>
  <c r="AN242" i="1"/>
  <c r="AO242" i="1"/>
  <c r="AP242" i="1"/>
  <c r="R243" i="1"/>
  <c r="S243" i="1"/>
  <c r="T243" i="1"/>
  <c r="U243" i="1"/>
  <c r="X243" i="1"/>
  <c r="Y243" i="1"/>
  <c r="Z243" i="1"/>
  <c r="AA243" i="1"/>
  <c r="AB243" i="1"/>
  <c r="AC243" i="1"/>
  <c r="AD243" i="1"/>
  <c r="AG243" i="1"/>
  <c r="CC243" i="1"/>
  <c r="R244" i="1"/>
  <c r="S244" i="1"/>
  <c r="T244" i="1"/>
  <c r="U244" i="1"/>
  <c r="V244" i="1"/>
  <c r="X244" i="1"/>
  <c r="Z244" i="1"/>
  <c r="AA244" i="1"/>
  <c r="AD244" i="1"/>
  <c r="AE244" i="1"/>
  <c r="AM244" i="1"/>
  <c r="AN244" i="1"/>
  <c r="AO244" i="1"/>
  <c r="AP244" i="1"/>
  <c r="AQ244" i="1"/>
  <c r="R245" i="1"/>
  <c r="S245" i="1"/>
  <c r="T245" i="1"/>
  <c r="U245" i="1"/>
  <c r="X245" i="1"/>
  <c r="Z245" i="1"/>
  <c r="AA245" i="1"/>
  <c r="AB245" i="1"/>
  <c r="AD245" i="1"/>
  <c r="AE245" i="1"/>
  <c r="R246" i="1"/>
  <c r="S246" i="1"/>
  <c r="T246" i="1"/>
  <c r="U246" i="1"/>
  <c r="X246" i="1"/>
  <c r="Y246" i="1"/>
  <c r="Z246" i="1"/>
  <c r="AA246" i="1"/>
  <c r="AB246" i="1"/>
  <c r="AD246" i="1"/>
  <c r="AE246" i="1"/>
  <c r="R247" i="1"/>
  <c r="S247" i="1"/>
  <c r="T247" i="1"/>
  <c r="U247" i="1"/>
  <c r="V247" i="1"/>
  <c r="X247" i="1"/>
  <c r="Y247" i="1"/>
  <c r="Z247" i="1"/>
  <c r="AB247" i="1"/>
  <c r="AC247" i="1"/>
  <c r="AD247" i="1"/>
  <c r="AE247" i="1"/>
  <c r="AH247" i="1"/>
  <c r="AL247" i="1"/>
  <c r="AM247" i="1"/>
  <c r="AN247" i="1"/>
  <c r="AO247" i="1"/>
  <c r="AP247" i="1"/>
  <c r="R248" i="1"/>
  <c r="S248" i="1"/>
  <c r="T248" i="1"/>
  <c r="U248" i="1"/>
  <c r="X248" i="1"/>
  <c r="Z248" i="1"/>
  <c r="AA248" i="1"/>
  <c r="AB248" i="1"/>
  <c r="AC248" i="1"/>
  <c r="AD248" i="1"/>
  <c r="AE248" i="1"/>
  <c r="AL248" i="1"/>
  <c r="AM248" i="1"/>
  <c r="AN248" i="1"/>
  <c r="AO248" i="1"/>
  <c r="AP248" i="1"/>
  <c r="AQ248" i="1"/>
  <c r="R249" i="1"/>
  <c r="S249" i="1"/>
  <c r="T249" i="1"/>
  <c r="U249" i="1"/>
  <c r="X249" i="1"/>
  <c r="Y249" i="1"/>
  <c r="Z249" i="1"/>
  <c r="AD249" i="1"/>
  <c r="AE249" i="1"/>
  <c r="CC249" i="1"/>
  <c r="R250" i="1"/>
  <c r="S250" i="1"/>
  <c r="T250" i="1"/>
  <c r="U250" i="1"/>
  <c r="V250" i="1"/>
  <c r="X250" i="1"/>
  <c r="Y250" i="1"/>
  <c r="Z250" i="1"/>
  <c r="AC250" i="1"/>
  <c r="AD250" i="1"/>
  <c r="AE250" i="1"/>
  <c r="AH250" i="1"/>
  <c r="AL250" i="1"/>
  <c r="AM250" i="1"/>
  <c r="AN250" i="1"/>
  <c r="AO250" i="1"/>
  <c r="AP250" i="1"/>
  <c r="R251" i="1"/>
  <c r="S251" i="1"/>
  <c r="T251" i="1"/>
  <c r="U251" i="1"/>
  <c r="X251" i="1"/>
  <c r="Y251" i="1"/>
  <c r="Z251" i="1"/>
  <c r="AD251" i="1"/>
  <c r="AE251" i="1"/>
  <c r="CC251" i="1"/>
  <c r="R252" i="1"/>
  <c r="S252" i="1"/>
  <c r="T252" i="1"/>
  <c r="U252" i="1"/>
  <c r="V252" i="1"/>
  <c r="X252" i="1"/>
  <c r="Z252" i="1"/>
  <c r="AD252" i="1"/>
  <c r="AE252" i="1"/>
  <c r="AM252" i="1"/>
  <c r="AN252" i="1"/>
  <c r="AO252" i="1"/>
  <c r="AP252" i="1"/>
  <c r="CC252" i="1"/>
  <c r="R253" i="1"/>
  <c r="S253" i="1"/>
  <c r="T253" i="1"/>
  <c r="U253" i="1"/>
  <c r="V253" i="1"/>
  <c r="X253" i="1"/>
  <c r="Y253" i="1"/>
  <c r="Z253" i="1"/>
  <c r="AD253" i="1"/>
  <c r="AE253" i="1"/>
  <c r="R254" i="1"/>
  <c r="S254" i="1"/>
  <c r="T254" i="1"/>
  <c r="U254" i="1"/>
  <c r="X254" i="1"/>
  <c r="Z254" i="1"/>
  <c r="AA254" i="1"/>
  <c r="AB254" i="1"/>
  <c r="AD254" i="1"/>
  <c r="AE254" i="1"/>
  <c r="R255" i="1"/>
  <c r="S255" i="1"/>
  <c r="T255" i="1"/>
  <c r="U255" i="1"/>
  <c r="V255" i="1"/>
  <c r="X255" i="1"/>
  <c r="Y255" i="1"/>
  <c r="Z255" i="1"/>
  <c r="AD255" i="1"/>
  <c r="AE255" i="1"/>
  <c r="AH255" i="1"/>
  <c r="AL255" i="1"/>
  <c r="AM255" i="1"/>
  <c r="AN255" i="1"/>
  <c r="AO255" i="1"/>
  <c r="AP255" i="1"/>
  <c r="AQ255" i="1"/>
  <c r="R256" i="1"/>
  <c r="S256" i="1"/>
  <c r="T256" i="1"/>
  <c r="U256" i="1"/>
  <c r="V256" i="1"/>
  <c r="X256" i="1"/>
  <c r="Y256" i="1"/>
  <c r="Z256" i="1"/>
  <c r="AA256" i="1"/>
  <c r="AB256" i="1"/>
  <c r="AD256" i="1"/>
  <c r="AE256" i="1"/>
  <c r="R257" i="1"/>
  <c r="S257" i="1"/>
  <c r="T257" i="1"/>
  <c r="U257" i="1"/>
  <c r="X257" i="1"/>
  <c r="Z257" i="1"/>
  <c r="AC257" i="1"/>
  <c r="AD257" i="1"/>
  <c r="AE257" i="1"/>
  <c r="AM257" i="1"/>
  <c r="AN257" i="1"/>
  <c r="AO257" i="1"/>
  <c r="AP257" i="1"/>
  <c r="R258" i="1"/>
  <c r="S258" i="1"/>
  <c r="T258" i="1"/>
  <c r="U258" i="1"/>
  <c r="V258" i="1"/>
  <c r="X258" i="1"/>
  <c r="Y258" i="1"/>
  <c r="Z258" i="1"/>
  <c r="AA258" i="1"/>
  <c r="AB258" i="1"/>
  <c r="AC258" i="1"/>
  <c r="AD258" i="1"/>
  <c r="AE258" i="1"/>
  <c r="AH258" i="1"/>
  <c r="AM258" i="1"/>
  <c r="AN258" i="1"/>
  <c r="AO258" i="1"/>
  <c r="AP258" i="1"/>
  <c r="R259" i="1"/>
  <c r="S259" i="1"/>
  <c r="T259" i="1"/>
  <c r="U259" i="1"/>
  <c r="V259" i="1"/>
  <c r="X259" i="1"/>
  <c r="Y259" i="1"/>
  <c r="Z259" i="1"/>
  <c r="AD259" i="1"/>
  <c r="AE259" i="1"/>
  <c r="R260" i="1"/>
  <c r="S260" i="1"/>
  <c r="T260" i="1"/>
  <c r="U260" i="1"/>
  <c r="X260" i="1"/>
  <c r="Z260" i="1"/>
  <c r="AD260" i="1"/>
  <c r="AE260" i="1"/>
  <c r="AM260" i="1"/>
  <c r="AN260" i="1"/>
  <c r="AO260" i="1"/>
  <c r="AP260" i="1"/>
  <c r="R261" i="1"/>
  <c r="S261" i="1"/>
  <c r="T261" i="1"/>
  <c r="U261" i="1"/>
  <c r="X261" i="1"/>
  <c r="Y261" i="1"/>
  <c r="Z261" i="1"/>
  <c r="AC261" i="1"/>
  <c r="AD261" i="1"/>
  <c r="AE261" i="1"/>
  <c r="R262" i="1"/>
  <c r="S262" i="1"/>
  <c r="T262" i="1"/>
  <c r="U262" i="1"/>
  <c r="X262" i="1"/>
  <c r="Z262" i="1"/>
  <c r="AC262" i="1"/>
  <c r="AD262" i="1"/>
  <c r="AE262" i="1"/>
  <c r="R263" i="1"/>
  <c r="S263" i="1"/>
  <c r="T263" i="1"/>
  <c r="U263" i="1"/>
  <c r="X263" i="1"/>
  <c r="Y263" i="1"/>
  <c r="Z263" i="1"/>
  <c r="AA263" i="1"/>
  <c r="AB263" i="1"/>
  <c r="AC263" i="1"/>
  <c r="AD263" i="1"/>
  <c r="AE263" i="1"/>
  <c r="AM263" i="1"/>
  <c r="AN263" i="1"/>
  <c r="AO263" i="1"/>
  <c r="AP263" i="1"/>
  <c r="R264" i="1"/>
  <c r="S264" i="1"/>
  <c r="T264" i="1"/>
  <c r="U264" i="1"/>
  <c r="X264" i="1"/>
  <c r="Z264" i="1"/>
  <c r="AA264" i="1"/>
  <c r="AD264" i="1"/>
  <c r="AE264" i="1"/>
  <c r="R265" i="1"/>
  <c r="S265" i="1"/>
  <c r="T265" i="1"/>
  <c r="U265" i="1"/>
  <c r="X265" i="1"/>
  <c r="Z265" i="1"/>
  <c r="AA265" i="1"/>
  <c r="AB265" i="1"/>
  <c r="AC265" i="1"/>
  <c r="AD265" i="1"/>
  <c r="AE265" i="1"/>
  <c r="R266" i="1"/>
  <c r="S266" i="1"/>
  <c r="T266" i="1"/>
  <c r="U266" i="1"/>
  <c r="X266" i="1"/>
  <c r="Y266" i="1"/>
  <c r="Z266" i="1"/>
  <c r="AA266" i="1"/>
  <c r="AB266" i="1"/>
  <c r="AD266" i="1"/>
  <c r="AE266" i="1"/>
  <c r="R267" i="1"/>
  <c r="S267" i="1"/>
  <c r="T267" i="1"/>
  <c r="U267" i="1"/>
  <c r="V267" i="1"/>
  <c r="X267" i="1"/>
  <c r="Y267" i="1"/>
  <c r="Z267" i="1"/>
  <c r="AA267" i="1"/>
  <c r="AB267" i="1"/>
  <c r="AC267" i="1"/>
  <c r="AD267" i="1"/>
  <c r="AE267" i="1"/>
  <c r="R268" i="1"/>
  <c r="S268" i="1"/>
  <c r="T268" i="1"/>
  <c r="U268" i="1"/>
  <c r="V268" i="1"/>
  <c r="X268" i="1"/>
  <c r="Z268" i="1"/>
  <c r="AD268" i="1"/>
  <c r="AE268" i="1"/>
  <c r="R269" i="1"/>
  <c r="S269" i="1"/>
  <c r="T269" i="1"/>
  <c r="U269" i="1"/>
  <c r="X269" i="1"/>
  <c r="Z269" i="1"/>
  <c r="AC269" i="1"/>
  <c r="AD269" i="1"/>
  <c r="AE269" i="1"/>
  <c r="AH269" i="1"/>
  <c r="AM269" i="1"/>
  <c r="AN269" i="1"/>
  <c r="AO269" i="1"/>
  <c r="AP269" i="1"/>
  <c r="R270" i="1"/>
  <c r="S270" i="1"/>
  <c r="T270" i="1"/>
  <c r="U270" i="1"/>
  <c r="X270" i="1"/>
  <c r="Y270" i="1"/>
  <c r="Z270" i="1"/>
  <c r="AC270" i="1"/>
  <c r="AD270" i="1"/>
  <c r="AE270" i="1"/>
  <c r="R271" i="1"/>
  <c r="S271" i="1"/>
  <c r="T271" i="1"/>
  <c r="U271" i="1"/>
  <c r="V271" i="1"/>
  <c r="X271" i="1"/>
  <c r="Y271" i="1"/>
  <c r="Z271" i="1"/>
  <c r="AD271" i="1"/>
  <c r="AE271" i="1"/>
  <c r="R272" i="1"/>
  <c r="S272" i="1"/>
  <c r="T272" i="1"/>
  <c r="U272" i="1"/>
  <c r="V272" i="1"/>
  <c r="X272" i="1"/>
  <c r="Z272" i="1"/>
  <c r="AD272" i="1"/>
  <c r="AE272" i="1"/>
  <c r="AM272" i="1"/>
  <c r="AN272" i="1"/>
  <c r="AO272" i="1"/>
  <c r="AP272" i="1"/>
  <c r="CC272" i="1"/>
  <c r="R273" i="1"/>
  <c r="S273" i="1"/>
  <c r="T273" i="1"/>
  <c r="U273" i="1"/>
  <c r="X273" i="1"/>
  <c r="Z273" i="1"/>
  <c r="AD273" i="1"/>
  <c r="AE273" i="1"/>
  <c r="R274" i="1"/>
  <c r="S274" i="1"/>
  <c r="T274" i="1"/>
  <c r="U274" i="1"/>
  <c r="V274" i="1"/>
  <c r="X274" i="1"/>
  <c r="Y274" i="1"/>
  <c r="Z274" i="1"/>
  <c r="AD274" i="1"/>
  <c r="AE274" i="1"/>
  <c r="AM274" i="1"/>
  <c r="AN274" i="1"/>
  <c r="AO274" i="1"/>
  <c r="AP274" i="1"/>
  <c r="R275" i="1"/>
  <c r="S275" i="1"/>
  <c r="T275" i="1"/>
  <c r="U275" i="1"/>
  <c r="X275" i="1"/>
  <c r="Y275" i="1"/>
  <c r="Z275" i="1"/>
  <c r="AA275" i="1"/>
  <c r="AB275" i="1"/>
  <c r="AC275" i="1"/>
  <c r="AD275" i="1"/>
  <c r="AE275" i="1"/>
  <c r="CC275" i="1"/>
  <c r="R276" i="1"/>
  <c r="S276" i="1"/>
  <c r="T276" i="1"/>
  <c r="U276" i="1"/>
  <c r="X276" i="1"/>
  <c r="Z276" i="1"/>
  <c r="AA276" i="1"/>
  <c r="AB276" i="1"/>
  <c r="AD276" i="1"/>
  <c r="AE276" i="1"/>
  <c r="AM276" i="1"/>
  <c r="AN276" i="1"/>
  <c r="AO276" i="1"/>
  <c r="R277" i="1"/>
  <c r="S277" i="1"/>
  <c r="T277" i="1"/>
  <c r="U277" i="1"/>
  <c r="V277" i="1"/>
  <c r="X277" i="1"/>
  <c r="Z277" i="1"/>
  <c r="AC277" i="1"/>
  <c r="AD277" i="1"/>
  <c r="AE277" i="1"/>
  <c r="AM277" i="1"/>
  <c r="AN277" i="1"/>
  <c r="AO277" i="1"/>
  <c r="AP277" i="1"/>
  <c r="CC277" i="1"/>
  <c r="R278" i="1"/>
  <c r="S278" i="1"/>
  <c r="T278" i="1"/>
  <c r="U278" i="1"/>
  <c r="X278" i="1"/>
  <c r="Z278" i="1"/>
  <c r="AC278" i="1"/>
  <c r="AD278" i="1"/>
  <c r="AE278" i="1"/>
  <c r="R279" i="1"/>
  <c r="S279" i="1"/>
  <c r="T279" i="1"/>
  <c r="U279" i="1"/>
  <c r="X279" i="1"/>
  <c r="Y279" i="1"/>
  <c r="Z279" i="1"/>
  <c r="AA279" i="1"/>
  <c r="AB279" i="1"/>
  <c r="AC279" i="1"/>
  <c r="AD279" i="1"/>
  <c r="AE279" i="1"/>
  <c r="AH279" i="1"/>
  <c r="AM279" i="1"/>
  <c r="AN279" i="1"/>
  <c r="AO279" i="1"/>
  <c r="AP279" i="1"/>
  <c r="R280" i="1"/>
  <c r="S280" i="1"/>
  <c r="T280" i="1"/>
  <c r="U280" i="1"/>
  <c r="V280" i="1"/>
  <c r="X280" i="1"/>
  <c r="Y280" i="1"/>
  <c r="Z280" i="1"/>
  <c r="AA280" i="1"/>
  <c r="AB280" i="1"/>
  <c r="AC280" i="1"/>
  <c r="AD280" i="1"/>
  <c r="AE280" i="1"/>
  <c r="AN280" i="1"/>
  <c r="AO280" i="1"/>
  <c r="R281" i="1"/>
  <c r="S281" i="1"/>
  <c r="T281" i="1"/>
  <c r="U281" i="1"/>
  <c r="V281" i="1"/>
  <c r="X281" i="1"/>
  <c r="Y281" i="1"/>
  <c r="Z281" i="1"/>
  <c r="AA281" i="1"/>
  <c r="AB281" i="1"/>
  <c r="AC281" i="1"/>
  <c r="AD281" i="1"/>
  <c r="AE281" i="1"/>
  <c r="R282" i="1"/>
  <c r="S282" i="1"/>
  <c r="T282" i="1"/>
  <c r="U282" i="1"/>
  <c r="V282" i="1"/>
  <c r="X282" i="1"/>
  <c r="Y282" i="1"/>
  <c r="Z282" i="1"/>
  <c r="AA282" i="1"/>
  <c r="AB282" i="1"/>
  <c r="AC282" i="1"/>
  <c r="AD282" i="1"/>
  <c r="AE282" i="1"/>
  <c r="AH282" i="1"/>
  <c r="AM282" i="1"/>
  <c r="AN282" i="1"/>
  <c r="R283" i="1"/>
  <c r="S283" i="1"/>
  <c r="T283" i="1"/>
  <c r="U283" i="1"/>
  <c r="X283" i="1"/>
  <c r="Y283" i="1"/>
  <c r="Z283" i="1"/>
  <c r="AA283" i="1"/>
  <c r="AB283" i="1"/>
  <c r="AC283" i="1"/>
  <c r="AD283" i="1"/>
  <c r="AE283" i="1"/>
  <c r="AH283" i="1"/>
  <c r="AM283" i="1"/>
  <c r="AN283" i="1"/>
  <c r="AO283" i="1"/>
  <c r="R284" i="1"/>
  <c r="S284" i="1"/>
  <c r="T284" i="1"/>
  <c r="U284" i="1"/>
  <c r="V284" i="1"/>
  <c r="X284" i="1"/>
  <c r="Y284" i="1"/>
  <c r="Z284" i="1"/>
  <c r="AC284" i="1"/>
  <c r="AD284" i="1"/>
  <c r="AE284" i="1"/>
  <c r="AM284" i="1"/>
  <c r="AN284" i="1"/>
  <c r="AO284" i="1"/>
  <c r="AP284" i="1"/>
  <c r="AQ284" i="1"/>
  <c r="R285" i="1"/>
  <c r="S285" i="1"/>
  <c r="T285" i="1"/>
  <c r="U285" i="1"/>
  <c r="X285" i="1"/>
  <c r="Z285" i="1"/>
  <c r="AC285" i="1"/>
  <c r="AD285" i="1"/>
  <c r="AE285" i="1"/>
  <c r="AM285" i="1"/>
  <c r="AN285" i="1"/>
  <c r="AO285" i="1"/>
  <c r="AP285" i="1"/>
  <c r="CC285" i="1"/>
  <c r="R286" i="1"/>
  <c r="S286" i="1"/>
  <c r="T286" i="1"/>
  <c r="U286" i="1"/>
  <c r="X286" i="1"/>
  <c r="Z286" i="1"/>
  <c r="AC286" i="1"/>
  <c r="AD286" i="1"/>
  <c r="AE286" i="1"/>
  <c r="CC286" i="1"/>
  <c r="R287" i="1"/>
  <c r="S287" i="1"/>
  <c r="T287" i="1"/>
  <c r="U287" i="1"/>
  <c r="X287" i="1"/>
  <c r="Z287" i="1"/>
  <c r="AC287" i="1"/>
  <c r="AD287" i="1"/>
  <c r="AE287" i="1"/>
  <c r="R288" i="1"/>
  <c r="S288" i="1"/>
  <c r="T288" i="1"/>
  <c r="U288" i="1"/>
  <c r="V288" i="1"/>
  <c r="X288" i="1"/>
  <c r="Z288" i="1"/>
  <c r="AD288" i="1"/>
  <c r="AE288" i="1"/>
  <c r="R289" i="1"/>
  <c r="S289" i="1"/>
  <c r="T289" i="1"/>
  <c r="U289" i="1"/>
  <c r="V289" i="1"/>
  <c r="X289" i="1"/>
  <c r="Z289" i="1"/>
  <c r="AD289" i="1"/>
  <c r="AE289" i="1"/>
  <c r="AM289" i="1"/>
  <c r="AN289" i="1"/>
  <c r="AO289" i="1"/>
  <c r="AP289" i="1"/>
  <c r="R290" i="1"/>
  <c r="S290" i="1"/>
  <c r="T290" i="1"/>
  <c r="U290" i="1"/>
  <c r="V290" i="1"/>
  <c r="X290" i="1"/>
  <c r="Y290" i="1"/>
  <c r="Z290" i="1"/>
  <c r="AD290" i="1"/>
  <c r="AE290" i="1"/>
  <c r="R291" i="1"/>
  <c r="S291" i="1"/>
  <c r="T291" i="1"/>
  <c r="U291" i="1"/>
  <c r="X291" i="1"/>
  <c r="Y291" i="1"/>
  <c r="Z291" i="1"/>
  <c r="AD291" i="1"/>
  <c r="AE291" i="1"/>
  <c r="CC291" i="1"/>
  <c r="R292" i="1"/>
  <c r="S292" i="1"/>
  <c r="T292" i="1"/>
  <c r="U292" i="1"/>
  <c r="X292" i="1"/>
  <c r="Y292" i="1"/>
  <c r="Z292" i="1"/>
  <c r="AA292" i="1"/>
  <c r="AB292" i="1"/>
  <c r="AC292" i="1"/>
  <c r="AD292" i="1"/>
  <c r="AE292" i="1"/>
  <c r="AM292" i="1"/>
  <c r="AN292" i="1"/>
  <c r="AO292" i="1"/>
  <c r="AP292" i="1"/>
  <c r="R293" i="1"/>
  <c r="S293" i="1"/>
  <c r="T293" i="1"/>
  <c r="U293" i="1"/>
  <c r="X293" i="1"/>
  <c r="Y293" i="1"/>
  <c r="Z293" i="1"/>
  <c r="AA293" i="1"/>
  <c r="AB293" i="1"/>
  <c r="AD293" i="1"/>
  <c r="AE293" i="1"/>
  <c r="R294" i="1"/>
  <c r="S294" i="1"/>
  <c r="T294" i="1"/>
  <c r="U294" i="1"/>
  <c r="X294" i="1"/>
  <c r="Z294" i="1"/>
  <c r="AC294" i="1"/>
  <c r="AD294" i="1"/>
  <c r="AE294" i="1"/>
  <c r="AM294" i="1"/>
  <c r="AN294" i="1"/>
  <c r="AO294" i="1"/>
  <c r="AP294" i="1"/>
  <c r="CC294" i="1"/>
  <c r="R295" i="1"/>
  <c r="S295" i="1"/>
  <c r="T295" i="1"/>
  <c r="U295" i="1"/>
  <c r="V295" i="1"/>
  <c r="X295" i="1"/>
  <c r="Z295" i="1"/>
  <c r="AC295" i="1"/>
  <c r="AD295" i="1"/>
  <c r="AE295" i="1"/>
  <c r="AM295" i="1"/>
  <c r="AN295" i="1"/>
  <c r="AO295" i="1"/>
  <c r="AP295" i="1"/>
  <c r="R296" i="1"/>
  <c r="S296" i="1"/>
  <c r="T296" i="1"/>
  <c r="U296" i="1"/>
  <c r="V296" i="1"/>
  <c r="X296" i="1"/>
  <c r="Y296" i="1"/>
  <c r="Z296" i="1"/>
  <c r="AD296" i="1"/>
  <c r="AE296" i="1"/>
  <c r="AH296" i="1"/>
  <c r="AL296" i="1"/>
  <c r="AM296" i="1"/>
  <c r="AN296" i="1"/>
  <c r="AO296" i="1"/>
  <c r="AP296" i="1"/>
  <c r="AQ296" i="1"/>
  <c r="R297" i="1"/>
  <c r="S297" i="1"/>
  <c r="T297" i="1"/>
  <c r="U297" i="1"/>
  <c r="V297" i="1"/>
  <c r="X297" i="1"/>
  <c r="Y297" i="1"/>
  <c r="Z297" i="1"/>
  <c r="AD297" i="1"/>
  <c r="AE297" i="1"/>
  <c r="R298" i="1"/>
  <c r="S298" i="1"/>
  <c r="T298" i="1"/>
  <c r="U298" i="1"/>
  <c r="V298" i="1"/>
  <c r="X298" i="1"/>
  <c r="Z298" i="1"/>
  <c r="AC298" i="1"/>
  <c r="AD298" i="1"/>
  <c r="AE298" i="1"/>
  <c r="AM298" i="1"/>
  <c r="AN298" i="1"/>
  <c r="AO298" i="1"/>
  <c r="AP298" i="1"/>
  <c r="R299" i="1"/>
  <c r="S299" i="1"/>
  <c r="T299" i="1"/>
  <c r="U299" i="1"/>
  <c r="V299" i="1"/>
  <c r="X299" i="1"/>
  <c r="Z299" i="1"/>
  <c r="AD299" i="1"/>
  <c r="AE299" i="1"/>
  <c r="AM299" i="1"/>
  <c r="AN299" i="1"/>
  <c r="AO299" i="1"/>
  <c r="AP299" i="1"/>
  <c r="R300" i="1"/>
  <c r="S300" i="1"/>
  <c r="T300" i="1"/>
  <c r="U300" i="1"/>
  <c r="V300" i="1"/>
  <c r="X300" i="1"/>
  <c r="Z300" i="1"/>
  <c r="AD300" i="1"/>
  <c r="AE300" i="1"/>
  <c r="R301" i="1"/>
  <c r="S301" i="1"/>
  <c r="T301" i="1"/>
  <c r="U301" i="1"/>
  <c r="X301" i="1"/>
  <c r="Z301" i="1"/>
  <c r="AA301" i="1"/>
  <c r="AB301" i="1"/>
  <c r="AD301" i="1"/>
  <c r="AE301" i="1"/>
  <c r="AM301" i="1"/>
  <c r="AN301" i="1"/>
  <c r="AO301" i="1"/>
  <c r="AP301" i="1"/>
  <c r="R302" i="1"/>
  <c r="S302" i="1"/>
  <c r="T302" i="1"/>
  <c r="U302" i="1"/>
  <c r="V302" i="1"/>
  <c r="X302" i="1"/>
  <c r="Y302" i="1"/>
  <c r="Z302" i="1"/>
  <c r="AC302" i="1"/>
  <c r="AD302" i="1"/>
  <c r="AE302" i="1"/>
  <c r="AM302" i="1"/>
  <c r="AN302" i="1"/>
  <c r="AO302" i="1"/>
  <c r="AP302" i="1"/>
  <c r="R303" i="1"/>
  <c r="S303" i="1"/>
  <c r="T303" i="1"/>
  <c r="U303" i="1"/>
  <c r="V303" i="1"/>
  <c r="X303" i="1"/>
  <c r="Z303" i="1"/>
  <c r="AC303" i="1"/>
  <c r="AD303" i="1"/>
  <c r="AE303" i="1"/>
  <c r="R304" i="1"/>
  <c r="S304" i="1"/>
  <c r="T304" i="1"/>
  <c r="U304" i="1"/>
  <c r="X304" i="1"/>
  <c r="Y304" i="1"/>
  <c r="Z304" i="1"/>
  <c r="AA304" i="1"/>
  <c r="AB304" i="1"/>
  <c r="AC304" i="1"/>
  <c r="AD304" i="1"/>
  <c r="AE304" i="1"/>
  <c r="AM304" i="1"/>
  <c r="AN304" i="1"/>
  <c r="AO304" i="1"/>
  <c r="AP304" i="1"/>
  <c r="R305" i="1"/>
  <c r="S305" i="1"/>
  <c r="T305" i="1"/>
  <c r="U305" i="1"/>
  <c r="X305" i="1"/>
  <c r="Z305" i="1"/>
  <c r="AA305" i="1"/>
  <c r="AB305" i="1"/>
  <c r="AC305" i="1"/>
  <c r="AD305" i="1"/>
  <c r="AE305" i="1"/>
  <c r="AM305" i="1"/>
  <c r="AN305" i="1"/>
  <c r="AO305" i="1"/>
  <c r="AP305" i="1"/>
  <c r="R306" i="1"/>
  <c r="S306" i="1"/>
  <c r="T306" i="1"/>
  <c r="U306" i="1"/>
  <c r="X306" i="1"/>
  <c r="Y306" i="1"/>
  <c r="Z306" i="1"/>
  <c r="AA306" i="1"/>
  <c r="AB306" i="1"/>
  <c r="AC306" i="1"/>
  <c r="AD306" i="1"/>
  <c r="AE306" i="1"/>
  <c r="R307" i="1"/>
  <c r="S307" i="1"/>
  <c r="T307" i="1"/>
  <c r="U307" i="1"/>
  <c r="V307" i="1"/>
  <c r="X307" i="1"/>
  <c r="Y307" i="1"/>
  <c r="Z307" i="1"/>
  <c r="AA307" i="1"/>
  <c r="AB307" i="1"/>
  <c r="AC307" i="1"/>
  <c r="AD307" i="1"/>
  <c r="AE307" i="1"/>
  <c r="AM307" i="1"/>
  <c r="AN307" i="1"/>
  <c r="AO307" i="1"/>
  <c r="AP307" i="1"/>
  <c r="R308" i="1"/>
  <c r="S308" i="1"/>
  <c r="T308" i="1"/>
  <c r="U308" i="1"/>
  <c r="V308" i="1"/>
  <c r="X308" i="1"/>
  <c r="Y308" i="1"/>
  <c r="Z308" i="1"/>
  <c r="AA308" i="1"/>
  <c r="AB308" i="1"/>
  <c r="AC308" i="1"/>
  <c r="AD308" i="1"/>
  <c r="AE308" i="1"/>
  <c r="R309" i="1"/>
  <c r="S309" i="1"/>
  <c r="T309" i="1"/>
  <c r="U309" i="1"/>
  <c r="V309" i="1"/>
  <c r="X309" i="1"/>
  <c r="Y309" i="1"/>
  <c r="Z309" i="1"/>
  <c r="AC309" i="1"/>
  <c r="AD309" i="1"/>
  <c r="AE309" i="1"/>
  <c r="R310" i="1"/>
  <c r="S310" i="1"/>
  <c r="T310" i="1"/>
  <c r="U310" i="1"/>
  <c r="X310" i="1"/>
  <c r="Z310" i="1"/>
  <c r="AD310" i="1"/>
  <c r="AE310" i="1"/>
  <c r="R311" i="1"/>
  <c r="S311" i="1"/>
  <c r="T311" i="1"/>
  <c r="U311" i="1"/>
  <c r="X311" i="1"/>
  <c r="Z311" i="1"/>
  <c r="AC311" i="1"/>
  <c r="AD311" i="1"/>
  <c r="AE311" i="1"/>
  <c r="AM311" i="1"/>
  <c r="AN311" i="1"/>
  <c r="AO311" i="1"/>
  <c r="AP311" i="1"/>
  <c r="R312" i="1"/>
  <c r="S312" i="1"/>
  <c r="T312" i="1"/>
  <c r="U312" i="1"/>
  <c r="X312" i="1"/>
  <c r="Z312" i="1"/>
  <c r="AC312" i="1"/>
  <c r="AD312" i="1"/>
  <c r="AE312" i="1"/>
  <c r="R313" i="1"/>
  <c r="S313" i="1"/>
  <c r="T313" i="1"/>
  <c r="U313" i="1"/>
  <c r="V313" i="1"/>
  <c r="X313" i="1"/>
  <c r="Z313" i="1"/>
  <c r="AD313" i="1"/>
  <c r="AE313" i="1"/>
  <c r="R314" i="1"/>
  <c r="S314" i="1"/>
  <c r="T314" i="1"/>
  <c r="U314" i="1"/>
  <c r="V314" i="1"/>
  <c r="X314" i="1"/>
  <c r="Z314" i="1"/>
  <c r="AC314" i="1"/>
  <c r="AD314" i="1"/>
  <c r="AE314" i="1"/>
  <c r="AM314" i="1"/>
  <c r="AN314" i="1"/>
  <c r="AO314" i="1"/>
  <c r="AP314" i="1"/>
  <c r="AQ314" i="1"/>
  <c r="R315" i="1"/>
  <c r="S315" i="1"/>
  <c r="T315" i="1"/>
  <c r="U315" i="1"/>
  <c r="V315" i="1"/>
  <c r="X315" i="1"/>
  <c r="Z315" i="1"/>
  <c r="AC315" i="1"/>
  <c r="AD315" i="1"/>
  <c r="AE315" i="1"/>
  <c r="R316" i="1"/>
  <c r="S316" i="1"/>
  <c r="T316" i="1"/>
  <c r="U316" i="1"/>
  <c r="X316" i="1"/>
  <c r="Y316" i="1"/>
  <c r="Z316" i="1"/>
  <c r="AD316" i="1"/>
  <c r="AE316" i="1"/>
  <c r="AM316" i="1"/>
  <c r="AN316" i="1"/>
  <c r="AO316" i="1"/>
  <c r="AP316" i="1"/>
  <c r="CC316" i="1"/>
  <c r="R317" i="1"/>
  <c r="S317" i="1"/>
  <c r="T317" i="1"/>
  <c r="U317" i="1"/>
  <c r="V317" i="1"/>
  <c r="X317" i="1"/>
  <c r="Z317" i="1"/>
  <c r="AD317" i="1"/>
  <c r="AE317" i="1"/>
  <c r="R318" i="1"/>
  <c r="S318" i="1"/>
  <c r="T318" i="1"/>
  <c r="U318" i="1"/>
  <c r="X318" i="1"/>
  <c r="Z318" i="1"/>
  <c r="AC318" i="1"/>
  <c r="AD318" i="1"/>
  <c r="AE318" i="1"/>
  <c r="AM318" i="1"/>
  <c r="AN318" i="1"/>
  <c r="AO318" i="1"/>
  <c r="AP318" i="1"/>
  <c r="R319" i="1"/>
  <c r="S319" i="1"/>
  <c r="T319" i="1"/>
  <c r="U319" i="1"/>
  <c r="V319" i="1"/>
  <c r="X319" i="1"/>
  <c r="Z319" i="1"/>
  <c r="AD319" i="1"/>
  <c r="AE319" i="1"/>
  <c r="AM319" i="1"/>
  <c r="AN319" i="1"/>
  <c r="AO319" i="1"/>
  <c r="AP319" i="1"/>
  <c r="R320" i="1"/>
  <c r="S320" i="1"/>
  <c r="T320" i="1"/>
  <c r="U320" i="1"/>
  <c r="V320" i="1"/>
  <c r="X320" i="1"/>
  <c r="Y320" i="1"/>
  <c r="Z320" i="1"/>
  <c r="AC320" i="1"/>
  <c r="AD320" i="1"/>
  <c r="AE320" i="1"/>
  <c r="R321" i="1"/>
  <c r="S321" i="1"/>
  <c r="T321" i="1"/>
  <c r="U321" i="1"/>
  <c r="X321" i="1"/>
  <c r="Z321" i="1"/>
  <c r="AC321" i="1"/>
  <c r="AD321" i="1"/>
  <c r="AE321" i="1"/>
  <c r="AM321" i="1"/>
  <c r="AN321" i="1"/>
  <c r="AO321" i="1"/>
  <c r="AP321" i="1"/>
  <c r="R322" i="1"/>
  <c r="S322" i="1"/>
  <c r="T322" i="1"/>
  <c r="U322" i="1"/>
  <c r="X322" i="1"/>
  <c r="Z322" i="1"/>
  <c r="AD322" i="1"/>
  <c r="AE322" i="1"/>
  <c r="AM322" i="1"/>
  <c r="AN322" i="1"/>
  <c r="AO322" i="1"/>
  <c r="AP322" i="1"/>
  <c r="R323" i="1"/>
  <c r="S323" i="1"/>
  <c r="T323" i="1"/>
  <c r="U323" i="1"/>
  <c r="X323" i="1"/>
  <c r="Z323" i="1"/>
  <c r="AD323" i="1"/>
  <c r="AE323" i="1"/>
  <c r="R324" i="1"/>
  <c r="S324" i="1"/>
  <c r="T324" i="1"/>
  <c r="U324" i="1"/>
  <c r="X324" i="1"/>
  <c r="Z324" i="1"/>
  <c r="AA324" i="1"/>
  <c r="AB324" i="1"/>
  <c r="AD324" i="1"/>
  <c r="AE324" i="1"/>
  <c r="R325" i="1"/>
  <c r="S325" i="1"/>
  <c r="T325" i="1"/>
  <c r="U325" i="1"/>
  <c r="V325" i="1"/>
  <c r="X325" i="1"/>
  <c r="Y325" i="1"/>
  <c r="Z325" i="1"/>
  <c r="AA325" i="1"/>
  <c r="AB325" i="1"/>
  <c r="AC325" i="1"/>
  <c r="AD325" i="1"/>
  <c r="AE325" i="1"/>
  <c r="AH325" i="1"/>
  <c r="AM325" i="1"/>
  <c r="AN325" i="1"/>
  <c r="AO325" i="1"/>
  <c r="AP325" i="1"/>
  <c r="R326" i="1"/>
  <c r="S326" i="1"/>
  <c r="T326" i="1"/>
  <c r="U326" i="1"/>
  <c r="V326" i="1"/>
  <c r="X326" i="1"/>
  <c r="Y326" i="1"/>
  <c r="Z326" i="1"/>
  <c r="AA326" i="1"/>
  <c r="AB326" i="1"/>
  <c r="AC326" i="1"/>
  <c r="AD326" i="1"/>
  <c r="AE326" i="1"/>
  <c r="R327" i="1"/>
  <c r="S327" i="1"/>
  <c r="T327" i="1"/>
  <c r="U327" i="1"/>
  <c r="X327" i="1"/>
  <c r="Z327" i="1"/>
  <c r="AC327" i="1"/>
  <c r="AD327" i="1"/>
  <c r="AE327" i="1"/>
  <c r="R328" i="1"/>
  <c r="S328" i="1"/>
  <c r="T328" i="1"/>
  <c r="U328" i="1"/>
  <c r="X328" i="1"/>
  <c r="Y328" i="1"/>
  <c r="Z328" i="1"/>
  <c r="AA328" i="1"/>
  <c r="AB328" i="1"/>
  <c r="AD328" i="1"/>
  <c r="AE328" i="1"/>
  <c r="R329" i="1"/>
  <c r="S329" i="1"/>
  <c r="T329" i="1"/>
  <c r="U329" i="1"/>
  <c r="V329" i="1"/>
  <c r="X329" i="1"/>
  <c r="Y329" i="1"/>
  <c r="Z329" i="1"/>
  <c r="AD329" i="1"/>
  <c r="AE329" i="1"/>
  <c r="R330" i="1"/>
  <c r="S330" i="1"/>
  <c r="T330" i="1"/>
  <c r="U330" i="1"/>
  <c r="V330" i="1"/>
  <c r="X330" i="1"/>
  <c r="Y330" i="1"/>
  <c r="Z330" i="1"/>
  <c r="AD330" i="1"/>
  <c r="AE330" i="1"/>
  <c r="AM330" i="1"/>
  <c r="AN330" i="1"/>
  <c r="AO330" i="1"/>
  <c r="AP330" i="1"/>
  <c r="R331" i="1"/>
  <c r="S331" i="1"/>
  <c r="T331" i="1"/>
  <c r="U331" i="1"/>
  <c r="V331" i="1"/>
  <c r="X331" i="1"/>
  <c r="Y331" i="1"/>
  <c r="Z331" i="1"/>
  <c r="AD331" i="1"/>
  <c r="AE331" i="1"/>
  <c r="R332" i="1"/>
  <c r="S332" i="1"/>
  <c r="T332" i="1"/>
  <c r="U332" i="1"/>
  <c r="X332" i="1"/>
  <c r="Z332" i="1"/>
  <c r="AD332" i="1"/>
  <c r="AE332" i="1"/>
  <c r="R333" i="1"/>
  <c r="S333" i="1"/>
  <c r="T333" i="1"/>
  <c r="U333" i="1"/>
  <c r="X333" i="1"/>
  <c r="Z333" i="1"/>
  <c r="AD333" i="1"/>
  <c r="AE333" i="1"/>
  <c r="R334" i="1"/>
  <c r="S334" i="1"/>
  <c r="T334" i="1"/>
  <c r="U334" i="1"/>
  <c r="V334" i="1"/>
  <c r="X334" i="1"/>
  <c r="Y334" i="1"/>
  <c r="Z334" i="1"/>
  <c r="AC334" i="1"/>
  <c r="AD334" i="1"/>
  <c r="AE334" i="1"/>
  <c r="AL334" i="1"/>
  <c r="AM334" i="1"/>
  <c r="AN334" i="1"/>
  <c r="AO334" i="1"/>
  <c r="AP334" i="1"/>
  <c r="CC334" i="1"/>
  <c r="R335" i="1"/>
  <c r="S335" i="1"/>
  <c r="T335" i="1"/>
  <c r="U335" i="1"/>
  <c r="X335" i="1"/>
  <c r="Z335" i="1"/>
  <c r="AD335" i="1"/>
  <c r="AE335" i="1"/>
  <c r="AM335" i="1"/>
  <c r="AN335" i="1"/>
  <c r="AO335" i="1"/>
  <c r="AP335" i="1"/>
  <c r="R336" i="1"/>
  <c r="S336" i="1"/>
  <c r="T336" i="1"/>
  <c r="U336" i="1"/>
  <c r="X336" i="1"/>
  <c r="Z336" i="1"/>
  <c r="AC336" i="1"/>
  <c r="AD336" i="1"/>
  <c r="AE336" i="1"/>
  <c r="AH336" i="1"/>
  <c r="AM336" i="1"/>
  <c r="AN336" i="1"/>
  <c r="AO336" i="1"/>
  <c r="AP336" i="1"/>
  <c r="R337" i="1"/>
  <c r="S337" i="1"/>
  <c r="T337" i="1"/>
  <c r="U337" i="1"/>
  <c r="X337" i="1"/>
  <c r="Z337" i="1"/>
  <c r="AA337" i="1"/>
  <c r="AB337" i="1"/>
  <c r="AD337" i="1"/>
  <c r="AE337" i="1"/>
  <c r="R338" i="1"/>
  <c r="S338" i="1"/>
  <c r="T338" i="1"/>
  <c r="U338" i="1"/>
  <c r="X338" i="1"/>
  <c r="Z338" i="1"/>
  <c r="AA338" i="1"/>
  <c r="AB338" i="1"/>
  <c r="AD338" i="1"/>
  <c r="AE338" i="1"/>
  <c r="R339" i="1"/>
  <c r="S339" i="1"/>
  <c r="T339" i="1"/>
  <c r="U339" i="1"/>
  <c r="X339" i="1"/>
  <c r="Z339" i="1"/>
  <c r="AA339" i="1"/>
  <c r="AB339" i="1"/>
  <c r="AD339" i="1"/>
  <c r="AE339" i="1"/>
  <c r="AH339" i="1"/>
  <c r="AM339" i="1"/>
  <c r="AN339" i="1"/>
  <c r="AO339" i="1"/>
  <c r="R340" i="1"/>
  <c r="S340" i="1"/>
  <c r="T340" i="1"/>
  <c r="U340" i="1"/>
  <c r="V340" i="1"/>
  <c r="X340" i="1"/>
  <c r="Y340" i="1"/>
  <c r="Z340" i="1"/>
  <c r="AD340" i="1"/>
  <c r="AE340" i="1"/>
  <c r="R341" i="1"/>
  <c r="S341" i="1"/>
  <c r="T341" i="1"/>
  <c r="U341" i="1"/>
  <c r="X341" i="1"/>
  <c r="Y341" i="1"/>
  <c r="Z341" i="1"/>
  <c r="AD341" i="1"/>
  <c r="AE341" i="1"/>
  <c r="R342" i="1"/>
  <c r="S342" i="1"/>
  <c r="T342" i="1"/>
  <c r="U342" i="1"/>
  <c r="X342" i="1"/>
  <c r="Z342" i="1"/>
  <c r="AD342" i="1"/>
  <c r="AE342" i="1"/>
  <c r="R343" i="1"/>
  <c r="S343" i="1"/>
  <c r="T343" i="1"/>
  <c r="U343" i="1"/>
  <c r="V343" i="1"/>
  <c r="X343" i="1"/>
  <c r="Y343" i="1"/>
  <c r="Z343" i="1"/>
  <c r="AC343" i="1"/>
  <c r="AD343" i="1"/>
  <c r="AE343" i="1"/>
  <c r="CC343" i="1"/>
  <c r="FC343" i="1"/>
  <c r="FE343" i="1"/>
  <c r="FH343" i="1"/>
  <c r="R344" i="1"/>
  <c r="S344" i="1"/>
  <c r="T344" i="1"/>
  <c r="U344" i="1"/>
  <c r="X344" i="1"/>
  <c r="Y344" i="1"/>
  <c r="AB344" i="1"/>
  <c r="AC344" i="1"/>
  <c r="AD344" i="1"/>
  <c r="AE344" i="1"/>
  <c r="CC344" i="1"/>
  <c r="R345" i="1"/>
  <c r="S345" i="1"/>
  <c r="T345" i="1"/>
  <c r="U345" i="1"/>
  <c r="X345" i="1"/>
  <c r="Y345" i="1"/>
  <c r="Z345" i="1"/>
  <c r="AA345" i="1"/>
  <c r="AB345" i="1"/>
  <c r="AC345" i="1"/>
  <c r="AD345" i="1"/>
  <c r="AE345" i="1"/>
  <c r="AH345" i="1"/>
  <c r="AN345" i="1"/>
  <c r="AO345" i="1"/>
  <c r="AP345" i="1"/>
  <c r="CC345" i="1"/>
  <c r="R346" i="1"/>
  <c r="S346" i="1"/>
  <c r="T346" i="1"/>
  <c r="U346" i="1"/>
  <c r="X346" i="1"/>
  <c r="Z346" i="1"/>
  <c r="AA346" i="1"/>
  <c r="AB346" i="1"/>
  <c r="AD346" i="1"/>
  <c r="AE346" i="1"/>
  <c r="R347" i="1"/>
  <c r="S347" i="1"/>
  <c r="T347" i="1"/>
  <c r="U347" i="1"/>
  <c r="V347" i="1"/>
  <c r="X347" i="1"/>
  <c r="Z347" i="1"/>
  <c r="AD347" i="1"/>
  <c r="AE347" i="1"/>
  <c r="R348" i="1"/>
  <c r="S348" i="1"/>
  <c r="T348" i="1"/>
  <c r="U348" i="1"/>
  <c r="X348" i="1"/>
  <c r="Z348" i="1"/>
  <c r="AD348" i="1"/>
  <c r="AE348" i="1"/>
  <c r="R349" i="1"/>
  <c r="S349" i="1"/>
  <c r="T349" i="1"/>
  <c r="U349" i="1"/>
  <c r="V349" i="1"/>
  <c r="X349" i="1"/>
  <c r="Z349" i="1"/>
  <c r="AC349" i="1"/>
  <c r="AD349" i="1"/>
  <c r="AE349" i="1"/>
  <c r="FB349" i="1"/>
  <c r="FD349" i="1"/>
  <c r="FH349" i="1"/>
  <c r="R350" i="1"/>
  <c r="S350" i="1"/>
  <c r="T350" i="1"/>
  <c r="U350" i="1"/>
  <c r="V350" i="1"/>
  <c r="X350" i="1"/>
  <c r="Y350" i="1"/>
  <c r="Z350" i="1"/>
  <c r="AD350" i="1"/>
  <c r="AE350" i="1"/>
  <c r="FB350" i="1"/>
  <c r="FC350" i="1"/>
  <c r="FD350" i="1"/>
  <c r="FE350" i="1"/>
  <c r="FH350" i="1"/>
  <c r="R351" i="1"/>
  <c r="S351" i="1"/>
  <c r="T351" i="1"/>
  <c r="U351" i="1"/>
  <c r="V351" i="1"/>
  <c r="X351" i="1"/>
  <c r="Z351" i="1"/>
  <c r="AC351" i="1"/>
  <c r="AD351" i="1"/>
  <c r="AE351" i="1"/>
  <c r="AH351" i="1"/>
  <c r="AM351" i="1"/>
  <c r="AN351" i="1"/>
  <c r="AO351" i="1"/>
  <c r="AP351" i="1"/>
  <c r="FB351" i="1"/>
  <c r="R352" i="1"/>
  <c r="S352" i="1"/>
  <c r="T352" i="1"/>
  <c r="U352" i="1"/>
  <c r="X352" i="1"/>
  <c r="Z352" i="1"/>
  <c r="AA352" i="1"/>
  <c r="AB352" i="1"/>
  <c r="AD352" i="1"/>
  <c r="AE352" i="1"/>
  <c r="R353" i="1"/>
  <c r="S353" i="1"/>
  <c r="T353" i="1"/>
  <c r="U353" i="1"/>
  <c r="X353" i="1"/>
  <c r="Z353" i="1"/>
  <c r="AA353" i="1"/>
  <c r="AB353" i="1"/>
  <c r="AD353" i="1"/>
  <c r="AE353" i="1"/>
  <c r="AM353" i="1"/>
  <c r="AN353" i="1"/>
  <c r="AO353" i="1"/>
  <c r="R354" i="1"/>
  <c r="S354" i="1"/>
  <c r="T354" i="1"/>
  <c r="U354" i="1"/>
  <c r="X354" i="1"/>
  <c r="Y354" i="1"/>
  <c r="Z354" i="1"/>
  <c r="AD354" i="1"/>
  <c r="AE354" i="1"/>
  <c r="AM354" i="1"/>
  <c r="AN354" i="1"/>
  <c r="AO354" i="1"/>
  <c r="AP354" i="1"/>
  <c r="CC354" i="1"/>
  <c r="R355" i="1"/>
  <c r="S355" i="1"/>
  <c r="T355" i="1"/>
  <c r="U355" i="1"/>
  <c r="X355" i="1"/>
  <c r="Z355" i="1"/>
  <c r="AD355" i="1"/>
  <c r="AE355" i="1"/>
  <c r="AM355" i="1"/>
  <c r="AN355" i="1"/>
  <c r="AO355" i="1"/>
  <c r="AP355" i="1"/>
  <c r="R356" i="1"/>
  <c r="S356" i="1"/>
  <c r="T356" i="1"/>
  <c r="U356" i="1"/>
  <c r="X356" i="1"/>
  <c r="Y356" i="1"/>
  <c r="Z356" i="1"/>
  <c r="AD356" i="1"/>
  <c r="AE356" i="1"/>
  <c r="AM356" i="1"/>
  <c r="AN356" i="1"/>
  <c r="AO356" i="1"/>
  <c r="AP356" i="1"/>
  <c r="AQ356" i="1"/>
  <c r="R357" i="1"/>
  <c r="S357" i="1"/>
  <c r="T357" i="1"/>
  <c r="U357" i="1"/>
  <c r="V357" i="1"/>
  <c r="X357" i="1"/>
  <c r="Y357" i="1"/>
  <c r="Z357" i="1"/>
  <c r="AC357" i="1"/>
  <c r="AD357" i="1"/>
  <c r="AE357" i="1"/>
  <c r="FB357" i="1"/>
  <c r="FC357" i="1"/>
  <c r="FD357" i="1"/>
  <c r="FE357" i="1"/>
  <c r="FH357" i="1"/>
  <c r="R358" i="1"/>
  <c r="S358" i="1"/>
  <c r="T358" i="1"/>
  <c r="U358" i="1"/>
  <c r="X358" i="1"/>
  <c r="Z358" i="1"/>
  <c r="AC358" i="1"/>
  <c r="AD358" i="1"/>
  <c r="AE358" i="1"/>
  <c r="R359" i="1"/>
  <c r="S359" i="1"/>
  <c r="T359" i="1"/>
  <c r="U359" i="1"/>
  <c r="V359" i="1"/>
  <c r="X359" i="1"/>
  <c r="Z359" i="1"/>
  <c r="AA359" i="1"/>
  <c r="AB359" i="1"/>
  <c r="AC359" i="1"/>
  <c r="AD359" i="1"/>
  <c r="AE359" i="1"/>
  <c r="AM359" i="1"/>
  <c r="AN359" i="1"/>
  <c r="AO359" i="1"/>
  <c r="AP359" i="1"/>
  <c r="R360" i="1"/>
  <c r="S360" i="1"/>
  <c r="T360" i="1"/>
  <c r="U360" i="1"/>
  <c r="X360" i="1"/>
  <c r="Y360" i="1"/>
  <c r="Z360" i="1"/>
  <c r="AA360" i="1"/>
  <c r="AB360" i="1"/>
  <c r="AD360" i="1"/>
  <c r="AE360" i="1"/>
  <c r="AM360" i="1"/>
  <c r="AN360" i="1"/>
  <c r="AO360" i="1"/>
  <c r="AP360" i="1"/>
  <c r="R361" i="1"/>
  <c r="S361" i="1"/>
  <c r="T361" i="1"/>
  <c r="U361" i="1"/>
  <c r="V361" i="1"/>
  <c r="X361" i="1"/>
  <c r="Y361" i="1"/>
  <c r="Z361" i="1"/>
  <c r="AC361" i="1"/>
  <c r="AD361" i="1"/>
  <c r="AE361" i="1"/>
  <c r="AH361" i="1"/>
  <c r="AM361" i="1"/>
  <c r="AN361" i="1"/>
  <c r="AO361" i="1"/>
  <c r="AP361" i="1"/>
  <c r="CC361" i="1"/>
  <c r="FB361" i="1"/>
  <c r="FD361" i="1"/>
  <c r="FH361" i="1"/>
  <c r="R362" i="1"/>
  <c r="S362" i="1"/>
  <c r="T362" i="1"/>
  <c r="U362" i="1"/>
  <c r="X362" i="1"/>
  <c r="Y362" i="1"/>
  <c r="Z362" i="1"/>
  <c r="AC362" i="1"/>
  <c r="AD362" i="1"/>
  <c r="AE362" i="1"/>
  <c r="FD362" i="1"/>
  <c r="FE362" i="1"/>
  <c r="FH362" i="1"/>
  <c r="R363" i="1"/>
  <c r="S363" i="1"/>
  <c r="T363" i="1"/>
  <c r="U363" i="1"/>
  <c r="X363" i="1"/>
  <c r="Y363" i="1"/>
  <c r="Z363" i="1"/>
  <c r="AD363" i="1"/>
  <c r="AE363" i="1"/>
  <c r="AH363" i="1"/>
  <c r="AM363" i="1"/>
  <c r="AN363" i="1"/>
  <c r="AO363" i="1"/>
  <c r="AP363" i="1"/>
  <c r="R364" i="1"/>
  <c r="S364" i="1"/>
  <c r="T364" i="1"/>
  <c r="U364" i="1"/>
  <c r="X364" i="1"/>
  <c r="Y364" i="1"/>
  <c r="Z364" i="1"/>
  <c r="AA364" i="1"/>
  <c r="AB364" i="1"/>
  <c r="AC364" i="1"/>
  <c r="AD364" i="1"/>
  <c r="AE364" i="1"/>
  <c r="CC364" i="1"/>
  <c r="R365" i="1"/>
  <c r="S365" i="1"/>
  <c r="T365" i="1"/>
  <c r="U365" i="1"/>
  <c r="V365" i="1"/>
  <c r="X365" i="1"/>
  <c r="Z365" i="1"/>
  <c r="AC365" i="1"/>
  <c r="AD365" i="1"/>
  <c r="AE365" i="1"/>
  <c r="FB365" i="1"/>
  <c r="FD365" i="1"/>
  <c r="FE365" i="1"/>
  <c r="FH365" i="1"/>
  <c r="R366" i="1"/>
  <c r="S366" i="1"/>
  <c r="T366" i="1"/>
  <c r="U366" i="1"/>
  <c r="V366" i="1"/>
  <c r="X366" i="1"/>
  <c r="Y366" i="1"/>
  <c r="Z366" i="1"/>
  <c r="AC366" i="1"/>
  <c r="AD366" i="1"/>
  <c r="AE366" i="1"/>
  <c r="AH366" i="1"/>
  <c r="AL366" i="1"/>
  <c r="AM366" i="1"/>
  <c r="AN366" i="1"/>
  <c r="AO366" i="1"/>
  <c r="AP366" i="1"/>
  <c r="R367" i="1"/>
  <c r="S367" i="1"/>
  <c r="T367" i="1"/>
  <c r="U367" i="1"/>
  <c r="V367" i="1"/>
  <c r="X367" i="1"/>
  <c r="Y367" i="1"/>
  <c r="Z367" i="1"/>
  <c r="AC367" i="1"/>
  <c r="AD367" i="1"/>
  <c r="AE367" i="1"/>
  <c r="FB367" i="1"/>
  <c r="FD367" i="1"/>
  <c r="FE367" i="1"/>
  <c r="FH367" i="1"/>
  <c r="R368" i="1"/>
  <c r="S368" i="1"/>
  <c r="T368" i="1"/>
  <c r="U368" i="1"/>
  <c r="V368" i="1"/>
  <c r="X368" i="1"/>
  <c r="Y368" i="1"/>
  <c r="Z368" i="1"/>
  <c r="AC368" i="1"/>
  <c r="AD368" i="1"/>
  <c r="AE368" i="1"/>
  <c r="AH368" i="1"/>
  <c r="AL368" i="1"/>
  <c r="AM368" i="1"/>
  <c r="AN368" i="1"/>
  <c r="AO368" i="1"/>
  <c r="AP368" i="1"/>
  <c r="FB368" i="1"/>
  <c r="FD368" i="1"/>
  <c r="FH368" i="1"/>
  <c r="R369" i="1"/>
  <c r="S369" i="1"/>
  <c r="T369" i="1"/>
  <c r="U369" i="1"/>
  <c r="V369" i="1"/>
  <c r="X369" i="1"/>
  <c r="Y369" i="1"/>
  <c r="Z369" i="1"/>
  <c r="AC369" i="1"/>
  <c r="AD369" i="1"/>
  <c r="AE369" i="1"/>
  <c r="AK369" i="1"/>
  <c r="AL369" i="1"/>
  <c r="AM369" i="1"/>
  <c r="AN369" i="1"/>
  <c r="AO369" i="1"/>
  <c r="AP369" i="1"/>
  <c r="R370" i="1"/>
  <c r="S370" i="1"/>
  <c r="T370" i="1"/>
  <c r="U370" i="1"/>
  <c r="V370" i="1"/>
  <c r="X370" i="1"/>
  <c r="Z370" i="1"/>
  <c r="AC370" i="1"/>
  <c r="AD370" i="1"/>
  <c r="AE370" i="1"/>
  <c r="CC370" i="1"/>
  <c r="FE370" i="1"/>
  <c r="FH370" i="1"/>
  <c r="R371" i="1"/>
  <c r="S371" i="1"/>
  <c r="T371" i="1"/>
  <c r="U371" i="1"/>
  <c r="X371" i="1"/>
  <c r="Z371" i="1"/>
  <c r="AC371" i="1"/>
  <c r="AD371" i="1"/>
  <c r="AE371" i="1"/>
  <c r="AM371" i="1"/>
  <c r="AN371" i="1"/>
  <c r="AO371" i="1"/>
  <c r="AP371" i="1"/>
  <c r="R372" i="1"/>
  <c r="S372" i="1"/>
  <c r="T372" i="1"/>
  <c r="U372" i="1"/>
  <c r="X372" i="1"/>
  <c r="Y372" i="1"/>
  <c r="Z372" i="1"/>
  <c r="AD372" i="1"/>
  <c r="AE372" i="1"/>
  <c r="AM372" i="1"/>
  <c r="AN372" i="1"/>
  <c r="AO372" i="1"/>
  <c r="AP372" i="1"/>
  <c r="R373" i="1"/>
  <c r="S373" i="1"/>
  <c r="T373" i="1"/>
  <c r="U373" i="1"/>
  <c r="X373" i="1"/>
  <c r="Y373" i="1"/>
  <c r="Z373" i="1"/>
  <c r="AA373" i="1"/>
  <c r="AB373" i="1"/>
  <c r="AC373" i="1"/>
  <c r="AD373" i="1"/>
  <c r="AE373" i="1"/>
  <c r="AH373" i="1"/>
  <c r="AM373" i="1"/>
  <c r="AN373" i="1"/>
  <c r="AO373" i="1"/>
  <c r="AP373" i="1"/>
  <c r="FB373" i="1"/>
  <c r="FD373" i="1"/>
  <c r="FH373" i="1"/>
  <c r="R374" i="1"/>
  <c r="S374" i="1"/>
  <c r="T374" i="1"/>
  <c r="U374" i="1"/>
  <c r="V374" i="1"/>
  <c r="X374" i="1"/>
  <c r="Z374" i="1"/>
  <c r="AD374" i="1"/>
  <c r="AE374" i="1"/>
  <c r="AM374" i="1"/>
  <c r="AN374" i="1"/>
  <c r="AO374" i="1"/>
  <c r="AP374" i="1"/>
  <c r="FB374" i="1"/>
  <c r="FC374" i="1"/>
  <c r="FD374" i="1"/>
  <c r="FE374" i="1"/>
  <c r="FH374" i="1"/>
  <c r="R375" i="1"/>
  <c r="S375" i="1"/>
  <c r="T375" i="1"/>
  <c r="U375" i="1"/>
  <c r="X375" i="1"/>
  <c r="Z375" i="1"/>
  <c r="AA375" i="1"/>
  <c r="AB375" i="1"/>
  <c r="AD375" i="1"/>
  <c r="AE375" i="1"/>
  <c r="AM375" i="1"/>
  <c r="AN375" i="1"/>
  <c r="AP375" i="1"/>
  <c r="R376" i="1"/>
  <c r="S376" i="1"/>
  <c r="T376" i="1"/>
  <c r="U376" i="1"/>
  <c r="X376" i="1"/>
  <c r="Y376" i="1"/>
  <c r="Z376" i="1"/>
  <c r="AA376" i="1"/>
  <c r="AB376" i="1"/>
  <c r="AD376" i="1"/>
  <c r="AE376" i="1"/>
  <c r="R377" i="1"/>
  <c r="S377" i="1"/>
  <c r="T377" i="1"/>
  <c r="U377" i="1"/>
  <c r="X377" i="1"/>
  <c r="Z377" i="1"/>
  <c r="AC377" i="1"/>
  <c r="AD377" i="1"/>
  <c r="AE377" i="1"/>
  <c r="R378" i="1"/>
  <c r="S378" i="1"/>
  <c r="T378" i="1"/>
  <c r="U378" i="1"/>
  <c r="X378" i="1"/>
  <c r="Z378" i="1"/>
  <c r="AD378" i="1"/>
  <c r="AE378" i="1"/>
  <c r="AM378" i="1"/>
  <c r="AN378" i="1"/>
  <c r="AO378" i="1"/>
  <c r="AP378" i="1"/>
  <c r="R379" i="1"/>
  <c r="S379" i="1"/>
  <c r="T379" i="1"/>
  <c r="U379" i="1"/>
  <c r="V379" i="1"/>
  <c r="X379" i="1"/>
  <c r="Z379" i="1"/>
  <c r="AD379" i="1"/>
  <c r="AE379" i="1"/>
  <c r="AH379" i="1"/>
  <c r="AL379" i="1"/>
  <c r="AM379" i="1"/>
  <c r="AN379" i="1"/>
  <c r="AO379" i="1"/>
  <c r="AP379" i="1"/>
  <c r="FB379" i="1"/>
  <c r="FD379" i="1"/>
  <c r="FE379" i="1"/>
  <c r="FH379" i="1"/>
  <c r="R380" i="1"/>
  <c r="S380" i="1"/>
  <c r="T380" i="1"/>
  <c r="U380" i="1"/>
  <c r="X380" i="1"/>
  <c r="Z380" i="1"/>
  <c r="AD380" i="1"/>
  <c r="AE380" i="1"/>
  <c r="AM380" i="1"/>
  <c r="AN380" i="1"/>
  <c r="AO380" i="1"/>
  <c r="AP380" i="1"/>
  <c r="R381" i="1"/>
  <c r="S381" i="1"/>
  <c r="T381" i="1"/>
  <c r="U381" i="1"/>
  <c r="X381" i="1"/>
  <c r="Z381" i="1"/>
  <c r="AC381" i="1"/>
  <c r="AD381" i="1"/>
  <c r="AE381" i="1"/>
  <c r="R382" i="1"/>
  <c r="S382" i="1"/>
  <c r="T382" i="1"/>
  <c r="U382" i="1"/>
  <c r="V382" i="1"/>
  <c r="X382" i="1"/>
  <c r="Y382" i="1"/>
  <c r="Z382" i="1"/>
  <c r="AD382" i="1"/>
  <c r="AE382" i="1"/>
  <c r="FB382" i="1"/>
  <c r="FD382" i="1"/>
  <c r="FE382" i="1"/>
  <c r="FH382" i="1"/>
  <c r="R383" i="1"/>
  <c r="S383" i="1"/>
  <c r="T383" i="1"/>
  <c r="U383" i="1"/>
  <c r="X383" i="1"/>
  <c r="Z383" i="1"/>
  <c r="AC383" i="1"/>
  <c r="AD383" i="1"/>
  <c r="AE383" i="1"/>
  <c r="AH383" i="1"/>
  <c r="AM383" i="1"/>
  <c r="AN383" i="1"/>
  <c r="AO383" i="1"/>
  <c r="AP383" i="1"/>
  <c r="R384" i="1"/>
  <c r="S384" i="1"/>
  <c r="T384" i="1"/>
  <c r="U384" i="1"/>
  <c r="X384" i="1"/>
  <c r="Z384" i="1"/>
  <c r="AC384" i="1"/>
  <c r="AD384" i="1"/>
  <c r="AE384" i="1"/>
  <c r="R385" i="1"/>
  <c r="S385" i="1"/>
  <c r="T385" i="1"/>
  <c r="U385" i="1"/>
  <c r="V385" i="1"/>
  <c r="X385" i="1"/>
  <c r="Y385" i="1"/>
  <c r="Z385" i="1"/>
  <c r="AA385" i="1"/>
  <c r="AB385" i="1"/>
  <c r="AC385" i="1"/>
  <c r="AD385" i="1"/>
  <c r="AE385" i="1"/>
  <c r="AM385" i="1"/>
  <c r="AN385" i="1"/>
  <c r="AO385" i="1"/>
  <c r="AP385" i="1"/>
  <c r="R386" i="1"/>
  <c r="S386" i="1"/>
  <c r="T386" i="1"/>
  <c r="U386" i="1"/>
  <c r="V386" i="1"/>
  <c r="X386" i="1"/>
  <c r="Y386" i="1"/>
  <c r="Z386" i="1"/>
  <c r="AA386" i="1"/>
  <c r="AB386" i="1"/>
  <c r="AC386" i="1"/>
  <c r="AD386" i="1"/>
  <c r="AE386" i="1"/>
  <c r="R387" i="1"/>
  <c r="S387" i="1"/>
  <c r="T387" i="1"/>
  <c r="U387" i="1"/>
  <c r="V387" i="1"/>
  <c r="X387" i="1"/>
  <c r="Y387" i="1"/>
  <c r="Z387" i="1"/>
  <c r="AC387" i="1"/>
  <c r="AD387" i="1"/>
  <c r="AE387" i="1"/>
  <c r="AH387" i="1"/>
  <c r="AL387" i="1"/>
  <c r="AM387" i="1"/>
  <c r="AN387" i="1"/>
  <c r="AO387" i="1"/>
  <c r="AP387" i="1"/>
  <c r="AQ387" i="1"/>
  <c r="R388" i="1"/>
  <c r="S388" i="1"/>
  <c r="T388" i="1"/>
  <c r="U388" i="1"/>
  <c r="X388" i="1"/>
  <c r="Z388" i="1"/>
  <c r="AA388" i="1"/>
  <c r="AB388" i="1"/>
  <c r="AC388" i="1"/>
  <c r="AD388" i="1"/>
  <c r="AE388" i="1"/>
  <c r="AM388" i="1"/>
  <c r="AN388" i="1"/>
  <c r="AO388" i="1"/>
  <c r="AP388" i="1"/>
  <c r="CC388" i="1"/>
  <c r="R389" i="1"/>
  <c r="S389" i="1"/>
  <c r="T389" i="1"/>
  <c r="U389" i="1"/>
  <c r="V389" i="1"/>
  <c r="X389" i="1"/>
  <c r="Z389" i="1"/>
  <c r="AA389" i="1"/>
  <c r="AB389" i="1"/>
  <c r="AC389" i="1"/>
  <c r="AD389" i="1"/>
  <c r="AE389" i="1"/>
  <c r="R390" i="1"/>
  <c r="S390" i="1"/>
  <c r="T390" i="1"/>
  <c r="U390" i="1"/>
  <c r="V390" i="1"/>
  <c r="X390" i="1"/>
  <c r="Z390" i="1"/>
  <c r="AC390" i="1"/>
  <c r="AD390" i="1"/>
  <c r="AE390" i="1"/>
  <c r="R391" i="1"/>
  <c r="S391" i="1"/>
  <c r="T391" i="1"/>
  <c r="U391" i="1"/>
  <c r="X391" i="1"/>
  <c r="Y391" i="1"/>
  <c r="Z391" i="1"/>
  <c r="AD391" i="1"/>
  <c r="AE391" i="1"/>
  <c r="R392" i="1"/>
  <c r="S392" i="1"/>
  <c r="T392" i="1"/>
  <c r="U392" i="1"/>
  <c r="V392" i="1"/>
  <c r="X392" i="1"/>
  <c r="Y392" i="1"/>
  <c r="Z392" i="1"/>
  <c r="AA392" i="1"/>
  <c r="AB392" i="1"/>
  <c r="AC392" i="1"/>
  <c r="AD392" i="1"/>
  <c r="AE392" i="1"/>
  <c r="AH392" i="1"/>
  <c r="AM392" i="1"/>
  <c r="AN392" i="1"/>
  <c r="AO392" i="1"/>
  <c r="AP392" i="1"/>
  <c r="R393" i="1"/>
  <c r="S393" i="1"/>
  <c r="T393" i="1"/>
  <c r="U393" i="1"/>
  <c r="X393" i="1"/>
  <c r="Y393" i="1"/>
  <c r="Z393" i="1"/>
  <c r="AA393" i="1"/>
  <c r="AB393" i="1"/>
  <c r="AD393" i="1"/>
  <c r="AE393" i="1"/>
  <c r="AM393" i="1"/>
  <c r="AN393" i="1"/>
  <c r="AO393" i="1"/>
  <c r="AP393" i="1"/>
  <c r="R394" i="1"/>
  <c r="S394" i="1"/>
  <c r="T394" i="1"/>
  <c r="U394" i="1"/>
  <c r="X394" i="1"/>
  <c r="Z394" i="1"/>
  <c r="AC394" i="1"/>
  <c r="AD394" i="1"/>
  <c r="AE394" i="1"/>
  <c r="AM394" i="1"/>
  <c r="AN394" i="1"/>
  <c r="AO394" i="1"/>
  <c r="AP394" i="1"/>
  <c r="R395" i="1"/>
  <c r="S395" i="1"/>
  <c r="T395" i="1"/>
  <c r="U395" i="1"/>
  <c r="X395" i="1"/>
  <c r="Y395" i="1"/>
  <c r="Z395" i="1"/>
  <c r="AD395" i="1"/>
  <c r="AE395" i="1"/>
  <c r="R396" i="1"/>
  <c r="S396" i="1"/>
  <c r="T396" i="1"/>
  <c r="U396" i="1"/>
  <c r="V396" i="1"/>
  <c r="X396" i="1"/>
  <c r="Y396" i="1"/>
  <c r="Z396" i="1"/>
  <c r="AA396" i="1"/>
  <c r="AD396" i="1"/>
  <c r="AE396" i="1"/>
  <c r="AM396" i="1"/>
  <c r="AN396" i="1"/>
  <c r="AO396" i="1"/>
  <c r="AP396" i="1"/>
  <c r="R397" i="1"/>
  <c r="S397" i="1"/>
  <c r="T397" i="1"/>
  <c r="U397" i="1"/>
  <c r="V397" i="1"/>
  <c r="X397" i="1"/>
  <c r="Y397" i="1"/>
  <c r="Z397" i="1"/>
  <c r="AC397" i="1"/>
  <c r="AD397" i="1"/>
  <c r="AE397" i="1"/>
  <c r="CC397" i="1"/>
  <c r="R398" i="1"/>
  <c r="S398" i="1"/>
  <c r="T398" i="1"/>
  <c r="U398" i="1"/>
  <c r="V398" i="1"/>
  <c r="X398" i="1"/>
  <c r="Z398" i="1"/>
  <c r="AD398" i="1"/>
  <c r="AE398" i="1"/>
  <c r="AH398" i="1"/>
  <c r="AM398" i="1"/>
  <c r="AN398" i="1"/>
  <c r="AO398" i="1"/>
  <c r="AP398" i="1"/>
  <c r="R399" i="1"/>
  <c r="S399" i="1"/>
  <c r="T399" i="1"/>
  <c r="U399" i="1"/>
  <c r="X399" i="1"/>
  <c r="Z399" i="1"/>
  <c r="AD399" i="1"/>
  <c r="AE399" i="1"/>
  <c r="R400" i="1"/>
  <c r="S400" i="1"/>
  <c r="T400" i="1"/>
  <c r="U400" i="1"/>
  <c r="X400" i="1"/>
  <c r="Z400" i="1"/>
  <c r="AD400" i="1"/>
  <c r="AE400" i="1"/>
  <c r="R401" i="1"/>
  <c r="S401" i="1"/>
  <c r="T401" i="1"/>
  <c r="U401" i="1"/>
  <c r="V401" i="1"/>
  <c r="X401" i="1"/>
  <c r="Y401" i="1"/>
  <c r="Z401" i="1"/>
  <c r="AD401" i="1"/>
  <c r="AE401" i="1"/>
  <c r="R402" i="1"/>
  <c r="S402" i="1"/>
  <c r="T402" i="1"/>
  <c r="U402" i="1"/>
  <c r="V402" i="1"/>
  <c r="X402" i="1"/>
  <c r="Y402" i="1"/>
  <c r="Z402" i="1"/>
  <c r="AC402" i="1"/>
  <c r="AD402" i="1"/>
  <c r="AE402" i="1"/>
  <c r="AM402" i="1"/>
  <c r="AN402" i="1"/>
  <c r="AO402" i="1"/>
  <c r="AP402" i="1"/>
  <c r="R403" i="1"/>
  <c r="S403" i="1"/>
  <c r="T403" i="1"/>
  <c r="U403" i="1"/>
  <c r="X403" i="1"/>
  <c r="Z403" i="1"/>
  <c r="AC403" i="1"/>
  <c r="AD403" i="1"/>
  <c r="AE403" i="1"/>
  <c r="R404" i="1"/>
  <c r="S404" i="1"/>
  <c r="T404" i="1"/>
  <c r="U404" i="1"/>
  <c r="X404" i="1"/>
  <c r="Z404" i="1"/>
  <c r="AD404" i="1"/>
  <c r="AE404" i="1"/>
  <c r="R405" i="1"/>
  <c r="S405" i="1"/>
  <c r="T405" i="1"/>
  <c r="U405" i="1"/>
  <c r="X405" i="1"/>
  <c r="Y405" i="1"/>
  <c r="Z405" i="1"/>
  <c r="AA405" i="1"/>
  <c r="AB405" i="1"/>
  <c r="AC405" i="1"/>
  <c r="AD405" i="1"/>
  <c r="AE405" i="1"/>
  <c r="AM405" i="1"/>
  <c r="AN405" i="1"/>
  <c r="AO405" i="1"/>
  <c r="R406" i="1"/>
  <c r="S406" i="1"/>
  <c r="T406" i="1"/>
  <c r="U406" i="1"/>
  <c r="X406" i="1"/>
  <c r="Y406" i="1"/>
  <c r="Z406" i="1"/>
  <c r="AC406" i="1"/>
  <c r="AD406" i="1"/>
  <c r="AE406" i="1"/>
  <c r="AL406" i="1"/>
  <c r="AM406" i="1"/>
  <c r="AN406" i="1"/>
  <c r="AO406" i="1"/>
  <c r="AP406" i="1"/>
  <c r="AQ406" i="1"/>
  <c r="R407" i="1"/>
  <c r="S407" i="1"/>
  <c r="T407" i="1"/>
  <c r="U407" i="1"/>
  <c r="X407" i="1"/>
  <c r="Z407" i="1"/>
  <c r="AD407" i="1"/>
  <c r="AE407" i="1"/>
  <c r="CC407" i="1"/>
  <c r="R408" i="1"/>
  <c r="S408" i="1"/>
  <c r="T408" i="1"/>
  <c r="U408" i="1"/>
  <c r="X408" i="1"/>
  <c r="Z408" i="1"/>
  <c r="AD408" i="1"/>
  <c r="AE408" i="1"/>
  <c r="AL408" i="1"/>
  <c r="AM408" i="1"/>
  <c r="AN408" i="1"/>
  <c r="AO408" i="1"/>
  <c r="AP408" i="1"/>
  <c r="CC408" i="1"/>
  <c r="R409" i="1"/>
  <c r="S409" i="1"/>
  <c r="T409" i="1"/>
  <c r="U409" i="1"/>
  <c r="X409" i="1"/>
  <c r="Z409" i="1"/>
  <c r="AA409" i="1"/>
  <c r="AB409" i="1"/>
  <c r="AC409" i="1"/>
  <c r="AD409" i="1"/>
  <c r="AE409" i="1"/>
  <c r="AM409" i="1"/>
  <c r="AN409" i="1"/>
  <c r="AO409" i="1"/>
  <c r="AP409" i="1"/>
  <c r="R410" i="1"/>
  <c r="S410" i="1"/>
  <c r="T410" i="1"/>
  <c r="U410" i="1"/>
  <c r="X410" i="1"/>
  <c r="Z410" i="1"/>
  <c r="AA410" i="1"/>
  <c r="AB410" i="1"/>
  <c r="AC410" i="1"/>
  <c r="AD410" i="1"/>
  <c r="AE410" i="1"/>
  <c r="AM410" i="1"/>
  <c r="AN410" i="1"/>
  <c r="AO410" i="1"/>
  <c r="AP410" i="1"/>
  <c r="R411" i="1"/>
  <c r="S411" i="1"/>
  <c r="T411" i="1"/>
  <c r="U411" i="1"/>
  <c r="X411" i="1"/>
  <c r="Z411" i="1"/>
  <c r="AA411" i="1"/>
  <c r="AB411" i="1"/>
  <c r="AD411" i="1"/>
  <c r="AE411" i="1"/>
  <c r="R412" i="1"/>
  <c r="S412" i="1"/>
  <c r="T412" i="1"/>
  <c r="U412" i="1"/>
  <c r="V412" i="1"/>
  <c r="X412" i="1"/>
  <c r="Y412" i="1"/>
  <c r="Z412" i="1"/>
  <c r="AC412" i="1"/>
  <c r="AD412" i="1"/>
  <c r="AE412" i="1"/>
  <c r="R413" i="1"/>
  <c r="S413" i="1"/>
  <c r="T413" i="1"/>
  <c r="U413" i="1"/>
  <c r="X413" i="1"/>
  <c r="Z413" i="1"/>
  <c r="AA413" i="1"/>
  <c r="AB413" i="1"/>
  <c r="AD413" i="1"/>
  <c r="AE413" i="1"/>
  <c r="AM413" i="1"/>
  <c r="AN413" i="1"/>
  <c r="AO413" i="1"/>
  <c r="AP413" i="1"/>
  <c r="R414" i="1"/>
  <c r="S414" i="1"/>
  <c r="T414" i="1"/>
  <c r="U414" i="1"/>
  <c r="X414" i="1"/>
  <c r="Z414" i="1"/>
  <c r="AA414" i="1"/>
  <c r="AB414" i="1"/>
  <c r="AC414" i="1"/>
  <c r="AD414" i="1"/>
  <c r="AE414" i="1"/>
  <c r="AH414" i="1"/>
  <c r="AM414" i="1"/>
  <c r="AN414" i="1"/>
  <c r="AO414" i="1"/>
  <c r="R415" i="1"/>
  <c r="S415" i="1"/>
  <c r="T415" i="1"/>
  <c r="U415" i="1"/>
  <c r="V415" i="1"/>
  <c r="X415" i="1"/>
  <c r="Z415" i="1"/>
  <c r="AA415" i="1"/>
  <c r="AB415" i="1"/>
  <c r="AC415" i="1"/>
  <c r="AD415" i="1"/>
  <c r="AE415" i="1"/>
  <c r="AO415" i="1"/>
  <c r="R416" i="1"/>
  <c r="S416" i="1"/>
  <c r="T416" i="1"/>
  <c r="U416" i="1"/>
  <c r="X416" i="1"/>
  <c r="Z416" i="1"/>
  <c r="AA416" i="1"/>
  <c r="AB416" i="1"/>
  <c r="AC416" i="1"/>
  <c r="AD416" i="1"/>
  <c r="AE416" i="1"/>
  <c r="R417" i="1"/>
  <c r="S417" i="1"/>
  <c r="T417" i="1"/>
  <c r="U417" i="1"/>
  <c r="X417" i="1"/>
  <c r="Y417" i="1"/>
  <c r="Z417" i="1"/>
  <c r="AA417" i="1"/>
  <c r="AB417" i="1"/>
  <c r="AC417" i="1"/>
  <c r="AD417" i="1"/>
  <c r="AE417" i="1"/>
  <c r="AM417" i="1"/>
  <c r="AN417" i="1"/>
  <c r="AO417" i="1"/>
  <c r="AP417" i="1"/>
  <c r="R418" i="1"/>
  <c r="S418" i="1"/>
  <c r="T418" i="1"/>
  <c r="U418" i="1"/>
  <c r="V418" i="1"/>
  <c r="X418" i="1"/>
  <c r="Y418" i="1"/>
  <c r="Z418" i="1"/>
  <c r="AA418" i="1"/>
  <c r="AB418" i="1"/>
  <c r="AC418" i="1"/>
  <c r="AD418" i="1"/>
  <c r="AE418" i="1"/>
  <c r="AH418" i="1"/>
  <c r="AM418" i="1"/>
  <c r="AN418" i="1"/>
  <c r="AO418" i="1"/>
  <c r="AP418" i="1"/>
  <c r="R419" i="1"/>
  <c r="S419" i="1"/>
  <c r="T419" i="1"/>
  <c r="U419" i="1"/>
  <c r="X419" i="1"/>
  <c r="Z419" i="1"/>
  <c r="AD419" i="1"/>
  <c r="AE419" i="1"/>
  <c r="R420" i="1"/>
  <c r="S420" i="1"/>
  <c r="T420" i="1"/>
  <c r="U420" i="1"/>
  <c r="X420" i="1"/>
  <c r="Z420" i="1"/>
  <c r="AC420" i="1"/>
  <c r="AD420" i="1"/>
  <c r="AE420" i="1"/>
  <c r="AM420" i="1"/>
  <c r="AN420" i="1"/>
  <c r="AO420" i="1"/>
  <c r="AP420" i="1"/>
  <c r="CC420" i="1"/>
  <c r="R421" i="1"/>
  <c r="S421" i="1"/>
  <c r="T421" i="1"/>
  <c r="U421" i="1"/>
  <c r="V421" i="1"/>
  <c r="X421" i="1"/>
  <c r="Y421" i="1"/>
  <c r="Z421" i="1"/>
  <c r="AA421" i="1"/>
  <c r="AB421" i="1"/>
  <c r="AC421" i="1"/>
  <c r="AD421" i="1"/>
  <c r="AE421" i="1"/>
  <c r="AM421" i="1"/>
  <c r="AN421" i="1"/>
  <c r="AO421" i="1"/>
  <c r="R422" i="1"/>
  <c r="S422" i="1"/>
  <c r="T422" i="1"/>
  <c r="U422" i="1"/>
  <c r="X422" i="1"/>
  <c r="Z422" i="1"/>
  <c r="AC422" i="1"/>
  <c r="AD422" i="1"/>
  <c r="AE422" i="1"/>
  <c r="AM422" i="1"/>
  <c r="AN422" i="1"/>
  <c r="AO422" i="1"/>
  <c r="AP422" i="1"/>
  <c r="CC422" i="1"/>
  <c r="R423" i="1"/>
  <c r="S423" i="1"/>
  <c r="T423" i="1"/>
  <c r="U423" i="1"/>
  <c r="V423" i="1"/>
  <c r="X423" i="1"/>
  <c r="Y423" i="1"/>
  <c r="Z423" i="1"/>
  <c r="AB423" i="1"/>
  <c r="AC423" i="1"/>
  <c r="AD423" i="1"/>
  <c r="AE423" i="1"/>
  <c r="AM423" i="1"/>
  <c r="AN423" i="1"/>
  <c r="AO423" i="1"/>
  <c r="AP423" i="1"/>
  <c r="R424" i="1"/>
  <c r="S424" i="1"/>
  <c r="T424" i="1"/>
  <c r="U424" i="1"/>
  <c r="V424" i="1"/>
  <c r="X424" i="1"/>
  <c r="Y424" i="1"/>
  <c r="Z424" i="1"/>
  <c r="AC424" i="1"/>
  <c r="AD424" i="1"/>
  <c r="AE424" i="1"/>
  <c r="AM424" i="1"/>
  <c r="AN424" i="1"/>
  <c r="AO424" i="1"/>
  <c r="AP424" i="1"/>
  <c r="R425" i="1"/>
  <c r="S425" i="1"/>
  <c r="T425" i="1"/>
  <c r="U425" i="1"/>
  <c r="X425" i="1"/>
  <c r="Y425" i="1"/>
  <c r="Z425" i="1"/>
  <c r="AA425" i="1"/>
  <c r="AB425" i="1"/>
  <c r="AC425" i="1"/>
  <c r="AD425" i="1"/>
  <c r="AE425" i="1"/>
  <c r="R426" i="1"/>
  <c r="S426" i="1"/>
  <c r="T426" i="1"/>
  <c r="U426" i="1"/>
  <c r="X426" i="1"/>
  <c r="Y426" i="1"/>
  <c r="Z426" i="1"/>
  <c r="AB426" i="1"/>
  <c r="AC426" i="1"/>
  <c r="AD426" i="1"/>
  <c r="AE426" i="1"/>
  <c r="R427" i="1"/>
  <c r="S427" i="1"/>
  <c r="T427" i="1"/>
  <c r="U427" i="1"/>
  <c r="V427" i="1"/>
  <c r="X427" i="1"/>
  <c r="Y427" i="1"/>
  <c r="Z427" i="1"/>
  <c r="AD427" i="1"/>
  <c r="AE427" i="1"/>
  <c r="R428" i="1"/>
  <c r="S428" i="1"/>
  <c r="T428" i="1"/>
  <c r="U428" i="1"/>
  <c r="V428" i="1"/>
  <c r="X428" i="1"/>
  <c r="Y428" i="1"/>
  <c r="Z428" i="1"/>
  <c r="AD428" i="1"/>
  <c r="AE428" i="1"/>
  <c r="AM428" i="1"/>
  <c r="AN428" i="1"/>
  <c r="AO428" i="1"/>
  <c r="AP428" i="1"/>
  <c r="R429" i="1"/>
  <c r="S429" i="1"/>
  <c r="T429" i="1"/>
  <c r="U429" i="1"/>
  <c r="X429" i="1"/>
  <c r="Z429" i="1"/>
  <c r="AC429" i="1"/>
  <c r="AD429" i="1"/>
  <c r="AE429" i="1"/>
  <c r="AM429" i="1"/>
  <c r="AN429" i="1"/>
  <c r="AO429" i="1"/>
  <c r="AP429" i="1"/>
  <c r="R430" i="1"/>
  <c r="S430" i="1"/>
  <c r="T430" i="1"/>
  <c r="U430" i="1"/>
  <c r="V430" i="1"/>
  <c r="X430" i="1"/>
  <c r="Y430" i="1"/>
  <c r="Z430" i="1"/>
  <c r="AA430" i="1"/>
  <c r="AB430" i="1"/>
  <c r="AC430" i="1"/>
  <c r="AD430" i="1"/>
  <c r="AE430" i="1"/>
  <c r="R431" i="1"/>
  <c r="S431" i="1"/>
  <c r="T431" i="1"/>
  <c r="U431" i="1"/>
  <c r="X431" i="1"/>
  <c r="Z431" i="1"/>
  <c r="AC431" i="1"/>
  <c r="AD431" i="1"/>
  <c r="AE431" i="1"/>
  <c r="AH431" i="1"/>
  <c r="AM431" i="1"/>
  <c r="AN431" i="1"/>
  <c r="AO431" i="1"/>
  <c r="AP431" i="1"/>
  <c r="R432" i="1"/>
  <c r="S432" i="1"/>
  <c r="T432" i="1"/>
  <c r="U432" i="1"/>
  <c r="V432" i="1"/>
  <c r="X432" i="1"/>
  <c r="Y432" i="1"/>
  <c r="Z432" i="1"/>
  <c r="AA432" i="1"/>
  <c r="AB432" i="1"/>
  <c r="AC432" i="1"/>
  <c r="AD432" i="1"/>
  <c r="AE432" i="1"/>
  <c r="R433" i="1"/>
  <c r="S433" i="1"/>
  <c r="T433" i="1"/>
  <c r="U433" i="1"/>
  <c r="V433" i="1"/>
  <c r="X433" i="1"/>
  <c r="Z433" i="1"/>
  <c r="AD433" i="1"/>
  <c r="AE433" i="1"/>
  <c r="R434" i="1"/>
  <c r="S434" i="1"/>
  <c r="T434" i="1"/>
  <c r="U434" i="1"/>
  <c r="X434" i="1"/>
  <c r="Z434" i="1"/>
  <c r="AA434" i="1"/>
  <c r="AB434" i="1"/>
  <c r="AD434" i="1"/>
  <c r="AE434" i="1"/>
  <c r="AM434" i="1"/>
  <c r="AN434" i="1"/>
  <c r="AO434" i="1"/>
  <c r="AP434" i="1"/>
  <c r="R435" i="1"/>
  <c r="S435" i="1"/>
  <c r="T435" i="1"/>
  <c r="U435" i="1"/>
  <c r="X435" i="1"/>
  <c r="Y435" i="1"/>
  <c r="Z435" i="1"/>
  <c r="AD435" i="1"/>
  <c r="AE435" i="1"/>
  <c r="AH435" i="1"/>
  <c r="AM435" i="1"/>
  <c r="AN435" i="1"/>
  <c r="AO435" i="1"/>
  <c r="AP435" i="1"/>
  <c r="AQ435" i="1"/>
  <c r="R436" i="1"/>
  <c r="S436" i="1"/>
  <c r="T436" i="1"/>
  <c r="U436" i="1"/>
  <c r="X436" i="1"/>
  <c r="Z436" i="1"/>
  <c r="AC436" i="1"/>
  <c r="AD436" i="1"/>
  <c r="AE436" i="1"/>
  <c r="AM436" i="1"/>
  <c r="AN436" i="1"/>
  <c r="AO436" i="1"/>
  <c r="AP436" i="1"/>
  <c r="R437" i="1"/>
  <c r="S437" i="1"/>
  <c r="T437" i="1"/>
  <c r="U437" i="1"/>
  <c r="V437" i="1"/>
  <c r="X437" i="1"/>
  <c r="Y437" i="1"/>
  <c r="Z437" i="1"/>
  <c r="AA437" i="1"/>
  <c r="AB437" i="1"/>
  <c r="AC437" i="1"/>
  <c r="AD437" i="1"/>
  <c r="AE437" i="1"/>
  <c r="AM437" i="1"/>
  <c r="AN437" i="1"/>
  <c r="AO437" i="1"/>
  <c r="AP437" i="1"/>
  <c r="R438" i="1"/>
  <c r="S438" i="1"/>
  <c r="T438" i="1"/>
  <c r="U438" i="1"/>
  <c r="V438" i="1"/>
  <c r="X438" i="1"/>
  <c r="Y438" i="1"/>
  <c r="Z438" i="1"/>
  <c r="AA438" i="1"/>
  <c r="AB438" i="1"/>
  <c r="AD438" i="1"/>
  <c r="AE438" i="1"/>
  <c r="R439" i="1"/>
  <c r="S439" i="1"/>
  <c r="T439" i="1"/>
  <c r="U439" i="1"/>
  <c r="X439" i="1"/>
  <c r="Y439" i="1"/>
  <c r="Z439" i="1"/>
  <c r="AA439" i="1"/>
  <c r="AB439" i="1"/>
  <c r="AC439" i="1"/>
  <c r="AD439" i="1"/>
  <c r="AE439" i="1"/>
  <c r="R440" i="1"/>
  <c r="S440" i="1"/>
  <c r="T440" i="1"/>
  <c r="U440" i="1"/>
  <c r="X440" i="1"/>
  <c r="Z440" i="1"/>
  <c r="AC440" i="1"/>
  <c r="AD440" i="1"/>
  <c r="AE440" i="1"/>
  <c r="AM440" i="1"/>
  <c r="AN440" i="1"/>
  <c r="AO440" i="1"/>
  <c r="AP440" i="1"/>
  <c r="R441" i="1"/>
  <c r="S441" i="1"/>
  <c r="T441" i="1"/>
  <c r="U441" i="1"/>
  <c r="V441" i="1"/>
  <c r="X441" i="1"/>
  <c r="Z441" i="1"/>
  <c r="AC441" i="1"/>
  <c r="AD441" i="1"/>
  <c r="AE441" i="1"/>
  <c r="R442" i="1"/>
  <c r="S442" i="1"/>
  <c r="T442" i="1"/>
  <c r="U442" i="1"/>
  <c r="V442" i="1"/>
  <c r="X442" i="1"/>
  <c r="Z442" i="1"/>
  <c r="AD442" i="1"/>
  <c r="AE442" i="1"/>
  <c r="AM442" i="1"/>
  <c r="AN442" i="1"/>
  <c r="AO442" i="1"/>
  <c r="AP442" i="1"/>
  <c r="R443" i="1"/>
  <c r="S443" i="1"/>
  <c r="T443" i="1"/>
  <c r="U443" i="1"/>
  <c r="V443" i="1"/>
  <c r="X443" i="1"/>
  <c r="Y443" i="1"/>
  <c r="Z443" i="1"/>
  <c r="AD443" i="1"/>
  <c r="AE443" i="1"/>
  <c r="R444" i="1"/>
  <c r="S444" i="1"/>
  <c r="T444" i="1"/>
  <c r="U444" i="1"/>
  <c r="X444" i="1"/>
  <c r="Y444" i="1"/>
  <c r="Z444" i="1"/>
  <c r="AA444" i="1"/>
  <c r="AB444" i="1"/>
  <c r="AC444" i="1"/>
  <c r="AD444" i="1"/>
  <c r="AE444" i="1"/>
  <c r="R445" i="1"/>
  <c r="S445" i="1"/>
  <c r="T445" i="1"/>
  <c r="U445" i="1"/>
  <c r="X445" i="1"/>
  <c r="Z445" i="1"/>
  <c r="AD445" i="1"/>
  <c r="AE445" i="1"/>
  <c r="R446" i="1"/>
  <c r="S446" i="1"/>
  <c r="T446" i="1"/>
  <c r="U446" i="1"/>
  <c r="X446" i="1"/>
  <c r="Z446" i="1"/>
  <c r="AA446" i="1"/>
  <c r="AB446" i="1"/>
  <c r="AD446" i="1"/>
  <c r="AE446" i="1"/>
  <c r="R447" i="1"/>
  <c r="S447" i="1"/>
  <c r="T447" i="1"/>
  <c r="U447" i="1"/>
  <c r="X447" i="1"/>
  <c r="Z447" i="1"/>
  <c r="AA447" i="1"/>
  <c r="AB447" i="1"/>
  <c r="AD447" i="1"/>
  <c r="AE447" i="1"/>
  <c r="AM447" i="1"/>
  <c r="AN447" i="1"/>
  <c r="AO447" i="1"/>
  <c r="AP447" i="1"/>
  <c r="R448" i="1"/>
  <c r="S448" i="1"/>
  <c r="T448" i="1"/>
  <c r="U448" i="1"/>
  <c r="V448" i="1"/>
  <c r="X448" i="1"/>
  <c r="Y448" i="1"/>
  <c r="Z448" i="1"/>
  <c r="AD448" i="1"/>
  <c r="AE448" i="1"/>
  <c r="CC448" i="1"/>
  <c r="R449" i="1"/>
  <c r="S449" i="1"/>
  <c r="T449" i="1"/>
  <c r="U449" i="1"/>
  <c r="X449" i="1"/>
  <c r="Y449" i="1"/>
  <c r="Z449" i="1"/>
  <c r="AA449" i="1"/>
  <c r="AB449" i="1"/>
  <c r="AD449" i="1"/>
  <c r="AE449" i="1"/>
  <c r="AH449" i="1"/>
  <c r="AM449" i="1"/>
  <c r="AN449" i="1"/>
  <c r="AO449" i="1"/>
  <c r="AP449" i="1"/>
  <c r="R450" i="1"/>
  <c r="S450" i="1"/>
  <c r="T450" i="1"/>
  <c r="U450" i="1"/>
  <c r="W450" i="1"/>
  <c r="X450" i="1"/>
  <c r="Z450" i="1"/>
  <c r="AC450" i="1"/>
  <c r="AD450" i="1"/>
  <c r="AE450" i="1"/>
  <c r="R451" i="1"/>
  <c r="S451" i="1"/>
  <c r="T451" i="1"/>
  <c r="U451" i="1"/>
  <c r="X451" i="1"/>
  <c r="Z451" i="1"/>
  <c r="AC451" i="1"/>
  <c r="AD451" i="1"/>
  <c r="AE451" i="1"/>
  <c r="AM451" i="1"/>
  <c r="AN451" i="1"/>
  <c r="AO451" i="1"/>
  <c r="AP451" i="1"/>
  <c r="R452" i="1"/>
  <c r="S452" i="1"/>
  <c r="T452" i="1"/>
  <c r="U452" i="1"/>
  <c r="X452" i="1"/>
  <c r="Z452" i="1"/>
  <c r="AA452" i="1"/>
  <c r="AB452" i="1"/>
  <c r="AD452" i="1"/>
  <c r="AE452" i="1"/>
  <c r="AM452" i="1"/>
  <c r="AN452" i="1"/>
  <c r="AO452" i="1"/>
  <c r="R453" i="1"/>
  <c r="S453" i="1"/>
  <c r="T453" i="1"/>
  <c r="U453" i="1"/>
  <c r="X453" i="1"/>
  <c r="Y453" i="1"/>
  <c r="Z453" i="1"/>
  <c r="AD453" i="1"/>
  <c r="AE453" i="1"/>
  <c r="AH453" i="1"/>
  <c r="AM453" i="1"/>
  <c r="AN453" i="1"/>
  <c r="AO453" i="1"/>
  <c r="AP453" i="1"/>
  <c r="R454" i="1"/>
  <c r="S454" i="1"/>
  <c r="T454" i="1"/>
  <c r="U454" i="1"/>
  <c r="X454" i="1"/>
  <c r="Z454" i="1"/>
  <c r="AD454" i="1"/>
  <c r="AE454" i="1"/>
  <c r="R455" i="1"/>
  <c r="S455" i="1"/>
  <c r="T455" i="1"/>
  <c r="U455" i="1"/>
  <c r="X455" i="1"/>
  <c r="Y455" i="1"/>
  <c r="Z455" i="1"/>
  <c r="AD455" i="1"/>
  <c r="AE455" i="1"/>
  <c r="AH455" i="1"/>
  <c r="AM455" i="1"/>
  <c r="AN455" i="1"/>
  <c r="AO455" i="1"/>
  <c r="AP455" i="1"/>
  <c r="AQ455" i="1"/>
  <c r="CC455" i="1"/>
  <c r="R456" i="1"/>
  <c r="S456" i="1"/>
  <c r="T456" i="1"/>
  <c r="U456" i="1"/>
  <c r="X456" i="1"/>
  <c r="Y456" i="1"/>
  <c r="Z456" i="1"/>
  <c r="AC456" i="1"/>
  <c r="AD456" i="1"/>
  <c r="AE456" i="1"/>
  <c r="R457" i="1"/>
  <c r="S457" i="1"/>
  <c r="T457" i="1"/>
  <c r="U457" i="1"/>
  <c r="V457" i="1"/>
  <c r="X457" i="1"/>
  <c r="Y457" i="1"/>
  <c r="Z457" i="1"/>
  <c r="AA457" i="1"/>
  <c r="AD457" i="1"/>
  <c r="AE457" i="1"/>
  <c r="FC457" i="1"/>
  <c r="FE457" i="1"/>
  <c r="FH457" i="1"/>
  <c r="R458" i="1"/>
  <c r="S458" i="1"/>
  <c r="T458" i="1"/>
  <c r="U458" i="1"/>
  <c r="X458" i="1"/>
  <c r="Y458" i="1"/>
  <c r="Z458" i="1"/>
  <c r="AA458" i="1"/>
  <c r="AB458" i="1"/>
  <c r="AD458" i="1"/>
  <c r="AE458" i="1"/>
  <c r="AL458" i="1"/>
  <c r="AM458" i="1"/>
  <c r="AN458" i="1"/>
  <c r="AO458" i="1"/>
  <c r="AP458" i="1"/>
  <c r="CC458" i="1"/>
  <c r="R459" i="1"/>
  <c r="S459" i="1"/>
  <c r="T459" i="1"/>
  <c r="U459" i="1"/>
  <c r="V459" i="1"/>
  <c r="X459" i="1"/>
  <c r="Z459" i="1"/>
  <c r="AA459" i="1"/>
  <c r="AB459" i="1"/>
  <c r="AD459" i="1"/>
  <c r="AE459" i="1"/>
  <c r="R460" i="1"/>
  <c r="S460" i="1"/>
  <c r="T460" i="1"/>
  <c r="U460" i="1"/>
  <c r="V460" i="1"/>
  <c r="X460" i="1"/>
  <c r="Y460" i="1"/>
  <c r="Z460" i="1"/>
  <c r="AA460" i="1"/>
  <c r="AB460" i="1"/>
  <c r="AC460" i="1"/>
  <c r="AD460" i="1"/>
  <c r="AE460" i="1"/>
  <c r="AM460" i="1"/>
  <c r="AN460" i="1"/>
  <c r="AO460" i="1"/>
  <c r="FB460" i="1"/>
  <c r="FH460" i="1"/>
  <c r="R461" i="1"/>
  <c r="S461" i="1"/>
  <c r="T461" i="1"/>
  <c r="U461" i="1"/>
  <c r="X461" i="1"/>
  <c r="Y461" i="1"/>
  <c r="Z461" i="1"/>
  <c r="AA461" i="1"/>
  <c r="AB461" i="1"/>
  <c r="AC461" i="1"/>
  <c r="AD461" i="1"/>
  <c r="AE461" i="1"/>
  <c r="CC461" i="1"/>
  <c r="R462" i="1"/>
  <c r="S462" i="1"/>
  <c r="T462" i="1"/>
  <c r="U462" i="1"/>
  <c r="V462" i="1"/>
  <c r="X462" i="1"/>
  <c r="Z462" i="1"/>
  <c r="AD462" i="1"/>
  <c r="AE462" i="1"/>
  <c r="AM462" i="1"/>
  <c r="AN462" i="1"/>
  <c r="AO462" i="1"/>
  <c r="AP462" i="1"/>
  <c r="FB462" i="1"/>
  <c r="FC462" i="1"/>
  <c r="FD462" i="1"/>
  <c r="FE462" i="1"/>
  <c r="FH462" i="1"/>
  <c r="R463" i="1"/>
  <c r="S463" i="1"/>
  <c r="T463" i="1"/>
  <c r="U463" i="1"/>
  <c r="V463" i="1"/>
  <c r="X463" i="1"/>
  <c r="Y463" i="1"/>
  <c r="Z463" i="1"/>
  <c r="AC463" i="1"/>
  <c r="AD463" i="1"/>
  <c r="AE463" i="1"/>
  <c r="CC463" i="1"/>
  <c r="FC463" i="1"/>
  <c r="FE463" i="1"/>
  <c r="FH463" i="1"/>
  <c r="R464" i="1"/>
  <c r="S464" i="1"/>
  <c r="T464" i="1"/>
  <c r="U464" i="1"/>
  <c r="X464" i="1"/>
  <c r="Z464" i="1"/>
  <c r="AA464" i="1"/>
  <c r="AB464" i="1"/>
  <c r="AD464" i="1"/>
  <c r="AE464" i="1"/>
  <c r="AM464" i="1"/>
  <c r="AN464" i="1"/>
  <c r="AO464" i="1"/>
  <c r="R465" i="1"/>
  <c r="S465" i="1"/>
  <c r="T465" i="1"/>
  <c r="U465" i="1"/>
  <c r="X465" i="1"/>
  <c r="Z465" i="1"/>
  <c r="AA465" i="1"/>
  <c r="AB465" i="1"/>
  <c r="AD465" i="1"/>
  <c r="AE465" i="1"/>
  <c r="R466" i="1"/>
  <c r="S466" i="1"/>
  <c r="T466" i="1"/>
  <c r="U466" i="1"/>
  <c r="X466" i="1"/>
  <c r="Y466" i="1"/>
  <c r="Z466" i="1"/>
  <c r="AA466" i="1"/>
  <c r="AB466" i="1"/>
  <c r="AD466" i="1"/>
  <c r="AE466" i="1"/>
  <c r="R467" i="1"/>
  <c r="S467" i="1"/>
  <c r="T467" i="1"/>
  <c r="U467" i="1"/>
  <c r="X467" i="1"/>
  <c r="Z467" i="1"/>
  <c r="AD467" i="1"/>
  <c r="AE467" i="1"/>
  <c r="R468" i="1"/>
  <c r="S468" i="1"/>
  <c r="T468" i="1"/>
  <c r="U468" i="1"/>
  <c r="X468" i="1"/>
  <c r="Z468" i="1"/>
  <c r="AC468" i="1"/>
  <c r="AD468" i="1"/>
  <c r="AE468" i="1"/>
  <c r="R469" i="1"/>
  <c r="S469" i="1"/>
  <c r="T469" i="1"/>
  <c r="U469" i="1"/>
  <c r="X469" i="1"/>
  <c r="Y469" i="1"/>
  <c r="Z469" i="1"/>
  <c r="AA469" i="1"/>
  <c r="AB469" i="1"/>
  <c r="AD469" i="1"/>
  <c r="AE469" i="1"/>
  <c r="AM469" i="1"/>
  <c r="AN469" i="1"/>
  <c r="AO469" i="1"/>
  <c r="AP469" i="1"/>
  <c r="R470" i="1"/>
  <c r="S470" i="1"/>
  <c r="T470" i="1"/>
  <c r="U470" i="1"/>
  <c r="X470" i="1"/>
  <c r="Y470" i="1"/>
  <c r="Z470" i="1"/>
  <c r="AC470" i="1"/>
  <c r="AD470" i="1"/>
  <c r="AE470" i="1"/>
  <c r="AM470" i="1"/>
  <c r="AN470" i="1"/>
  <c r="AO470" i="1"/>
  <c r="AP470" i="1"/>
  <c r="CC470" i="1"/>
  <c r="R471" i="1"/>
  <c r="S471" i="1"/>
  <c r="T471" i="1"/>
  <c r="U471" i="1"/>
  <c r="V471" i="1"/>
  <c r="X471" i="1"/>
  <c r="Z471" i="1"/>
  <c r="AD471" i="1"/>
  <c r="AE471" i="1"/>
  <c r="FB471" i="1"/>
  <c r="FD471" i="1"/>
  <c r="FE471" i="1"/>
  <c r="FH471" i="1"/>
  <c r="R472" i="1"/>
  <c r="S472" i="1"/>
  <c r="T472" i="1"/>
  <c r="U472" i="1"/>
  <c r="X472" i="1"/>
  <c r="Z472" i="1"/>
  <c r="AC472" i="1"/>
  <c r="AD472" i="1"/>
  <c r="AE472" i="1"/>
  <c r="CC472" i="1"/>
  <c r="R473" i="1"/>
  <c r="S473" i="1"/>
  <c r="T473" i="1"/>
  <c r="U473" i="1"/>
  <c r="X473" i="1"/>
  <c r="Y473" i="1"/>
  <c r="Z473" i="1"/>
  <c r="AD473" i="1"/>
  <c r="AE473" i="1"/>
  <c r="R474" i="1"/>
  <c r="S474" i="1"/>
  <c r="T474" i="1"/>
  <c r="U474" i="1"/>
  <c r="V474" i="1"/>
  <c r="X474" i="1"/>
  <c r="Z474" i="1"/>
  <c r="AD474" i="1"/>
  <c r="AE474" i="1"/>
  <c r="AM474" i="1"/>
  <c r="AN474" i="1"/>
  <c r="AO474" i="1"/>
  <c r="AP474" i="1"/>
  <c r="FB474" i="1"/>
  <c r="FC474" i="1"/>
  <c r="FD474" i="1"/>
  <c r="FE474" i="1"/>
  <c r="FH474" i="1"/>
  <c r="R475" i="1"/>
  <c r="S475" i="1"/>
  <c r="T475" i="1"/>
  <c r="U475" i="1"/>
  <c r="V475" i="1"/>
  <c r="X475" i="1"/>
  <c r="Y475" i="1"/>
  <c r="Z475" i="1"/>
  <c r="AC475" i="1"/>
  <c r="AD475" i="1"/>
  <c r="AE475" i="1"/>
  <c r="R476" i="1"/>
  <c r="S476" i="1"/>
  <c r="T476" i="1"/>
  <c r="U476" i="1"/>
  <c r="X476" i="1"/>
  <c r="Y476" i="1"/>
  <c r="Z476" i="1"/>
  <c r="AC476" i="1"/>
  <c r="AD476" i="1"/>
  <c r="AE476" i="1"/>
  <c r="AH476" i="1"/>
  <c r="AM476" i="1"/>
  <c r="AN476" i="1"/>
  <c r="AO476" i="1"/>
  <c r="AP476" i="1"/>
  <c r="CC476" i="1"/>
  <c r="R477" i="1"/>
  <c r="S477" i="1"/>
  <c r="T477" i="1"/>
  <c r="U477" i="1"/>
  <c r="V477" i="1"/>
  <c r="X477" i="1"/>
  <c r="Y477" i="1"/>
  <c r="Z477" i="1"/>
  <c r="AB477" i="1"/>
  <c r="AC477" i="1"/>
  <c r="AD477" i="1"/>
  <c r="AE477" i="1"/>
  <c r="CC477" i="1"/>
  <c r="FB477" i="1"/>
  <c r="FD477" i="1"/>
  <c r="FE477" i="1"/>
  <c r="FH477" i="1"/>
  <c r="R478" i="1"/>
  <c r="S478" i="1"/>
  <c r="T478" i="1"/>
  <c r="U478" i="1"/>
  <c r="X478" i="1"/>
  <c r="Y478" i="1"/>
  <c r="Z478" i="1"/>
  <c r="AD478" i="1"/>
  <c r="AE478" i="1"/>
  <c r="AM478" i="1"/>
  <c r="AN478" i="1"/>
  <c r="AO478" i="1"/>
  <c r="AP478" i="1"/>
  <c r="AQ478" i="1"/>
  <c r="CC478" i="1"/>
  <c r="R479" i="1"/>
  <c r="S479" i="1"/>
  <c r="T479" i="1"/>
  <c r="U479" i="1"/>
  <c r="X479" i="1"/>
  <c r="Y479" i="1"/>
  <c r="Z479" i="1"/>
  <c r="AD479" i="1"/>
  <c r="AE479" i="1"/>
  <c r="CC479" i="1"/>
  <c r="R480" i="1"/>
  <c r="S480" i="1"/>
  <c r="T480" i="1"/>
  <c r="U480" i="1"/>
  <c r="X480" i="1"/>
  <c r="Y480" i="1"/>
  <c r="Z480" i="1"/>
  <c r="AA480" i="1"/>
  <c r="AB480" i="1"/>
  <c r="AC480" i="1"/>
  <c r="AD480" i="1"/>
  <c r="AE480" i="1"/>
  <c r="AH480" i="1"/>
  <c r="AM480" i="1"/>
  <c r="AN480" i="1"/>
  <c r="AO480" i="1"/>
  <c r="AP480" i="1"/>
  <c r="CC480" i="1"/>
  <c r="R481" i="1"/>
  <c r="S481" i="1"/>
  <c r="T481" i="1"/>
  <c r="U481" i="1"/>
  <c r="X481" i="1"/>
  <c r="Z481" i="1"/>
  <c r="AD481" i="1"/>
  <c r="AE481" i="1"/>
  <c r="CC481" i="1"/>
  <c r="R482" i="1"/>
  <c r="S482" i="1"/>
  <c r="T482" i="1"/>
  <c r="U482" i="1"/>
  <c r="V482" i="1"/>
  <c r="X482" i="1"/>
  <c r="Y482" i="1"/>
  <c r="Z482" i="1"/>
  <c r="AA482" i="1"/>
  <c r="AB482" i="1"/>
  <c r="AC482" i="1"/>
  <c r="AD482" i="1"/>
  <c r="AE482" i="1"/>
  <c r="AM482" i="1"/>
  <c r="AN482" i="1"/>
  <c r="AO482" i="1"/>
  <c r="AP482" i="1"/>
  <c r="FB482" i="1"/>
  <c r="FD482" i="1"/>
  <c r="FE482" i="1"/>
  <c r="FH482" i="1"/>
  <c r="R483" i="1"/>
  <c r="S483" i="1"/>
  <c r="T483" i="1"/>
  <c r="U483" i="1"/>
  <c r="X483" i="1"/>
  <c r="Z483" i="1"/>
  <c r="AA483" i="1"/>
  <c r="AB483" i="1"/>
  <c r="AD483" i="1"/>
  <c r="AE483" i="1"/>
  <c r="R484" i="1"/>
  <c r="S484" i="1"/>
  <c r="T484" i="1"/>
  <c r="U484" i="1"/>
  <c r="X484" i="1"/>
  <c r="Z484" i="1"/>
  <c r="AA484" i="1"/>
  <c r="AD484" i="1"/>
  <c r="AE484" i="1"/>
  <c r="AM484" i="1"/>
  <c r="AN484" i="1"/>
  <c r="AO484" i="1"/>
  <c r="AP484" i="1"/>
  <c r="CC484" i="1"/>
  <c r="R485" i="1"/>
  <c r="S485" i="1"/>
  <c r="T485" i="1"/>
  <c r="U485" i="1"/>
  <c r="V485" i="1"/>
  <c r="X485" i="1"/>
  <c r="Y485" i="1"/>
  <c r="Z485" i="1"/>
  <c r="AA485" i="1"/>
  <c r="AB485" i="1"/>
  <c r="AC485" i="1"/>
  <c r="AD485" i="1"/>
  <c r="AE485" i="1"/>
  <c r="AM485" i="1"/>
  <c r="AN485" i="1"/>
  <c r="AO485" i="1"/>
  <c r="AP485" i="1"/>
  <c r="R486" i="1"/>
  <c r="S486" i="1"/>
  <c r="T486" i="1"/>
  <c r="U486" i="1"/>
  <c r="X486" i="1"/>
  <c r="Y486" i="1"/>
  <c r="Z486" i="1"/>
  <c r="AA486" i="1"/>
  <c r="AB486" i="1"/>
  <c r="AC486" i="1"/>
  <c r="AD486" i="1"/>
  <c r="AE486" i="1"/>
  <c r="AH486" i="1"/>
  <c r="AM486" i="1"/>
  <c r="AN486" i="1"/>
  <c r="AO486" i="1"/>
  <c r="FB486" i="1"/>
  <c r="FD486" i="1"/>
  <c r="FH486" i="1"/>
  <c r="R487" i="1"/>
  <c r="S487" i="1"/>
  <c r="T487" i="1"/>
  <c r="U487" i="1"/>
  <c r="X487" i="1"/>
  <c r="Y487" i="1"/>
  <c r="Z487" i="1"/>
  <c r="AA487" i="1"/>
  <c r="AB487" i="1"/>
  <c r="AD487" i="1"/>
  <c r="AE487" i="1"/>
  <c r="R488" i="1"/>
  <c r="S488" i="1"/>
  <c r="T488" i="1"/>
  <c r="U488" i="1"/>
  <c r="X488" i="1"/>
  <c r="Y488" i="1"/>
  <c r="Z488" i="1"/>
  <c r="AC488" i="1"/>
  <c r="AD488" i="1"/>
  <c r="AE488" i="1"/>
  <c r="AM488" i="1"/>
  <c r="AN488" i="1"/>
  <c r="AO488" i="1"/>
  <c r="AP488" i="1"/>
  <c r="FB488" i="1"/>
  <c r="FD488" i="1"/>
  <c r="FE488" i="1"/>
  <c r="FH488" i="1"/>
  <c r="R489" i="1"/>
  <c r="S489" i="1"/>
  <c r="T489" i="1"/>
  <c r="U489" i="1"/>
  <c r="X489" i="1"/>
  <c r="Y489" i="1"/>
  <c r="Z489" i="1"/>
  <c r="AD489" i="1"/>
  <c r="AE489" i="1"/>
  <c r="R490" i="1"/>
  <c r="S490" i="1"/>
  <c r="T490" i="1"/>
  <c r="U490" i="1"/>
  <c r="X490" i="1"/>
  <c r="Y490" i="1"/>
  <c r="Z490" i="1"/>
  <c r="AA490" i="1"/>
  <c r="AD490" i="1"/>
  <c r="AE490" i="1"/>
  <c r="R491" i="1"/>
  <c r="S491" i="1"/>
  <c r="T491" i="1"/>
  <c r="U491" i="1"/>
  <c r="V491" i="1"/>
  <c r="X491" i="1"/>
  <c r="Z491" i="1"/>
  <c r="AD491" i="1"/>
  <c r="AE491" i="1"/>
  <c r="AH491" i="1"/>
  <c r="AM491" i="1"/>
  <c r="AN491" i="1"/>
  <c r="AO491" i="1"/>
  <c r="AP491" i="1"/>
  <c r="BU491" i="1"/>
  <c r="FB491" i="1"/>
  <c r="FD491" i="1"/>
  <c r="FE491" i="1"/>
  <c r="FH491" i="1"/>
  <c r="R492" i="1"/>
  <c r="S492" i="1"/>
  <c r="T492" i="1"/>
  <c r="U492" i="1"/>
  <c r="V492" i="1"/>
  <c r="X492" i="1"/>
  <c r="Z492" i="1"/>
  <c r="AC492" i="1"/>
  <c r="AD492" i="1"/>
  <c r="AE492" i="1"/>
  <c r="AH492" i="1"/>
  <c r="AM492" i="1"/>
  <c r="AN492" i="1"/>
  <c r="AO492" i="1"/>
  <c r="AP492" i="1"/>
  <c r="FB492" i="1"/>
  <c r="FD492" i="1"/>
  <c r="FE492" i="1"/>
  <c r="FH492" i="1"/>
  <c r="R493" i="1"/>
  <c r="S493" i="1"/>
  <c r="T493" i="1"/>
  <c r="U493" i="1"/>
  <c r="V493" i="1"/>
  <c r="X493" i="1"/>
  <c r="Y493" i="1"/>
  <c r="Z493" i="1"/>
  <c r="AC493" i="1"/>
  <c r="AD493" i="1"/>
  <c r="AE493" i="1"/>
  <c r="AL493" i="1"/>
  <c r="AM493" i="1"/>
  <c r="AN493" i="1"/>
  <c r="AO493" i="1"/>
  <c r="AP493" i="1"/>
  <c r="AQ493" i="1"/>
  <c r="R494" i="1"/>
  <c r="S494" i="1"/>
  <c r="T494" i="1"/>
  <c r="U494" i="1"/>
  <c r="X494" i="1"/>
  <c r="Y494" i="1"/>
  <c r="Z494" i="1"/>
  <c r="AA494" i="1"/>
  <c r="AC494" i="1"/>
  <c r="AD494" i="1"/>
  <c r="R495" i="1"/>
  <c r="S495" i="1"/>
  <c r="T495" i="1"/>
  <c r="U495" i="1"/>
  <c r="X495" i="1"/>
  <c r="Y495" i="1"/>
  <c r="Z495" i="1"/>
  <c r="AC495" i="1"/>
  <c r="AD495" i="1"/>
  <c r="AE495" i="1"/>
  <c r="CC495" i="1"/>
  <c r="R496" i="1"/>
  <c r="S496" i="1"/>
  <c r="T496" i="1"/>
  <c r="U496" i="1"/>
  <c r="X496" i="1"/>
  <c r="Z496" i="1"/>
  <c r="AD496" i="1"/>
  <c r="AE496" i="1"/>
  <c r="R497" i="1"/>
  <c r="S497" i="1"/>
  <c r="T497" i="1"/>
  <c r="U497" i="1"/>
  <c r="X497" i="1"/>
  <c r="Y497" i="1"/>
  <c r="Z497" i="1"/>
  <c r="AA497" i="1"/>
  <c r="AB497" i="1"/>
  <c r="AC497" i="1"/>
  <c r="AD497" i="1"/>
  <c r="AE497" i="1"/>
  <c r="AM497" i="1"/>
  <c r="AN497" i="1"/>
  <c r="AO497" i="1"/>
  <c r="AP497" i="1"/>
  <c r="R498" i="1"/>
  <c r="S498" i="1"/>
  <c r="T498" i="1"/>
  <c r="U498" i="1"/>
  <c r="V498" i="1"/>
  <c r="X498" i="1"/>
  <c r="Z498" i="1"/>
  <c r="AD498" i="1"/>
  <c r="AE498" i="1"/>
  <c r="AH498" i="1"/>
  <c r="AI498" i="1"/>
  <c r="AM498" i="1"/>
  <c r="AN498" i="1"/>
  <c r="AO498" i="1"/>
  <c r="AP498" i="1"/>
  <c r="FB498" i="1"/>
  <c r="FD498" i="1"/>
  <c r="FE498" i="1"/>
  <c r="FH498" i="1"/>
  <c r="R499" i="1"/>
  <c r="S499" i="1"/>
  <c r="T499" i="1"/>
  <c r="U499" i="1"/>
  <c r="V499" i="1"/>
  <c r="X499" i="1"/>
  <c r="Y499" i="1"/>
  <c r="Z499" i="1"/>
  <c r="AC499" i="1"/>
  <c r="AD499" i="1"/>
  <c r="AE499" i="1"/>
  <c r="AM499" i="1"/>
  <c r="AN499" i="1"/>
  <c r="AO499" i="1"/>
  <c r="AP499" i="1"/>
  <c r="FB499" i="1"/>
  <c r="FD499" i="1"/>
  <c r="FE499" i="1"/>
  <c r="FH499" i="1"/>
  <c r="R500" i="1"/>
  <c r="S500" i="1"/>
  <c r="T500" i="1"/>
  <c r="U500" i="1"/>
  <c r="V500" i="1"/>
  <c r="X500" i="1"/>
  <c r="Z500" i="1"/>
  <c r="AD500" i="1"/>
  <c r="AE500" i="1"/>
  <c r="FB500" i="1"/>
  <c r="FD500" i="1"/>
  <c r="FE500" i="1"/>
  <c r="FH500" i="1"/>
  <c r="R501" i="1"/>
  <c r="S501" i="1"/>
  <c r="T501" i="1"/>
  <c r="U501" i="1"/>
  <c r="V501" i="1"/>
  <c r="X501" i="1"/>
  <c r="Y501" i="1"/>
  <c r="Z501" i="1"/>
  <c r="AD501" i="1"/>
  <c r="AE501" i="1"/>
  <c r="AK501" i="1"/>
  <c r="AM501" i="1"/>
  <c r="AN501" i="1"/>
  <c r="AO501" i="1"/>
  <c r="AP501" i="1"/>
  <c r="AQ501" i="1"/>
  <c r="FB501" i="1"/>
  <c r="FC501" i="1"/>
  <c r="FD501" i="1"/>
  <c r="FE501" i="1"/>
  <c r="FH501" i="1"/>
  <c r="R502" i="1"/>
  <c r="S502" i="1"/>
  <c r="T502" i="1"/>
  <c r="U502" i="1"/>
  <c r="X502" i="1"/>
  <c r="Z502" i="1"/>
  <c r="AA502" i="1"/>
  <c r="AB502" i="1"/>
  <c r="AD502" i="1"/>
  <c r="AE502" i="1"/>
  <c r="R503" i="1"/>
  <c r="S503" i="1"/>
  <c r="T503" i="1"/>
  <c r="U503" i="1"/>
  <c r="X503" i="1"/>
  <c r="Z503" i="1"/>
  <c r="AA503" i="1"/>
  <c r="AB503" i="1"/>
  <c r="AD503" i="1"/>
  <c r="AE503" i="1"/>
  <c r="AP503" i="1"/>
  <c r="R504" i="1"/>
  <c r="S504" i="1"/>
  <c r="T504" i="1"/>
  <c r="U504" i="1"/>
  <c r="X504" i="1"/>
  <c r="Y504" i="1"/>
  <c r="Z504" i="1"/>
  <c r="AA504" i="1"/>
  <c r="AB504" i="1"/>
  <c r="AC504" i="1"/>
  <c r="AD504" i="1"/>
  <c r="AE504" i="1"/>
  <c r="R505" i="1"/>
  <c r="S505" i="1"/>
  <c r="T505" i="1"/>
  <c r="U505" i="1"/>
  <c r="X505" i="1"/>
  <c r="Y505" i="1"/>
  <c r="Z505" i="1"/>
  <c r="AA505" i="1"/>
  <c r="AB505" i="1"/>
  <c r="AD505" i="1"/>
  <c r="AE505" i="1"/>
  <c r="R506" i="1"/>
  <c r="S506" i="1"/>
  <c r="T506" i="1"/>
  <c r="U506" i="1"/>
  <c r="V506" i="1"/>
  <c r="X506" i="1"/>
  <c r="Z506" i="1"/>
  <c r="AA506" i="1"/>
  <c r="AB506" i="1"/>
  <c r="AD506" i="1"/>
  <c r="AE506" i="1"/>
  <c r="R507" i="1"/>
  <c r="S507" i="1"/>
  <c r="T507" i="1"/>
  <c r="U507" i="1"/>
  <c r="X507" i="1"/>
  <c r="Z507" i="1"/>
  <c r="AD507" i="1"/>
  <c r="AE507" i="1"/>
  <c r="R508" i="1"/>
  <c r="S508" i="1"/>
  <c r="T508" i="1"/>
  <c r="U508" i="1"/>
  <c r="X508" i="1"/>
  <c r="Z508" i="1"/>
  <c r="AD508" i="1"/>
  <c r="AE508" i="1"/>
  <c r="R509" i="1"/>
  <c r="S509" i="1"/>
  <c r="T509" i="1"/>
  <c r="U509" i="1"/>
  <c r="X509" i="1"/>
  <c r="Z509" i="1"/>
  <c r="AD509" i="1"/>
  <c r="AE509" i="1"/>
  <c r="R510" i="1"/>
  <c r="S510" i="1"/>
  <c r="T510" i="1"/>
  <c r="U510" i="1"/>
  <c r="X510" i="1"/>
  <c r="Z510" i="1"/>
  <c r="AD510" i="1"/>
  <c r="AE510" i="1"/>
  <c r="R511" i="1"/>
  <c r="S511" i="1"/>
  <c r="T511" i="1"/>
  <c r="U511" i="1"/>
  <c r="V511" i="1"/>
  <c r="X511" i="1"/>
  <c r="Y511" i="1"/>
  <c r="Z511" i="1"/>
  <c r="AA511" i="1"/>
  <c r="AB511" i="1"/>
  <c r="AC511" i="1"/>
  <c r="AD511" i="1"/>
  <c r="AE511" i="1"/>
  <c r="AM511" i="1"/>
  <c r="AN511" i="1"/>
  <c r="AO511" i="1"/>
  <c r="AP511" i="1"/>
  <c r="FB511" i="1"/>
  <c r="FD511" i="1"/>
  <c r="FE511" i="1"/>
  <c r="FH511" i="1"/>
  <c r="R512" i="1"/>
  <c r="S512" i="1"/>
  <c r="T512" i="1"/>
  <c r="U512" i="1"/>
  <c r="X512" i="1"/>
  <c r="Y512" i="1"/>
  <c r="Z512" i="1"/>
  <c r="AA512" i="1"/>
  <c r="AB512" i="1"/>
  <c r="AD512" i="1"/>
  <c r="AE512" i="1"/>
  <c r="R513" i="1"/>
  <c r="S513" i="1"/>
  <c r="T513" i="1"/>
  <c r="U513" i="1"/>
  <c r="V513" i="1"/>
  <c r="X513" i="1"/>
  <c r="Y513" i="1"/>
  <c r="Z513" i="1"/>
  <c r="AA513" i="1"/>
  <c r="AB513" i="1"/>
  <c r="AC513" i="1"/>
  <c r="AD513" i="1"/>
  <c r="AE513" i="1"/>
  <c r="AM513" i="1"/>
  <c r="AN513" i="1"/>
  <c r="AO513" i="1"/>
  <c r="AP513" i="1"/>
  <c r="FB513" i="1"/>
  <c r="FD513" i="1"/>
  <c r="FE513" i="1"/>
  <c r="FH513" i="1"/>
  <c r="R514" i="1"/>
  <c r="S514" i="1"/>
  <c r="T514" i="1"/>
  <c r="U514" i="1"/>
  <c r="V514" i="1"/>
  <c r="X514" i="1"/>
  <c r="Y514" i="1"/>
  <c r="Z514" i="1"/>
  <c r="AC514" i="1"/>
  <c r="AD514" i="1"/>
  <c r="AE514" i="1"/>
  <c r="AI514" i="1"/>
  <c r="AM514" i="1"/>
  <c r="AN514" i="1"/>
  <c r="AO514" i="1"/>
  <c r="AP514" i="1"/>
  <c r="FB514" i="1"/>
  <c r="FD514" i="1"/>
  <c r="FE514" i="1"/>
  <c r="FH514" i="1"/>
  <c r="R515" i="1"/>
  <c r="S515" i="1"/>
  <c r="T515" i="1"/>
  <c r="U515" i="1"/>
  <c r="X515" i="1"/>
  <c r="Y515" i="1"/>
  <c r="Z515" i="1"/>
  <c r="AA515" i="1"/>
  <c r="AB515" i="1"/>
  <c r="AD515" i="1"/>
  <c r="AE515" i="1"/>
  <c r="AH515" i="1"/>
  <c r="AM515" i="1"/>
  <c r="AN515" i="1"/>
  <c r="AO515" i="1"/>
  <c r="AP515" i="1"/>
  <c r="R516" i="1"/>
  <c r="S516" i="1"/>
  <c r="T516" i="1"/>
  <c r="U516" i="1"/>
  <c r="X516" i="1"/>
  <c r="Y516" i="1"/>
  <c r="Z516" i="1"/>
  <c r="AA516" i="1"/>
  <c r="AC516" i="1"/>
  <c r="AD516" i="1"/>
  <c r="AE516" i="1"/>
  <c r="AH516" i="1"/>
  <c r="AK516" i="1"/>
  <c r="AM516" i="1"/>
  <c r="AN516" i="1"/>
  <c r="AO516" i="1"/>
  <c r="AP516" i="1"/>
  <c r="R517" i="1"/>
  <c r="S517" i="1"/>
  <c r="T517" i="1"/>
  <c r="U517" i="1"/>
  <c r="X517" i="1"/>
  <c r="Y517" i="1"/>
  <c r="Z517" i="1"/>
  <c r="AD517" i="1"/>
  <c r="AE517" i="1"/>
  <c r="R518" i="1"/>
  <c r="S518" i="1"/>
  <c r="T518" i="1"/>
  <c r="U518" i="1"/>
  <c r="V518" i="1"/>
  <c r="X518" i="1"/>
  <c r="Z518" i="1"/>
  <c r="AA518" i="1"/>
  <c r="AB518" i="1"/>
  <c r="AD518" i="1"/>
  <c r="AE518" i="1"/>
  <c r="FB518" i="1"/>
  <c r="FH518" i="1"/>
  <c r="R519" i="1"/>
  <c r="S519" i="1"/>
  <c r="T519" i="1"/>
  <c r="U519" i="1"/>
  <c r="X519" i="1"/>
  <c r="Z519" i="1"/>
  <c r="AA519" i="1"/>
  <c r="AB519" i="1"/>
  <c r="AC519" i="1"/>
  <c r="AD519" i="1"/>
  <c r="AE519" i="1"/>
  <c r="AM519" i="1"/>
  <c r="AN519" i="1"/>
  <c r="AO519" i="1"/>
  <c r="AP519" i="1"/>
  <c r="R520" i="1"/>
  <c r="S520" i="1"/>
  <c r="T520" i="1"/>
  <c r="U520" i="1"/>
  <c r="X520" i="1"/>
  <c r="Z520" i="1"/>
  <c r="AA520" i="1"/>
  <c r="AB520" i="1"/>
  <c r="AC520" i="1"/>
  <c r="AD520" i="1"/>
  <c r="AE520" i="1"/>
  <c r="AM520" i="1"/>
  <c r="AN520" i="1"/>
  <c r="AO520" i="1"/>
  <c r="AP520" i="1"/>
  <c r="R521" i="1"/>
  <c r="S521" i="1"/>
  <c r="T521" i="1"/>
  <c r="U521" i="1"/>
  <c r="X521" i="1"/>
  <c r="Y521" i="1"/>
  <c r="Z521" i="1"/>
  <c r="AA521" i="1"/>
  <c r="AB521" i="1"/>
  <c r="AD521" i="1"/>
  <c r="AE521" i="1"/>
  <c r="AO521" i="1"/>
  <c r="R522" i="1"/>
  <c r="S522" i="1"/>
  <c r="T522" i="1"/>
  <c r="U522" i="1"/>
  <c r="X522" i="1"/>
  <c r="Z522" i="1"/>
  <c r="AA522" i="1"/>
  <c r="AB522" i="1"/>
  <c r="AD522" i="1"/>
  <c r="AE522" i="1"/>
  <c r="R523" i="1"/>
  <c r="S523" i="1"/>
  <c r="T523" i="1"/>
  <c r="U523" i="1"/>
  <c r="X523" i="1"/>
  <c r="Z523" i="1"/>
  <c r="AA523" i="1"/>
  <c r="AB523" i="1"/>
  <c r="AD523" i="1"/>
  <c r="AE523" i="1"/>
  <c r="R524" i="1"/>
  <c r="S524" i="1"/>
  <c r="T524" i="1"/>
  <c r="U524" i="1"/>
  <c r="X524" i="1"/>
  <c r="Y524" i="1"/>
  <c r="Z524" i="1"/>
  <c r="AA524" i="1"/>
  <c r="AB524" i="1"/>
  <c r="AD524" i="1"/>
  <c r="AE524" i="1"/>
  <c r="AM524" i="1"/>
  <c r="AN524" i="1"/>
  <c r="AO524" i="1"/>
  <c r="AP524" i="1"/>
  <c r="R525" i="1"/>
  <c r="S525" i="1"/>
  <c r="T525" i="1"/>
  <c r="U525" i="1"/>
  <c r="V525" i="1"/>
  <c r="X525" i="1"/>
  <c r="Z525" i="1"/>
  <c r="AA525" i="1"/>
  <c r="AC525" i="1"/>
  <c r="AD525" i="1"/>
  <c r="AE525" i="1"/>
  <c r="AH525" i="1"/>
  <c r="AL525" i="1"/>
  <c r="AM525" i="1"/>
  <c r="AN525" i="1"/>
  <c r="AO525" i="1"/>
  <c r="AP525" i="1"/>
  <c r="AQ525" i="1"/>
  <c r="FB525" i="1"/>
  <c r="FC525" i="1"/>
  <c r="FD525" i="1"/>
  <c r="FE525" i="1"/>
  <c r="FH525" i="1"/>
  <c r="R526" i="1"/>
  <c r="S526" i="1"/>
  <c r="T526" i="1"/>
  <c r="U526" i="1"/>
  <c r="X526" i="1"/>
  <c r="Z526" i="1"/>
  <c r="AD526" i="1"/>
  <c r="AE526" i="1"/>
  <c r="AH526" i="1"/>
  <c r="AL526" i="1"/>
  <c r="AM526" i="1"/>
  <c r="AN526" i="1"/>
  <c r="AO526" i="1"/>
  <c r="AP526" i="1"/>
  <c r="AQ526" i="1"/>
  <c r="R527" i="1"/>
  <c r="S527" i="1"/>
  <c r="T527" i="1"/>
  <c r="U527" i="1"/>
  <c r="X527" i="1"/>
  <c r="Y527" i="1"/>
  <c r="Z527" i="1"/>
  <c r="AC527" i="1"/>
  <c r="AD527" i="1"/>
  <c r="AE527" i="1"/>
  <c r="AM527" i="1"/>
  <c r="AN527" i="1"/>
  <c r="AO527" i="1"/>
  <c r="AP527" i="1"/>
  <c r="R528" i="1"/>
  <c r="S528" i="1"/>
  <c r="T528" i="1"/>
  <c r="U528" i="1"/>
  <c r="X528" i="1"/>
  <c r="Z528" i="1"/>
  <c r="AA528" i="1"/>
  <c r="AB528" i="1"/>
  <c r="AD528" i="1"/>
  <c r="AE528" i="1"/>
  <c r="AM528" i="1"/>
  <c r="AN528" i="1"/>
  <c r="AO528" i="1"/>
  <c r="AP528" i="1"/>
  <c r="R529" i="1"/>
  <c r="S529" i="1"/>
  <c r="T529" i="1"/>
  <c r="U529" i="1"/>
  <c r="X529" i="1"/>
  <c r="Z529" i="1"/>
  <c r="AA529" i="1"/>
  <c r="AB529" i="1"/>
  <c r="AD529" i="1"/>
  <c r="AE529" i="1"/>
  <c r="AM529" i="1"/>
  <c r="AN529" i="1"/>
  <c r="AO529" i="1"/>
  <c r="AP529" i="1"/>
  <c r="R530" i="1"/>
  <c r="S530" i="1"/>
  <c r="T530" i="1"/>
  <c r="U530" i="1"/>
  <c r="X530" i="1"/>
  <c r="Z530" i="1"/>
  <c r="AA530" i="1"/>
  <c r="AB530" i="1"/>
  <c r="AC530" i="1"/>
  <c r="AD530" i="1"/>
  <c r="AE530" i="1"/>
  <c r="R531" i="1"/>
  <c r="S531" i="1"/>
  <c r="T531" i="1"/>
  <c r="U531" i="1"/>
  <c r="X531" i="1"/>
  <c r="Z531" i="1"/>
  <c r="AA531" i="1"/>
  <c r="AB531" i="1"/>
  <c r="AD531" i="1"/>
  <c r="AE531" i="1"/>
  <c r="AM531" i="1"/>
  <c r="AN531" i="1"/>
  <c r="AO531" i="1"/>
  <c r="R532" i="1"/>
  <c r="S532" i="1"/>
  <c r="T532" i="1"/>
  <c r="U532" i="1"/>
  <c r="X532" i="1"/>
  <c r="Z532" i="1"/>
  <c r="AA532" i="1"/>
  <c r="AB532" i="1"/>
  <c r="AC532" i="1"/>
  <c r="AD532" i="1"/>
  <c r="AE532" i="1"/>
  <c r="R533" i="1"/>
  <c r="S533" i="1"/>
  <c r="T533" i="1"/>
  <c r="U533" i="1"/>
  <c r="V533" i="1"/>
  <c r="X533" i="1"/>
  <c r="Z533" i="1"/>
  <c r="AC533" i="1"/>
  <c r="AD533" i="1"/>
  <c r="AE533" i="1"/>
  <c r="AH533" i="1"/>
  <c r="AL533" i="1"/>
  <c r="AM533" i="1"/>
  <c r="AN533" i="1"/>
  <c r="AO533" i="1"/>
  <c r="AP533" i="1"/>
  <c r="FB533" i="1"/>
  <c r="FD533" i="1"/>
  <c r="FE533" i="1"/>
  <c r="FH533" i="1"/>
  <c r="R534" i="1"/>
  <c r="S534" i="1"/>
  <c r="T534" i="1"/>
  <c r="U534" i="1"/>
  <c r="V534" i="1"/>
  <c r="X534" i="1"/>
  <c r="Y534" i="1"/>
  <c r="Z534" i="1"/>
  <c r="AC534" i="1"/>
  <c r="AD534" i="1"/>
  <c r="AE534" i="1"/>
  <c r="AH534" i="1"/>
  <c r="AL534" i="1"/>
  <c r="AM534" i="1"/>
  <c r="AN534" i="1"/>
  <c r="AO534" i="1"/>
  <c r="AP534" i="1"/>
  <c r="FB534" i="1"/>
  <c r="FD534" i="1"/>
  <c r="FE534" i="1"/>
  <c r="FH534" i="1"/>
  <c r="R535" i="1"/>
  <c r="S535" i="1"/>
  <c r="T535" i="1"/>
  <c r="U535" i="1"/>
  <c r="X535" i="1"/>
  <c r="Y535" i="1"/>
  <c r="Z535" i="1"/>
  <c r="AA535" i="1"/>
  <c r="AB535" i="1"/>
  <c r="AD535" i="1"/>
  <c r="AE535" i="1"/>
  <c r="R536" i="1"/>
  <c r="S536" i="1"/>
  <c r="T536" i="1"/>
  <c r="U536" i="1"/>
  <c r="X536" i="1"/>
  <c r="Z536" i="1"/>
  <c r="AA536" i="1"/>
  <c r="AB536" i="1"/>
  <c r="AD536" i="1"/>
  <c r="AE536" i="1"/>
  <c r="AO536" i="1"/>
  <c r="AP536" i="1"/>
  <c r="R537" i="1"/>
  <c r="S537" i="1"/>
  <c r="T537" i="1"/>
  <c r="U537" i="1"/>
  <c r="X537" i="1"/>
  <c r="Y537" i="1"/>
  <c r="Z537" i="1"/>
  <c r="AC537" i="1"/>
  <c r="AD537" i="1"/>
  <c r="AE537" i="1"/>
  <c r="AH537" i="1"/>
  <c r="AM537" i="1"/>
  <c r="AN537" i="1"/>
  <c r="AO537" i="1"/>
  <c r="AP537" i="1"/>
  <c r="CC537" i="1"/>
  <c r="R538" i="1"/>
  <c r="S538" i="1"/>
  <c r="T538" i="1"/>
  <c r="U538" i="1"/>
  <c r="X538" i="1"/>
  <c r="Y538" i="1"/>
  <c r="Z538" i="1"/>
  <c r="AD538" i="1"/>
  <c r="AE538" i="1"/>
  <c r="AM538" i="1"/>
  <c r="AN538" i="1"/>
  <c r="AO538" i="1"/>
  <c r="AP538" i="1"/>
  <c r="R539" i="1"/>
  <c r="S539" i="1"/>
  <c r="T539" i="1"/>
  <c r="U539" i="1"/>
  <c r="X539" i="1"/>
  <c r="Z539" i="1"/>
  <c r="AC539" i="1"/>
  <c r="AD539" i="1"/>
  <c r="AE539" i="1"/>
  <c r="CC539" i="1"/>
  <c r="R540" i="1"/>
  <c r="S540" i="1"/>
  <c r="T540" i="1"/>
  <c r="U540" i="1"/>
  <c r="X540" i="1"/>
  <c r="Z540" i="1"/>
  <c r="AC540" i="1"/>
  <c r="AD540" i="1"/>
  <c r="AE540" i="1"/>
  <c r="R541" i="1"/>
  <c r="S541" i="1"/>
  <c r="T541" i="1"/>
  <c r="U541" i="1"/>
  <c r="X541" i="1"/>
  <c r="Z541" i="1"/>
  <c r="AC541" i="1"/>
  <c r="AD541" i="1"/>
  <c r="AE541" i="1"/>
  <c r="CC541" i="1"/>
  <c r="R542" i="1"/>
  <c r="S542" i="1"/>
  <c r="T542" i="1"/>
  <c r="U542" i="1"/>
  <c r="X542" i="1"/>
  <c r="Y542" i="1"/>
  <c r="Z542" i="1"/>
  <c r="AB542" i="1"/>
  <c r="AD542" i="1"/>
  <c r="AE542" i="1"/>
  <c r="AL542" i="1"/>
  <c r="AM542" i="1"/>
  <c r="AN542" i="1"/>
  <c r="AO542" i="1"/>
  <c r="AP542" i="1"/>
  <c r="R543" i="1"/>
  <c r="S543" i="1"/>
  <c r="T543" i="1"/>
  <c r="U543" i="1"/>
  <c r="X543" i="1"/>
  <c r="Y543" i="1"/>
  <c r="Z543" i="1"/>
  <c r="AA543" i="1"/>
  <c r="AB543" i="1"/>
  <c r="AC543" i="1"/>
  <c r="AD543" i="1"/>
  <c r="AE543" i="1"/>
  <c r="AH543" i="1"/>
  <c r="AM543" i="1"/>
  <c r="AN543" i="1"/>
  <c r="AO543" i="1"/>
  <c r="CC543" i="1"/>
  <c r="R544" i="1"/>
  <c r="S544" i="1"/>
  <c r="T544" i="1"/>
  <c r="U544" i="1"/>
  <c r="V544" i="1"/>
  <c r="X544" i="1"/>
  <c r="Y544" i="1"/>
  <c r="Z544" i="1"/>
  <c r="AA544" i="1"/>
  <c r="AB544" i="1"/>
  <c r="AC544" i="1"/>
  <c r="AD544" i="1"/>
  <c r="AE544" i="1"/>
  <c r="R545" i="1"/>
  <c r="S545" i="1"/>
  <c r="T545" i="1"/>
  <c r="U545" i="1"/>
  <c r="X545" i="1"/>
  <c r="Z545" i="1"/>
  <c r="AC545" i="1"/>
  <c r="AD545" i="1"/>
  <c r="AE545" i="1"/>
  <c r="CC545" i="1"/>
  <c r="R546" i="1"/>
  <c r="S546" i="1"/>
  <c r="T546" i="1"/>
  <c r="U546" i="1"/>
  <c r="V546" i="1"/>
  <c r="X546" i="1"/>
  <c r="Y546" i="1"/>
  <c r="Z546" i="1"/>
  <c r="AD546" i="1"/>
  <c r="AE546" i="1"/>
  <c r="FB546" i="1"/>
  <c r="FD546" i="1"/>
  <c r="FE546" i="1"/>
  <c r="FH546" i="1"/>
  <c r="R547" i="1"/>
  <c r="S547" i="1"/>
  <c r="T547" i="1"/>
  <c r="U547" i="1"/>
  <c r="X547" i="1"/>
  <c r="Z547" i="1"/>
  <c r="AA547" i="1"/>
  <c r="AB547" i="1"/>
  <c r="AD547" i="1"/>
  <c r="AE547" i="1"/>
  <c r="AM547" i="1"/>
  <c r="AN547" i="1"/>
  <c r="AO547" i="1"/>
  <c r="R548" i="1"/>
  <c r="S548" i="1"/>
  <c r="T548" i="1"/>
  <c r="U548" i="1"/>
  <c r="V548" i="1"/>
  <c r="X548" i="1"/>
  <c r="Y548" i="1"/>
  <c r="Z548" i="1"/>
  <c r="AA548" i="1"/>
  <c r="AB548" i="1"/>
  <c r="AC548" i="1"/>
  <c r="AD548" i="1"/>
  <c r="AE548" i="1"/>
  <c r="AM548" i="1"/>
  <c r="AN548" i="1"/>
  <c r="AO548" i="1"/>
  <c r="AP548" i="1"/>
  <c r="FB548" i="1"/>
  <c r="FD548" i="1"/>
  <c r="FH548" i="1"/>
  <c r="R549" i="1"/>
  <c r="S549" i="1"/>
  <c r="T549" i="1"/>
  <c r="U549" i="1"/>
  <c r="X549" i="1"/>
  <c r="Z549" i="1"/>
  <c r="AD549" i="1"/>
  <c r="AE549" i="1"/>
  <c r="CC549" i="1"/>
  <c r="R550" i="1"/>
  <c r="S550" i="1"/>
  <c r="T550" i="1"/>
  <c r="U550" i="1"/>
  <c r="X550" i="1"/>
  <c r="Z550" i="1"/>
  <c r="AD550" i="1"/>
  <c r="AE550" i="1"/>
  <c r="R551" i="1"/>
  <c r="S551" i="1"/>
  <c r="T551" i="1"/>
  <c r="U551" i="1"/>
  <c r="X551" i="1"/>
  <c r="Z551" i="1"/>
  <c r="AC551" i="1"/>
  <c r="AD551" i="1"/>
  <c r="AE551" i="1"/>
  <c r="AM551" i="1"/>
  <c r="AN551" i="1"/>
  <c r="AO551" i="1"/>
  <c r="AP551" i="1"/>
  <c r="CC551" i="1"/>
  <c r="R552" i="1"/>
  <c r="S552" i="1"/>
  <c r="T552" i="1"/>
  <c r="U552" i="1"/>
  <c r="X552" i="1"/>
  <c r="Z552" i="1"/>
  <c r="AC552" i="1"/>
  <c r="AD552" i="1"/>
  <c r="AE552" i="1"/>
  <c r="AH552" i="1"/>
  <c r="AM552" i="1"/>
  <c r="AN552" i="1"/>
  <c r="AO552" i="1"/>
  <c r="AP552" i="1"/>
  <c r="AQ552" i="1"/>
  <c r="CC552" i="1"/>
  <c r="R553" i="1"/>
  <c r="S553" i="1"/>
  <c r="T553" i="1"/>
  <c r="U553" i="1"/>
  <c r="V553" i="1"/>
  <c r="X553" i="1"/>
  <c r="Y553" i="1"/>
  <c r="Z553" i="1"/>
  <c r="AC553" i="1"/>
  <c r="AD553" i="1"/>
  <c r="AE553" i="1"/>
  <c r="FB553" i="1"/>
  <c r="FD553" i="1"/>
  <c r="FE553" i="1"/>
  <c r="FH553" i="1"/>
  <c r="R554" i="1"/>
  <c r="S554" i="1"/>
  <c r="T554" i="1"/>
  <c r="U554" i="1"/>
  <c r="X554" i="1"/>
  <c r="Z554" i="1"/>
  <c r="AA554" i="1"/>
  <c r="AB554" i="1"/>
  <c r="AD554" i="1"/>
  <c r="AE554" i="1"/>
  <c r="AM554" i="1"/>
  <c r="AN554" i="1"/>
  <c r="AO554" i="1"/>
  <c r="AP554" i="1"/>
  <c r="R555" i="1"/>
  <c r="S555" i="1"/>
  <c r="T555" i="1"/>
  <c r="U555" i="1"/>
  <c r="X555" i="1"/>
  <c r="Z555" i="1"/>
  <c r="AD555" i="1"/>
  <c r="AE555" i="1"/>
  <c r="AH555" i="1"/>
  <c r="AM555" i="1"/>
  <c r="AN555" i="1"/>
  <c r="AO555" i="1"/>
  <c r="AP555" i="1"/>
  <c r="R556" i="1"/>
  <c r="S556" i="1"/>
  <c r="T556" i="1"/>
  <c r="U556" i="1"/>
  <c r="V556" i="1"/>
  <c r="X556" i="1"/>
  <c r="Z556" i="1"/>
  <c r="AC556" i="1"/>
  <c r="AD556" i="1"/>
  <c r="AE556" i="1"/>
  <c r="FB556" i="1"/>
  <c r="FD556" i="1"/>
  <c r="FE556" i="1"/>
  <c r="FH556" i="1"/>
  <c r="R557" i="1"/>
  <c r="S557" i="1"/>
  <c r="T557" i="1"/>
  <c r="U557" i="1"/>
  <c r="X557" i="1"/>
  <c r="Z557" i="1"/>
  <c r="AD557" i="1"/>
  <c r="AE557" i="1"/>
  <c r="AM557" i="1"/>
  <c r="AN557" i="1"/>
  <c r="AO557" i="1"/>
  <c r="AP557" i="1"/>
  <c r="CC557" i="1"/>
  <c r="FE557" i="1"/>
  <c r="FH557" i="1"/>
  <c r="R558" i="1"/>
  <c r="S558" i="1"/>
  <c r="T558" i="1"/>
  <c r="U558" i="1"/>
  <c r="V558" i="1"/>
  <c r="X558" i="1"/>
  <c r="Y558" i="1"/>
  <c r="Z558" i="1"/>
  <c r="AD558" i="1"/>
  <c r="AE558" i="1"/>
  <c r="AM558" i="1"/>
  <c r="AN558" i="1"/>
  <c r="AO558" i="1"/>
  <c r="AP558" i="1"/>
  <c r="FB558" i="1"/>
  <c r="FD558" i="1"/>
  <c r="FE558" i="1"/>
  <c r="FH558" i="1"/>
  <c r="R559" i="1"/>
  <c r="S559" i="1"/>
  <c r="T559" i="1"/>
  <c r="U559" i="1"/>
  <c r="X559" i="1"/>
  <c r="Z559" i="1"/>
  <c r="AD559" i="1"/>
  <c r="AE559" i="1"/>
  <c r="AM559" i="1"/>
  <c r="AN559" i="1"/>
  <c r="AO559" i="1"/>
  <c r="AP559" i="1"/>
  <c r="R560" i="1"/>
  <c r="S560" i="1"/>
  <c r="T560" i="1"/>
  <c r="U560" i="1"/>
  <c r="X560" i="1"/>
  <c r="Y560" i="1"/>
  <c r="Z560" i="1"/>
  <c r="AA560" i="1"/>
  <c r="AC560" i="1"/>
  <c r="AD560" i="1"/>
  <c r="AE560" i="1"/>
  <c r="R561" i="1"/>
  <c r="S561" i="1"/>
  <c r="T561" i="1"/>
  <c r="U561" i="1"/>
  <c r="X561" i="1"/>
  <c r="Y561" i="1"/>
  <c r="Z561" i="1"/>
  <c r="AA561" i="1"/>
  <c r="AC561" i="1"/>
  <c r="AD561" i="1"/>
  <c r="AE561" i="1"/>
  <c r="R562" i="1"/>
  <c r="S562" i="1"/>
  <c r="T562" i="1"/>
  <c r="U562" i="1"/>
  <c r="X562" i="1"/>
  <c r="Z562" i="1"/>
  <c r="AA562" i="1"/>
  <c r="AB562" i="1"/>
  <c r="AC562" i="1"/>
  <c r="AD562" i="1"/>
  <c r="AE562" i="1"/>
  <c r="R563" i="1"/>
  <c r="S563" i="1"/>
  <c r="T563" i="1"/>
  <c r="U563" i="1"/>
  <c r="V563" i="1"/>
  <c r="X563" i="1"/>
  <c r="Y563" i="1"/>
  <c r="Z563" i="1"/>
  <c r="AC563" i="1"/>
  <c r="AD563" i="1"/>
  <c r="AE563" i="1"/>
  <c r="FB563" i="1"/>
  <c r="FD563" i="1"/>
  <c r="FE563" i="1"/>
  <c r="FH563" i="1"/>
  <c r="R564" i="1"/>
  <c r="S564" i="1"/>
  <c r="T564" i="1"/>
  <c r="U564" i="1"/>
  <c r="V564" i="1"/>
  <c r="X564" i="1"/>
  <c r="Y564" i="1"/>
  <c r="Z564" i="1"/>
  <c r="AD564" i="1"/>
  <c r="AE564" i="1"/>
  <c r="AI564" i="1"/>
  <c r="FB564" i="1"/>
  <c r="FD564" i="1"/>
  <c r="FE564" i="1"/>
  <c r="FH564" i="1"/>
  <c r="R565" i="1"/>
  <c r="S565" i="1"/>
  <c r="T565" i="1"/>
  <c r="U565" i="1"/>
  <c r="X565" i="1"/>
  <c r="Y565" i="1"/>
  <c r="Z565" i="1"/>
  <c r="AA565" i="1"/>
  <c r="AB565" i="1"/>
  <c r="AC565" i="1"/>
  <c r="AD565" i="1"/>
  <c r="AE565" i="1"/>
  <c r="R566" i="1"/>
  <c r="S566" i="1"/>
  <c r="T566" i="1"/>
  <c r="U566" i="1"/>
  <c r="X566" i="1"/>
  <c r="Y566" i="1"/>
  <c r="Z566" i="1"/>
  <c r="AB566" i="1"/>
  <c r="AD566" i="1"/>
  <c r="AE566" i="1"/>
  <c r="CC566" i="1"/>
  <c r="R567" i="1"/>
  <c r="S567" i="1"/>
  <c r="T567" i="1"/>
  <c r="U567" i="1"/>
  <c r="X567" i="1"/>
  <c r="Y567" i="1"/>
  <c r="Z567" i="1"/>
  <c r="AA567" i="1"/>
  <c r="AB567" i="1"/>
  <c r="AC567" i="1"/>
  <c r="AD567" i="1"/>
  <c r="AE567" i="1"/>
  <c r="AI567" i="1"/>
  <c r="AM567" i="1"/>
  <c r="AN567" i="1"/>
  <c r="AO567" i="1"/>
  <c r="AP567" i="1"/>
  <c r="R568" i="1"/>
  <c r="S568" i="1"/>
  <c r="T568" i="1"/>
  <c r="U568" i="1"/>
  <c r="X568" i="1"/>
  <c r="Y568" i="1"/>
  <c r="Z568" i="1"/>
  <c r="AA568" i="1"/>
  <c r="AB568" i="1"/>
  <c r="AC568" i="1"/>
  <c r="AD568" i="1"/>
  <c r="AE568" i="1"/>
  <c r="R569" i="1"/>
  <c r="S569" i="1"/>
  <c r="T569" i="1"/>
  <c r="U569" i="1"/>
  <c r="X569" i="1"/>
  <c r="Z569" i="1"/>
  <c r="AA569" i="1"/>
  <c r="AB569" i="1"/>
  <c r="AD569" i="1"/>
  <c r="AE569" i="1"/>
  <c r="R570" i="1"/>
  <c r="S570" i="1"/>
  <c r="T570" i="1"/>
  <c r="U570" i="1"/>
  <c r="X570" i="1"/>
  <c r="Y570" i="1"/>
  <c r="Z570" i="1"/>
  <c r="AA570" i="1"/>
  <c r="AB570" i="1"/>
  <c r="AD570" i="1"/>
  <c r="AE570" i="1"/>
  <c r="AM570" i="1"/>
  <c r="AN570" i="1"/>
  <c r="AO570" i="1"/>
  <c r="AP570" i="1"/>
  <c r="R571" i="1"/>
  <c r="S571" i="1"/>
  <c r="T571" i="1"/>
  <c r="U571" i="1"/>
  <c r="X571" i="1"/>
  <c r="Z571" i="1"/>
  <c r="AD571" i="1"/>
  <c r="AE571" i="1"/>
  <c r="R572" i="1"/>
  <c r="S572" i="1"/>
  <c r="T572" i="1"/>
  <c r="U572" i="1"/>
  <c r="X572" i="1"/>
  <c r="Y572" i="1"/>
  <c r="Z572" i="1"/>
  <c r="AA572" i="1"/>
  <c r="AB572" i="1"/>
  <c r="AD572" i="1"/>
  <c r="AE572" i="1"/>
  <c r="AM572" i="1"/>
  <c r="AN572" i="1"/>
  <c r="AO572" i="1"/>
  <c r="AP572" i="1"/>
  <c r="R573" i="1"/>
  <c r="S573" i="1"/>
  <c r="T573" i="1"/>
  <c r="U573" i="1"/>
  <c r="X573" i="1"/>
  <c r="Y573" i="1"/>
  <c r="Z573" i="1"/>
  <c r="AC573" i="1"/>
  <c r="AD573" i="1"/>
  <c r="AE573" i="1"/>
  <c r="R574" i="1"/>
  <c r="S574" i="1"/>
  <c r="T574" i="1"/>
  <c r="U574" i="1"/>
  <c r="X574" i="1"/>
  <c r="Z574" i="1"/>
  <c r="AD574" i="1"/>
  <c r="AE574" i="1"/>
  <c r="R575" i="1"/>
  <c r="S575" i="1"/>
  <c r="T575" i="1"/>
  <c r="U575" i="1"/>
  <c r="V575" i="1"/>
  <c r="X575" i="1"/>
  <c r="Z575" i="1"/>
  <c r="AC575" i="1"/>
  <c r="AD575" i="1"/>
  <c r="AE575" i="1"/>
  <c r="AG575" i="1"/>
  <c r="AH575" i="1"/>
  <c r="AM575" i="1"/>
  <c r="AN575" i="1"/>
  <c r="AO575" i="1"/>
  <c r="AP575" i="1"/>
  <c r="R576" i="1"/>
  <c r="S576" i="1"/>
  <c r="T576" i="1"/>
  <c r="U576" i="1"/>
  <c r="V576" i="1"/>
  <c r="X576" i="1"/>
  <c r="Y576" i="1"/>
  <c r="Z576" i="1"/>
  <c r="AA576" i="1"/>
  <c r="AB576" i="1"/>
  <c r="AC576" i="1"/>
  <c r="AD576" i="1"/>
  <c r="AE576" i="1"/>
  <c r="FB576" i="1"/>
  <c r="FD576" i="1"/>
  <c r="FE576" i="1"/>
  <c r="FH576" i="1"/>
  <c r="R577" i="1"/>
  <c r="S577" i="1"/>
  <c r="T577" i="1"/>
  <c r="U577" i="1"/>
  <c r="X577" i="1"/>
  <c r="Z577" i="1"/>
  <c r="AA577" i="1"/>
  <c r="AB577" i="1"/>
  <c r="AD577" i="1"/>
  <c r="AE577" i="1"/>
  <c r="AO577" i="1"/>
  <c r="AP577" i="1"/>
  <c r="R578" i="1"/>
  <c r="S578" i="1"/>
  <c r="T578" i="1"/>
  <c r="U578" i="1"/>
  <c r="X578" i="1"/>
  <c r="Z578" i="1"/>
  <c r="AC578" i="1"/>
  <c r="AD578" i="1"/>
  <c r="AE578" i="1"/>
  <c r="R579" i="1"/>
  <c r="S579" i="1"/>
  <c r="T579" i="1"/>
  <c r="U579" i="1"/>
  <c r="X579" i="1"/>
  <c r="Y579" i="1"/>
  <c r="Z579" i="1"/>
  <c r="AA579" i="1"/>
  <c r="AB579" i="1"/>
  <c r="AD579" i="1"/>
  <c r="AE579" i="1"/>
  <c r="R580" i="1"/>
  <c r="S580" i="1"/>
  <c r="T580" i="1"/>
  <c r="U580" i="1"/>
  <c r="X580" i="1"/>
  <c r="Z580" i="1"/>
  <c r="AD580" i="1"/>
  <c r="AE580" i="1"/>
  <c r="AM580" i="1"/>
  <c r="AN580" i="1"/>
  <c r="AO580" i="1"/>
  <c r="AP580" i="1"/>
  <c r="R581" i="1"/>
  <c r="S581" i="1"/>
  <c r="T581" i="1"/>
  <c r="U581" i="1"/>
  <c r="X581" i="1"/>
  <c r="Z581" i="1"/>
  <c r="AC581" i="1"/>
  <c r="AD581" i="1"/>
  <c r="AE581" i="1"/>
  <c r="R582" i="1"/>
  <c r="S582" i="1"/>
  <c r="T582" i="1"/>
  <c r="U582" i="1"/>
  <c r="X582" i="1"/>
  <c r="Y582" i="1"/>
  <c r="Z582" i="1"/>
  <c r="AC582" i="1"/>
  <c r="AD582" i="1"/>
  <c r="AE582" i="1"/>
  <c r="AM582" i="1"/>
  <c r="AN582" i="1"/>
  <c r="AO582" i="1"/>
  <c r="AP582" i="1"/>
  <c r="R583" i="1"/>
  <c r="S583" i="1"/>
  <c r="T583" i="1"/>
  <c r="U583" i="1"/>
  <c r="X583" i="1"/>
  <c r="Z583" i="1"/>
  <c r="AC583" i="1"/>
  <c r="AD583" i="1"/>
  <c r="AE583" i="1"/>
  <c r="AM583" i="1"/>
  <c r="AN583" i="1"/>
  <c r="AO583" i="1"/>
  <c r="AP583" i="1"/>
  <c r="R584" i="1"/>
  <c r="S584" i="1"/>
  <c r="T584" i="1"/>
  <c r="U584" i="1"/>
  <c r="X584" i="1"/>
  <c r="Y584" i="1"/>
  <c r="Z584" i="1"/>
  <c r="AA584" i="1"/>
  <c r="AB584" i="1"/>
  <c r="AD584" i="1"/>
  <c r="AE584" i="1"/>
  <c r="AM584" i="1"/>
  <c r="AN584" i="1"/>
  <c r="AO584" i="1"/>
  <c r="AP584" i="1"/>
  <c r="R585" i="1"/>
  <c r="S585" i="1"/>
  <c r="T585" i="1"/>
  <c r="U585" i="1"/>
  <c r="X585" i="1"/>
  <c r="Z585" i="1"/>
  <c r="AA585" i="1"/>
  <c r="AB585" i="1"/>
  <c r="AD585" i="1"/>
  <c r="AE585" i="1"/>
  <c r="R586" i="1"/>
  <c r="S586" i="1"/>
  <c r="T586" i="1"/>
  <c r="U586" i="1"/>
  <c r="V586" i="1"/>
  <c r="X586" i="1"/>
  <c r="Z586" i="1"/>
  <c r="AA586" i="1"/>
  <c r="AB586" i="1"/>
  <c r="AC586" i="1"/>
  <c r="AD586" i="1"/>
  <c r="AE586" i="1"/>
  <c r="AM586" i="1"/>
  <c r="AN586" i="1"/>
  <c r="AO586" i="1"/>
  <c r="AP586" i="1"/>
  <c r="R587" i="1"/>
  <c r="S587" i="1"/>
  <c r="T587" i="1"/>
  <c r="U587" i="1"/>
  <c r="X587" i="1"/>
  <c r="Y587" i="1"/>
  <c r="Z587" i="1"/>
  <c r="AA587" i="1"/>
  <c r="AB587" i="1"/>
  <c r="AD587" i="1"/>
  <c r="AE587" i="1"/>
  <c r="AM587" i="1"/>
  <c r="AN587" i="1"/>
  <c r="AO587" i="1"/>
  <c r="R588" i="1"/>
  <c r="S588" i="1"/>
  <c r="T588" i="1"/>
  <c r="U588" i="1"/>
  <c r="V588" i="1"/>
  <c r="X588" i="1"/>
  <c r="Z588" i="1"/>
  <c r="AC588" i="1"/>
  <c r="AD588" i="1"/>
  <c r="AE588" i="1"/>
  <c r="AM588" i="1"/>
  <c r="AN588" i="1"/>
  <c r="AO588" i="1"/>
  <c r="AP588" i="1"/>
  <c r="CC588" i="1"/>
  <c r="R589" i="1"/>
  <c r="S589" i="1"/>
  <c r="T589" i="1"/>
  <c r="U589" i="1"/>
  <c r="X589" i="1"/>
  <c r="Y589" i="1"/>
  <c r="Z589" i="1"/>
  <c r="AD589" i="1"/>
  <c r="AE589" i="1"/>
  <c r="R590" i="1"/>
  <c r="S590" i="1"/>
  <c r="T590" i="1"/>
  <c r="U590" i="1"/>
  <c r="X590" i="1"/>
  <c r="Z590" i="1"/>
  <c r="AD590" i="1"/>
  <c r="AE590" i="1"/>
  <c r="R591" i="1"/>
  <c r="S591" i="1"/>
  <c r="T591" i="1"/>
  <c r="U591" i="1"/>
  <c r="X591" i="1"/>
  <c r="Z591" i="1"/>
  <c r="AB591" i="1"/>
  <c r="AD591" i="1"/>
  <c r="AE591" i="1"/>
  <c r="R592" i="1"/>
  <c r="S592" i="1"/>
  <c r="T592" i="1"/>
  <c r="U592" i="1"/>
  <c r="X592" i="1"/>
  <c r="Z592" i="1"/>
  <c r="AD592" i="1"/>
  <c r="AE592" i="1"/>
  <c r="R593" i="1"/>
  <c r="S593" i="1"/>
  <c r="T593" i="1"/>
  <c r="U593" i="1"/>
  <c r="X593" i="1"/>
  <c r="Y593" i="1"/>
  <c r="Z593" i="1"/>
  <c r="AA593" i="1"/>
  <c r="AB593" i="1"/>
  <c r="AC593" i="1"/>
  <c r="AD593" i="1"/>
  <c r="AE593" i="1"/>
  <c r="R594" i="1"/>
  <c r="S594" i="1"/>
  <c r="T594" i="1"/>
  <c r="U594" i="1"/>
  <c r="X594" i="1"/>
  <c r="Y594" i="1"/>
  <c r="Z594" i="1"/>
  <c r="AA594" i="1"/>
  <c r="AB594" i="1"/>
  <c r="AC594" i="1"/>
  <c r="AD594" i="1"/>
  <c r="AE594" i="1"/>
  <c r="R595" i="1"/>
  <c r="S595" i="1"/>
  <c r="T595" i="1"/>
  <c r="U595" i="1"/>
  <c r="X595" i="1"/>
  <c r="Y595" i="1"/>
  <c r="Z595" i="1"/>
  <c r="AA595" i="1"/>
  <c r="AB595" i="1"/>
  <c r="AC595" i="1"/>
  <c r="AD595" i="1"/>
  <c r="AE595" i="1"/>
  <c r="R596" i="1"/>
  <c r="S596" i="1"/>
  <c r="T596" i="1"/>
  <c r="U596" i="1"/>
  <c r="V596" i="1"/>
  <c r="X596" i="1"/>
  <c r="Z596" i="1"/>
  <c r="AC596" i="1"/>
  <c r="AD596" i="1"/>
  <c r="AE596" i="1"/>
  <c r="R597" i="1"/>
  <c r="S597" i="1"/>
  <c r="T597" i="1"/>
  <c r="U597" i="1"/>
  <c r="V597" i="1"/>
  <c r="X597" i="1"/>
  <c r="Z597" i="1"/>
  <c r="AC597" i="1"/>
  <c r="AD597" i="1"/>
  <c r="AE597" i="1"/>
  <c r="R598" i="1"/>
  <c r="S598" i="1"/>
  <c r="T598" i="1"/>
  <c r="U598" i="1"/>
  <c r="X598" i="1"/>
  <c r="Z598" i="1"/>
  <c r="AC598" i="1"/>
  <c r="AD598" i="1"/>
  <c r="AE598" i="1"/>
  <c r="R599" i="1"/>
  <c r="S599" i="1"/>
  <c r="T599" i="1"/>
  <c r="U599" i="1"/>
  <c r="X599" i="1"/>
  <c r="Y599" i="1"/>
  <c r="Z599" i="1"/>
  <c r="AC599" i="1"/>
  <c r="AD599" i="1"/>
  <c r="AE599" i="1"/>
  <c r="R600" i="1"/>
  <c r="S600" i="1"/>
  <c r="T600" i="1"/>
  <c r="U600" i="1"/>
  <c r="X600" i="1"/>
  <c r="Y600" i="1"/>
  <c r="Z600" i="1"/>
  <c r="AC600" i="1"/>
  <c r="AD600" i="1"/>
  <c r="AE600" i="1"/>
  <c r="R601" i="1"/>
  <c r="S601" i="1"/>
  <c r="T601" i="1"/>
  <c r="U601" i="1"/>
  <c r="X601" i="1"/>
  <c r="Z601" i="1"/>
  <c r="AC601" i="1"/>
  <c r="AD601" i="1"/>
  <c r="AE601" i="1"/>
  <c r="R602" i="1"/>
  <c r="S602" i="1"/>
  <c r="T602" i="1"/>
  <c r="U602" i="1"/>
  <c r="X602" i="1"/>
  <c r="Y602" i="1"/>
  <c r="Z602" i="1"/>
  <c r="AC602" i="1"/>
  <c r="AD602" i="1"/>
  <c r="AE602" i="1"/>
  <c r="R603" i="1"/>
  <c r="S603" i="1"/>
  <c r="T603" i="1"/>
  <c r="U603" i="1"/>
  <c r="X603" i="1"/>
  <c r="Z603" i="1"/>
  <c r="AA603" i="1"/>
  <c r="AB603" i="1"/>
  <c r="AC603" i="1"/>
  <c r="AD603" i="1"/>
  <c r="AE603" i="1"/>
  <c r="R604" i="1"/>
  <c r="S604" i="1"/>
  <c r="T604" i="1"/>
  <c r="U604" i="1"/>
  <c r="X604" i="1"/>
  <c r="Y604" i="1"/>
  <c r="Z604" i="1"/>
  <c r="AA604" i="1"/>
  <c r="AB604" i="1"/>
  <c r="AC604" i="1"/>
  <c r="AD604" i="1"/>
  <c r="AE604" i="1"/>
  <c r="R605" i="1"/>
  <c r="S605" i="1"/>
  <c r="T605" i="1"/>
  <c r="U605" i="1"/>
  <c r="X605" i="1"/>
  <c r="Y605" i="1"/>
  <c r="Z605" i="1"/>
  <c r="AA605" i="1"/>
  <c r="AB605" i="1"/>
  <c r="AC605" i="1"/>
  <c r="AD605" i="1"/>
  <c r="AE605" i="1"/>
  <c r="BU605" i="1"/>
  <c r="R606" i="1"/>
  <c r="S606" i="1"/>
  <c r="T606" i="1"/>
  <c r="U606" i="1"/>
  <c r="V606" i="1"/>
  <c r="X606" i="1"/>
  <c r="Z606" i="1"/>
  <c r="AA606" i="1"/>
  <c r="AB606" i="1"/>
  <c r="AD606" i="1"/>
  <c r="AE606" i="1"/>
  <c r="R607" i="1"/>
  <c r="S607" i="1"/>
  <c r="T607" i="1"/>
  <c r="U607" i="1"/>
  <c r="X607" i="1"/>
  <c r="Z607" i="1"/>
  <c r="AC607" i="1"/>
  <c r="AD607" i="1"/>
  <c r="AE607" i="1"/>
  <c r="R608" i="1"/>
  <c r="S608" i="1"/>
  <c r="T608" i="1"/>
  <c r="U608" i="1"/>
  <c r="X608" i="1"/>
  <c r="Z608" i="1"/>
  <c r="AA608" i="1"/>
  <c r="AB608" i="1"/>
  <c r="AC608" i="1"/>
  <c r="AD608" i="1"/>
  <c r="AE608" i="1"/>
  <c r="R609" i="1"/>
  <c r="S609" i="1"/>
  <c r="T609" i="1"/>
  <c r="U609" i="1"/>
  <c r="V609" i="1"/>
  <c r="X609" i="1"/>
  <c r="Z609" i="1"/>
  <c r="AA609" i="1"/>
  <c r="AB609" i="1"/>
  <c r="AC609" i="1"/>
  <c r="AD609" i="1"/>
  <c r="AE609" i="1"/>
  <c r="R610" i="1"/>
  <c r="S610" i="1"/>
  <c r="T610" i="1"/>
  <c r="U610" i="1"/>
  <c r="X610" i="1"/>
  <c r="Z610" i="1"/>
  <c r="AA610" i="1"/>
  <c r="AB610" i="1"/>
  <c r="AD610" i="1"/>
  <c r="AE610" i="1"/>
  <c r="R611" i="1"/>
  <c r="S611" i="1"/>
  <c r="T611" i="1"/>
  <c r="U611" i="1"/>
  <c r="X611" i="1"/>
  <c r="Z611" i="1"/>
  <c r="AA611" i="1"/>
  <c r="AB611" i="1"/>
  <c r="AD611" i="1"/>
  <c r="AE611" i="1"/>
  <c r="R612" i="1"/>
  <c r="S612" i="1"/>
  <c r="T612" i="1"/>
  <c r="U612" i="1"/>
  <c r="X612" i="1"/>
  <c r="Z612" i="1"/>
  <c r="AA612" i="1"/>
  <c r="AB612" i="1"/>
  <c r="AC612" i="1"/>
  <c r="AD612" i="1"/>
  <c r="AE612" i="1"/>
  <c r="R613" i="1"/>
  <c r="S613" i="1"/>
  <c r="T613" i="1"/>
  <c r="U613" i="1"/>
  <c r="X613" i="1"/>
  <c r="Z613" i="1"/>
  <c r="AA613" i="1"/>
  <c r="AB613" i="1"/>
  <c r="AC613" i="1"/>
  <c r="AD613" i="1"/>
  <c r="AE613" i="1"/>
  <c r="R614" i="1"/>
  <c r="S614" i="1"/>
  <c r="T614" i="1"/>
  <c r="U614" i="1"/>
  <c r="X614" i="1"/>
  <c r="Z614" i="1"/>
  <c r="AA614" i="1"/>
  <c r="AB614" i="1"/>
  <c r="AC614" i="1"/>
  <c r="AD614" i="1"/>
  <c r="AE614" i="1"/>
  <c r="R615" i="1"/>
  <c r="S615" i="1"/>
  <c r="T615" i="1"/>
  <c r="U615" i="1"/>
  <c r="X615" i="1"/>
  <c r="Z615" i="1"/>
  <c r="AA615" i="1"/>
  <c r="AB615" i="1"/>
  <c r="AC615" i="1"/>
  <c r="AD615" i="1"/>
  <c r="AE615" i="1"/>
  <c r="R616" i="1"/>
  <c r="S616" i="1"/>
  <c r="T616" i="1"/>
  <c r="U616" i="1"/>
  <c r="X616" i="1"/>
  <c r="Z616" i="1"/>
  <c r="AA616" i="1"/>
  <c r="AB616" i="1"/>
  <c r="AD616" i="1"/>
  <c r="AE616" i="1"/>
  <c r="R617" i="1"/>
  <c r="S617" i="1"/>
  <c r="T617" i="1"/>
  <c r="U617" i="1"/>
  <c r="X617" i="1"/>
  <c r="Z617" i="1"/>
  <c r="AA617" i="1"/>
  <c r="AB617" i="1"/>
  <c r="AD617" i="1"/>
  <c r="AE617" i="1"/>
  <c r="R618" i="1"/>
  <c r="S618" i="1"/>
  <c r="T618" i="1"/>
  <c r="U618" i="1"/>
  <c r="X618" i="1"/>
  <c r="Z618" i="1"/>
  <c r="AA618" i="1"/>
  <c r="AB618" i="1"/>
  <c r="AD618" i="1"/>
  <c r="AE618" i="1"/>
  <c r="R619" i="1"/>
  <c r="S619" i="1"/>
  <c r="T619" i="1"/>
  <c r="U619" i="1"/>
  <c r="X619" i="1"/>
  <c r="Z619" i="1"/>
  <c r="AA619" i="1"/>
  <c r="AB619" i="1"/>
  <c r="AD619" i="1"/>
  <c r="AE619" i="1"/>
  <c r="R620" i="1"/>
  <c r="S620" i="1"/>
  <c r="T620" i="1"/>
  <c r="U620" i="1"/>
  <c r="X620" i="1"/>
  <c r="Z620" i="1"/>
  <c r="AA620" i="1"/>
  <c r="AB620" i="1"/>
  <c r="AD620" i="1"/>
  <c r="AE620" i="1"/>
  <c r="R621" i="1"/>
  <c r="S621" i="1"/>
  <c r="T621" i="1"/>
  <c r="U621" i="1"/>
  <c r="V621" i="1"/>
  <c r="X621" i="1"/>
  <c r="Y621" i="1"/>
  <c r="Z621" i="1"/>
  <c r="AA621" i="1"/>
  <c r="AB621" i="1"/>
  <c r="AD621" i="1"/>
  <c r="AE621" i="1"/>
  <c r="R622" i="1"/>
  <c r="S622" i="1"/>
  <c r="T622" i="1"/>
  <c r="U622" i="1"/>
  <c r="X622" i="1"/>
  <c r="Z622" i="1"/>
  <c r="AA622" i="1"/>
  <c r="AB622" i="1"/>
  <c r="AC622" i="1"/>
  <c r="AD622" i="1"/>
  <c r="AE622" i="1"/>
  <c r="R623" i="1"/>
  <c r="S623" i="1"/>
  <c r="T623" i="1"/>
  <c r="U623" i="1"/>
  <c r="X623" i="1"/>
  <c r="Z623" i="1"/>
  <c r="AA623" i="1"/>
  <c r="AB623" i="1"/>
  <c r="AC623" i="1"/>
  <c r="AD623" i="1"/>
  <c r="AE623" i="1"/>
  <c r="R624" i="1"/>
  <c r="S624" i="1"/>
  <c r="T624" i="1"/>
  <c r="U624" i="1"/>
  <c r="X624" i="1"/>
  <c r="Z624" i="1"/>
  <c r="AD624" i="1"/>
  <c r="AE624" i="1"/>
  <c r="R625" i="1"/>
  <c r="S625" i="1"/>
  <c r="T625" i="1"/>
  <c r="U625" i="1"/>
  <c r="X625" i="1"/>
  <c r="Z625" i="1"/>
  <c r="AB625" i="1"/>
  <c r="AD625" i="1"/>
  <c r="AE625" i="1"/>
  <c r="R626" i="1"/>
  <c r="S626" i="1"/>
  <c r="T626" i="1"/>
  <c r="U626" i="1"/>
  <c r="X626" i="1"/>
  <c r="Z626" i="1"/>
  <c r="AD626" i="1"/>
  <c r="AE626" i="1"/>
  <c r="R627" i="1"/>
  <c r="S627" i="1"/>
  <c r="T627" i="1"/>
  <c r="U627" i="1"/>
  <c r="X627" i="1"/>
  <c r="Z627" i="1"/>
  <c r="AD627" i="1"/>
  <c r="AE627" i="1"/>
  <c r="R628" i="1"/>
  <c r="S628" i="1"/>
  <c r="T628" i="1"/>
  <c r="U628" i="1"/>
  <c r="X628" i="1"/>
  <c r="Y628" i="1"/>
  <c r="Z628" i="1"/>
  <c r="AD628" i="1"/>
  <c r="AE628" i="1"/>
  <c r="R629" i="1"/>
  <c r="S629" i="1"/>
  <c r="T629" i="1"/>
  <c r="U629" i="1"/>
  <c r="V629" i="1"/>
  <c r="X629" i="1"/>
  <c r="Z629" i="1"/>
  <c r="AC629" i="1"/>
  <c r="AD629" i="1"/>
  <c r="AE629" i="1"/>
  <c r="R630" i="1"/>
  <c r="S630" i="1"/>
  <c r="T630" i="1"/>
  <c r="U630" i="1"/>
  <c r="X630" i="1"/>
  <c r="Z630" i="1"/>
  <c r="AC630" i="1"/>
  <c r="AD630" i="1"/>
  <c r="AE630" i="1"/>
  <c r="R631" i="1"/>
  <c r="S631" i="1"/>
  <c r="T631" i="1"/>
  <c r="U631" i="1"/>
  <c r="X631" i="1"/>
  <c r="Z631" i="1"/>
  <c r="AD631" i="1"/>
  <c r="AE631" i="1"/>
  <c r="R632" i="1"/>
  <c r="S632" i="1"/>
  <c r="T632" i="1"/>
  <c r="U632" i="1"/>
  <c r="X632" i="1"/>
  <c r="Z632" i="1"/>
  <c r="AD632" i="1"/>
  <c r="AE632" i="1"/>
  <c r="R633" i="1"/>
  <c r="S633" i="1"/>
  <c r="T633" i="1"/>
  <c r="U633" i="1"/>
  <c r="X633" i="1"/>
  <c r="Z633" i="1"/>
  <c r="AD633" i="1"/>
  <c r="AE633" i="1"/>
  <c r="AM633" i="1"/>
  <c r="AN633" i="1"/>
  <c r="AO633" i="1"/>
  <c r="AP633" i="1"/>
  <c r="AQ633" i="1"/>
  <c r="R634" i="1"/>
  <c r="S634" i="1"/>
  <c r="T634" i="1"/>
  <c r="U634" i="1"/>
  <c r="X634" i="1"/>
  <c r="Z634" i="1"/>
  <c r="AD634" i="1"/>
  <c r="AE634" i="1"/>
  <c r="R635" i="1"/>
  <c r="S635" i="1"/>
  <c r="T635" i="1"/>
  <c r="U635" i="1"/>
  <c r="X635" i="1"/>
  <c r="Z635" i="1"/>
  <c r="AD635" i="1"/>
  <c r="AE635" i="1"/>
  <c r="R636" i="1"/>
  <c r="S636" i="1"/>
  <c r="T636" i="1"/>
  <c r="U636" i="1"/>
  <c r="V636" i="1"/>
  <c r="X636" i="1"/>
  <c r="Z636" i="1"/>
  <c r="AD636" i="1"/>
  <c r="AE636" i="1"/>
  <c r="R637" i="1"/>
  <c r="S637" i="1"/>
  <c r="T637" i="1"/>
  <c r="U637" i="1"/>
  <c r="X637" i="1"/>
  <c r="Y637" i="1"/>
  <c r="Z637" i="1"/>
  <c r="AA637" i="1"/>
  <c r="AB637" i="1"/>
  <c r="AC637" i="1"/>
  <c r="AD637" i="1"/>
  <c r="AE637" i="1"/>
  <c r="R638" i="1"/>
  <c r="S638" i="1"/>
  <c r="T638" i="1"/>
  <c r="U638" i="1"/>
  <c r="X638" i="1"/>
  <c r="Z638" i="1"/>
  <c r="AD638" i="1"/>
  <c r="AE638" i="1"/>
  <c r="R639" i="1"/>
  <c r="S639" i="1"/>
  <c r="T639" i="1"/>
  <c r="U639" i="1"/>
  <c r="V639" i="1"/>
  <c r="X639" i="1"/>
  <c r="Z639" i="1"/>
  <c r="AD639" i="1"/>
  <c r="AE639" i="1"/>
  <c r="R640" i="1"/>
  <c r="S640" i="1"/>
  <c r="T640" i="1"/>
  <c r="U640" i="1"/>
  <c r="V640" i="1"/>
  <c r="X640" i="1"/>
  <c r="Z640" i="1"/>
  <c r="AD640" i="1"/>
  <c r="AE640" i="1"/>
  <c r="R641" i="1"/>
  <c r="S641" i="1"/>
  <c r="T641" i="1"/>
  <c r="U641" i="1"/>
  <c r="V641" i="1"/>
  <c r="X641" i="1"/>
  <c r="Z641" i="1"/>
  <c r="AC641" i="1"/>
  <c r="AD641" i="1"/>
  <c r="AE641" i="1"/>
  <c r="R642" i="1"/>
  <c r="S642" i="1"/>
  <c r="T642" i="1"/>
  <c r="U642" i="1"/>
  <c r="V642" i="1"/>
  <c r="X642" i="1"/>
  <c r="Z642" i="1"/>
  <c r="AC642" i="1"/>
  <c r="AD642" i="1"/>
  <c r="AE642" i="1"/>
  <c r="R643" i="1"/>
  <c r="S643" i="1"/>
  <c r="T643" i="1"/>
  <c r="U643" i="1"/>
  <c r="X643" i="1"/>
  <c r="Y643" i="1"/>
  <c r="Z643" i="1"/>
  <c r="AA643" i="1"/>
  <c r="AB643" i="1"/>
  <c r="AC643" i="1"/>
  <c r="AD643" i="1"/>
  <c r="AE643" i="1"/>
  <c r="R644" i="1"/>
  <c r="S644" i="1"/>
  <c r="T644" i="1"/>
  <c r="U644" i="1"/>
  <c r="X644" i="1"/>
  <c r="Y644" i="1"/>
  <c r="Z644" i="1"/>
  <c r="AD644" i="1"/>
  <c r="AE644" i="1"/>
  <c r="R645" i="1"/>
  <c r="S645" i="1"/>
  <c r="T645" i="1"/>
  <c r="U645" i="1"/>
  <c r="X645" i="1"/>
  <c r="Y645" i="1"/>
  <c r="Z645" i="1"/>
  <c r="AA645" i="1"/>
  <c r="AB645" i="1"/>
  <c r="AC645" i="1"/>
  <c r="AD645" i="1"/>
  <c r="AE645" i="1"/>
  <c r="R646" i="1"/>
  <c r="S646" i="1"/>
  <c r="T646" i="1"/>
  <c r="U646" i="1"/>
  <c r="X646" i="1"/>
  <c r="Y646" i="1"/>
  <c r="Z646" i="1"/>
  <c r="AD646" i="1"/>
  <c r="AE646" i="1"/>
  <c r="R647" i="1"/>
  <c r="S647" i="1"/>
  <c r="T647" i="1"/>
  <c r="U647" i="1"/>
  <c r="X647" i="1"/>
  <c r="Z647" i="1"/>
  <c r="AA647" i="1"/>
  <c r="AB647" i="1"/>
  <c r="AC647" i="1"/>
  <c r="AD647" i="1"/>
  <c r="AE647" i="1"/>
  <c r="R648" i="1"/>
  <c r="S648" i="1"/>
  <c r="T648" i="1"/>
  <c r="U648" i="1"/>
  <c r="X648" i="1"/>
  <c r="Y648" i="1"/>
  <c r="Z648" i="1"/>
  <c r="AA648" i="1"/>
  <c r="AB648" i="1"/>
  <c r="AD648" i="1"/>
  <c r="AE648" i="1"/>
  <c r="R649" i="1"/>
  <c r="S649" i="1"/>
  <c r="T649" i="1"/>
  <c r="U649" i="1"/>
  <c r="X649" i="1"/>
  <c r="Y649" i="1"/>
  <c r="Z649" i="1"/>
  <c r="AD649" i="1"/>
  <c r="AE649" i="1"/>
  <c r="R650" i="1"/>
  <c r="S650" i="1"/>
  <c r="T650" i="1"/>
  <c r="U650" i="1"/>
  <c r="V650" i="1"/>
  <c r="X650" i="1"/>
  <c r="Y650" i="1"/>
  <c r="Z650" i="1"/>
  <c r="AD650" i="1"/>
  <c r="AE650" i="1"/>
  <c r="R651" i="1"/>
  <c r="S651" i="1"/>
  <c r="T651" i="1"/>
  <c r="U651" i="1"/>
  <c r="V651" i="1"/>
  <c r="X651" i="1"/>
  <c r="Z651" i="1"/>
  <c r="AC651" i="1"/>
  <c r="AD651" i="1"/>
  <c r="AE651" i="1"/>
  <c r="R652" i="1"/>
  <c r="S652" i="1"/>
  <c r="T652" i="1"/>
  <c r="U652" i="1"/>
  <c r="X652" i="1"/>
  <c r="Y652" i="1"/>
  <c r="Z652" i="1"/>
  <c r="AD652" i="1"/>
  <c r="AE652" i="1"/>
  <c r="R653" i="1"/>
  <c r="S653" i="1"/>
  <c r="T653" i="1"/>
  <c r="U653" i="1"/>
  <c r="X653" i="1"/>
  <c r="Z653" i="1"/>
  <c r="AC653" i="1"/>
  <c r="AD653" i="1"/>
  <c r="AE653" i="1"/>
  <c r="R654" i="1"/>
  <c r="S654" i="1"/>
  <c r="T654" i="1"/>
  <c r="U654" i="1"/>
  <c r="X654" i="1"/>
  <c r="Z654" i="1"/>
  <c r="AA654" i="1"/>
  <c r="AB654" i="1"/>
  <c r="AC654" i="1"/>
  <c r="AD654" i="1"/>
  <c r="AE654" i="1"/>
  <c r="R655" i="1"/>
  <c r="S655" i="1"/>
  <c r="T655" i="1"/>
  <c r="U655" i="1"/>
  <c r="X655" i="1"/>
  <c r="Z655" i="1"/>
  <c r="AA655" i="1"/>
  <c r="AB655" i="1"/>
  <c r="AC655" i="1"/>
  <c r="AD655" i="1"/>
  <c r="AE655" i="1"/>
  <c r="R656" i="1"/>
  <c r="S656" i="1"/>
  <c r="T656" i="1"/>
  <c r="U656" i="1"/>
  <c r="V656" i="1"/>
  <c r="X656" i="1"/>
  <c r="Y656" i="1"/>
  <c r="Z656" i="1"/>
  <c r="AA656" i="1"/>
  <c r="AB656" i="1"/>
  <c r="AD656" i="1"/>
  <c r="AE656" i="1"/>
  <c r="R657" i="1"/>
  <c r="S657" i="1"/>
  <c r="T657" i="1"/>
  <c r="U657" i="1"/>
  <c r="X657" i="1"/>
  <c r="Z657" i="1"/>
  <c r="AD657" i="1"/>
  <c r="AE657" i="1"/>
  <c r="FF657" i="1"/>
  <c r="FI657" i="1"/>
  <c r="R658" i="1"/>
  <c r="S658" i="1"/>
  <c r="T658" i="1"/>
  <c r="U658" i="1"/>
  <c r="X658" i="1"/>
  <c r="Z658" i="1"/>
  <c r="AD658" i="1"/>
  <c r="AE658" i="1"/>
  <c r="R659" i="1"/>
  <c r="S659" i="1"/>
  <c r="T659" i="1"/>
  <c r="U659" i="1"/>
  <c r="X659" i="1"/>
  <c r="Z659" i="1"/>
  <c r="AD659" i="1"/>
  <c r="AE659" i="1"/>
  <c r="R660" i="1"/>
  <c r="S660" i="1"/>
  <c r="T660" i="1"/>
  <c r="U660" i="1"/>
  <c r="X660" i="1"/>
  <c r="Z660" i="1"/>
  <c r="AD660" i="1"/>
  <c r="AE660" i="1"/>
  <c r="R661" i="1"/>
  <c r="S661" i="1"/>
  <c r="T661" i="1"/>
  <c r="U661" i="1"/>
  <c r="X661" i="1"/>
  <c r="Z661" i="1"/>
  <c r="AD661" i="1"/>
  <c r="AE661" i="1"/>
  <c r="R662" i="1"/>
  <c r="S662" i="1"/>
  <c r="T662" i="1"/>
  <c r="U662" i="1"/>
  <c r="X662" i="1"/>
  <c r="Z662" i="1"/>
  <c r="AD662" i="1"/>
  <c r="AE662" i="1"/>
  <c r="FG662" i="1"/>
  <c r="FI662" i="1"/>
  <c r="R663" i="1"/>
  <c r="S663" i="1"/>
  <c r="T663" i="1"/>
  <c r="U663" i="1"/>
  <c r="X663" i="1"/>
  <c r="Z663" i="1"/>
  <c r="AD663" i="1"/>
  <c r="AE663" i="1"/>
  <c r="R664" i="1"/>
  <c r="S664" i="1"/>
  <c r="T664" i="1"/>
  <c r="U664" i="1"/>
  <c r="X664" i="1"/>
  <c r="Y664" i="1"/>
  <c r="Z664" i="1"/>
  <c r="AD664" i="1"/>
  <c r="AE664" i="1"/>
  <c r="R665" i="1"/>
  <c r="S665" i="1"/>
  <c r="T665" i="1"/>
  <c r="U665" i="1"/>
  <c r="X665" i="1"/>
  <c r="Z665" i="1"/>
  <c r="AB665" i="1"/>
  <c r="AD665" i="1"/>
  <c r="AE665" i="1"/>
  <c r="R666" i="1"/>
  <c r="S666" i="1"/>
  <c r="T666" i="1"/>
  <c r="U666" i="1"/>
  <c r="X666" i="1"/>
  <c r="Y666" i="1"/>
  <c r="Z666" i="1"/>
  <c r="AA666" i="1"/>
  <c r="AB666" i="1"/>
  <c r="AC666" i="1"/>
  <c r="AD666" i="1"/>
  <c r="AE666" i="1"/>
  <c r="BU666" i="1"/>
  <c r="R667" i="1"/>
  <c r="S667" i="1"/>
  <c r="T667" i="1"/>
  <c r="U667" i="1"/>
  <c r="X667" i="1"/>
  <c r="Y667" i="1"/>
  <c r="Z667" i="1"/>
  <c r="AA667" i="1"/>
  <c r="AB667" i="1"/>
  <c r="AC667" i="1"/>
  <c r="AD667" i="1"/>
  <c r="AE667" i="1"/>
  <c r="R668" i="1"/>
  <c r="S668" i="1"/>
  <c r="T668" i="1"/>
  <c r="U668" i="1"/>
  <c r="X668" i="1"/>
  <c r="Z668" i="1"/>
  <c r="AA668" i="1"/>
  <c r="AD668" i="1"/>
  <c r="AE668" i="1"/>
  <c r="R669" i="1"/>
  <c r="S669" i="1"/>
  <c r="T669" i="1"/>
  <c r="U669" i="1"/>
  <c r="X669" i="1"/>
  <c r="Z669" i="1"/>
  <c r="AD669" i="1"/>
  <c r="AE669" i="1"/>
  <c r="R670" i="1"/>
  <c r="S670" i="1"/>
  <c r="T670" i="1"/>
  <c r="U670" i="1"/>
  <c r="X670" i="1"/>
  <c r="Z670" i="1"/>
  <c r="AB670" i="1"/>
  <c r="AD670" i="1"/>
  <c r="AE670" i="1"/>
  <c r="R671" i="1"/>
  <c r="S671" i="1"/>
  <c r="T671" i="1"/>
  <c r="U671" i="1"/>
  <c r="X671" i="1"/>
  <c r="Y671" i="1"/>
  <c r="Z671" i="1"/>
  <c r="AD671" i="1"/>
  <c r="AE671" i="1"/>
  <c r="R672" i="1"/>
  <c r="S672" i="1"/>
  <c r="T672" i="1"/>
  <c r="U672" i="1"/>
  <c r="X672" i="1"/>
  <c r="Y672" i="1"/>
  <c r="Z672" i="1"/>
  <c r="AD672" i="1"/>
  <c r="AE672" i="1"/>
  <c r="CC672" i="1"/>
  <c r="R673" i="1"/>
  <c r="S673" i="1"/>
  <c r="T673" i="1"/>
  <c r="U673" i="1"/>
  <c r="X673" i="1"/>
  <c r="Y673" i="1"/>
  <c r="Z673" i="1"/>
  <c r="AD673" i="1"/>
  <c r="AE673" i="1"/>
  <c r="R674" i="1"/>
  <c r="S674" i="1"/>
  <c r="T674" i="1"/>
  <c r="U674" i="1"/>
  <c r="X674" i="1"/>
  <c r="Y674" i="1"/>
  <c r="Z674" i="1"/>
  <c r="AA674" i="1"/>
  <c r="AB674" i="1"/>
  <c r="AD674" i="1"/>
  <c r="AE674" i="1"/>
  <c r="R675" i="1"/>
  <c r="S675" i="1"/>
  <c r="T675" i="1"/>
  <c r="U675" i="1"/>
  <c r="X675" i="1"/>
  <c r="Z675" i="1"/>
  <c r="AD675" i="1"/>
  <c r="AE675" i="1"/>
  <c r="R676" i="1"/>
  <c r="S676" i="1"/>
  <c r="T676" i="1"/>
  <c r="U676" i="1"/>
  <c r="X676" i="1"/>
  <c r="Y676" i="1"/>
  <c r="Z676" i="1"/>
  <c r="AD676" i="1"/>
  <c r="AE676" i="1"/>
  <c r="R677" i="1"/>
  <c r="S677" i="1"/>
  <c r="T677" i="1"/>
  <c r="U677" i="1"/>
  <c r="V677" i="1"/>
  <c r="X677" i="1"/>
  <c r="Y677" i="1"/>
  <c r="Z677" i="1"/>
  <c r="AD677" i="1"/>
  <c r="AE677" i="1"/>
  <c r="R678" i="1"/>
  <c r="S678" i="1"/>
  <c r="T678" i="1"/>
  <c r="U678" i="1"/>
  <c r="X678" i="1"/>
  <c r="Y678" i="1"/>
  <c r="Z678" i="1"/>
  <c r="AD678" i="1"/>
  <c r="AE678" i="1"/>
  <c r="R679" i="1"/>
  <c r="S679" i="1"/>
  <c r="T679" i="1"/>
  <c r="U679" i="1"/>
  <c r="X679" i="1"/>
  <c r="Y679" i="1"/>
  <c r="Z679" i="1"/>
  <c r="AD679" i="1"/>
  <c r="AE679" i="1"/>
  <c r="R680" i="1"/>
  <c r="S680" i="1"/>
  <c r="T680" i="1"/>
  <c r="U680" i="1"/>
  <c r="V680" i="1"/>
  <c r="X680" i="1"/>
  <c r="Z680" i="1"/>
  <c r="AD680" i="1"/>
  <c r="AE680" i="1"/>
  <c r="R681" i="1"/>
  <c r="S681" i="1"/>
  <c r="T681" i="1"/>
  <c r="U681" i="1"/>
  <c r="X681" i="1"/>
  <c r="Y681" i="1"/>
  <c r="Z681" i="1"/>
  <c r="AA681" i="1"/>
  <c r="AB681" i="1"/>
  <c r="AC681" i="1"/>
  <c r="AD681" i="1"/>
  <c r="AE681" i="1"/>
  <c r="AN681" i="1"/>
  <c r="AO681" i="1"/>
  <c r="AP681" i="1"/>
  <c r="R682" i="1"/>
  <c r="S682" i="1"/>
  <c r="T682" i="1"/>
  <c r="U682" i="1"/>
  <c r="X682" i="1"/>
  <c r="Y682" i="1"/>
  <c r="Z682" i="1"/>
  <c r="AD682" i="1"/>
  <c r="AE682" i="1"/>
  <c r="R683" i="1"/>
  <c r="S683" i="1"/>
  <c r="T683" i="1"/>
  <c r="U683" i="1"/>
  <c r="V683" i="1"/>
  <c r="X683" i="1"/>
  <c r="Y683" i="1"/>
  <c r="Z683" i="1"/>
  <c r="AD683" i="1"/>
  <c r="AE683" i="1"/>
  <c r="R684" i="1"/>
  <c r="S684" i="1"/>
  <c r="T684" i="1"/>
  <c r="U684" i="1"/>
  <c r="V684" i="1"/>
  <c r="X684" i="1"/>
  <c r="Z684" i="1"/>
  <c r="AD684" i="1"/>
  <c r="AE684" i="1"/>
  <c r="AM684" i="1"/>
  <c r="AN684" i="1"/>
  <c r="AO684" i="1"/>
  <c r="AP684" i="1"/>
  <c r="R685" i="1"/>
  <c r="S685" i="1"/>
  <c r="T685" i="1"/>
  <c r="U685" i="1"/>
  <c r="W685" i="1"/>
  <c r="X685" i="1"/>
  <c r="Z685" i="1"/>
  <c r="AC685" i="1"/>
  <c r="AD685" i="1"/>
  <c r="AE685" i="1"/>
  <c r="R686" i="1"/>
  <c r="S686" i="1"/>
  <c r="T686" i="1"/>
  <c r="U686" i="1"/>
  <c r="V686" i="1"/>
  <c r="X686" i="1"/>
  <c r="Z686" i="1"/>
  <c r="AD686" i="1"/>
  <c r="AE686" i="1"/>
  <c r="R687" i="1"/>
  <c r="S687" i="1"/>
  <c r="T687" i="1"/>
  <c r="U687" i="1"/>
  <c r="X687" i="1"/>
  <c r="Z687" i="1"/>
  <c r="AD687" i="1"/>
  <c r="AE687" i="1"/>
  <c r="AM687" i="1"/>
  <c r="AN687" i="1"/>
  <c r="AO687" i="1"/>
  <c r="AP687" i="1"/>
  <c r="R688" i="1"/>
  <c r="S688" i="1"/>
  <c r="T688" i="1"/>
  <c r="U688" i="1"/>
  <c r="X688" i="1"/>
  <c r="Y688" i="1"/>
  <c r="Z688" i="1"/>
  <c r="AA688" i="1"/>
  <c r="AB688" i="1"/>
  <c r="AC688" i="1"/>
  <c r="AD688" i="1"/>
  <c r="AE688" i="1"/>
  <c r="R689" i="1"/>
  <c r="S689" i="1"/>
  <c r="T689" i="1"/>
  <c r="U689" i="1"/>
  <c r="X689" i="1"/>
  <c r="Y689" i="1"/>
  <c r="Z689" i="1"/>
  <c r="AA689" i="1"/>
  <c r="AB689" i="1"/>
  <c r="AC689" i="1"/>
  <c r="AD689" i="1"/>
  <c r="AE689" i="1"/>
  <c r="R690" i="1"/>
  <c r="S690" i="1"/>
  <c r="T690" i="1"/>
  <c r="U690" i="1"/>
  <c r="X690" i="1"/>
  <c r="Z690" i="1"/>
  <c r="AC690" i="1"/>
  <c r="AD690" i="1"/>
  <c r="AE690" i="1"/>
  <c r="R691" i="1"/>
  <c r="S691" i="1"/>
  <c r="T691" i="1"/>
  <c r="U691" i="1"/>
  <c r="X691" i="1"/>
  <c r="Z691" i="1"/>
  <c r="AD691" i="1"/>
  <c r="AE691" i="1"/>
  <c r="R692" i="1"/>
  <c r="S692" i="1"/>
  <c r="T692" i="1"/>
  <c r="U692" i="1"/>
  <c r="X692" i="1"/>
  <c r="Z692" i="1"/>
  <c r="AD692" i="1"/>
  <c r="AE692" i="1"/>
  <c r="R693" i="1"/>
  <c r="S693" i="1"/>
  <c r="T693" i="1"/>
  <c r="U693" i="1"/>
  <c r="X693" i="1"/>
  <c r="Y693" i="1"/>
  <c r="Z693" i="1"/>
  <c r="AD693" i="1"/>
  <c r="AE693" i="1"/>
  <c r="FG693" i="1"/>
  <c r="R694" i="1"/>
  <c r="S694" i="1"/>
  <c r="T694" i="1"/>
  <c r="U694" i="1"/>
  <c r="X694" i="1"/>
  <c r="Y694" i="1"/>
  <c r="Z694" i="1"/>
  <c r="AD694" i="1"/>
  <c r="AE694" i="1"/>
  <c r="R695" i="1"/>
  <c r="S695" i="1"/>
  <c r="T695" i="1"/>
  <c r="U695" i="1"/>
  <c r="V695" i="1"/>
  <c r="X695" i="1"/>
  <c r="Y695" i="1"/>
  <c r="Z695" i="1"/>
  <c r="AA695" i="1"/>
  <c r="AB695" i="1"/>
  <c r="AD695" i="1"/>
  <c r="AE695" i="1"/>
  <c r="R696" i="1"/>
  <c r="S696" i="1"/>
  <c r="T696" i="1"/>
  <c r="U696" i="1"/>
  <c r="V696" i="1"/>
  <c r="X696" i="1"/>
  <c r="Y696" i="1"/>
  <c r="Z696" i="1"/>
  <c r="AA696" i="1"/>
  <c r="AB696" i="1"/>
  <c r="AC696" i="1"/>
  <c r="AD696" i="1"/>
  <c r="AE696" i="1"/>
  <c r="R697" i="1"/>
  <c r="S697" i="1"/>
  <c r="T697" i="1"/>
  <c r="U697" i="1"/>
  <c r="X697" i="1"/>
  <c r="Z697" i="1"/>
  <c r="AA697" i="1"/>
  <c r="AB697" i="1"/>
  <c r="AD697" i="1"/>
  <c r="AE697" i="1"/>
  <c r="R698" i="1"/>
  <c r="S698" i="1"/>
  <c r="T698" i="1"/>
  <c r="U698" i="1"/>
  <c r="X698" i="1"/>
  <c r="Z698" i="1"/>
  <c r="AD698" i="1"/>
  <c r="AE698" i="1"/>
  <c r="AU698" i="1"/>
  <c r="R699" i="1"/>
  <c r="S699" i="1"/>
  <c r="T699" i="1"/>
  <c r="U699" i="1"/>
  <c r="X699" i="1"/>
  <c r="Z699" i="1"/>
  <c r="AD699" i="1"/>
  <c r="AE699" i="1"/>
  <c r="R700" i="1"/>
  <c r="S700" i="1"/>
  <c r="T700" i="1"/>
  <c r="U700" i="1"/>
  <c r="X700" i="1"/>
  <c r="Z700" i="1"/>
  <c r="AD700" i="1"/>
  <c r="AE700" i="1"/>
  <c r="R701" i="1"/>
  <c r="S701" i="1"/>
  <c r="T701" i="1"/>
  <c r="U701" i="1"/>
  <c r="X701" i="1"/>
  <c r="Z701" i="1"/>
  <c r="AD701" i="1"/>
  <c r="AE701" i="1"/>
  <c r="R702" i="1"/>
  <c r="S702" i="1"/>
  <c r="T702" i="1"/>
  <c r="U702" i="1"/>
  <c r="V702" i="1"/>
  <c r="X702" i="1"/>
  <c r="Y702" i="1"/>
  <c r="Z702" i="1"/>
  <c r="AA702" i="1"/>
  <c r="AB702" i="1"/>
  <c r="AC702" i="1"/>
  <c r="AD702" i="1"/>
  <c r="AE702" i="1"/>
  <c r="R703" i="1"/>
  <c r="S703" i="1"/>
  <c r="T703" i="1"/>
  <c r="U703" i="1"/>
  <c r="X703" i="1"/>
  <c r="Z703" i="1"/>
  <c r="AD703" i="1"/>
  <c r="AE703" i="1"/>
  <c r="R704" i="1"/>
  <c r="S704" i="1"/>
  <c r="T704" i="1"/>
  <c r="U704" i="1"/>
  <c r="X704" i="1"/>
  <c r="Y704" i="1"/>
  <c r="Z704" i="1"/>
  <c r="AC704" i="1"/>
  <c r="AD704" i="1"/>
  <c r="AE704" i="1"/>
  <c r="R705" i="1"/>
  <c r="S705" i="1"/>
  <c r="T705" i="1"/>
  <c r="U705" i="1"/>
  <c r="W705" i="1"/>
  <c r="X705" i="1"/>
  <c r="Z705" i="1"/>
  <c r="AC705" i="1"/>
  <c r="AD705" i="1"/>
  <c r="AE705" i="1"/>
  <c r="R706" i="1"/>
  <c r="S706" i="1"/>
  <c r="T706" i="1"/>
  <c r="U706" i="1"/>
  <c r="X706" i="1"/>
  <c r="Y706" i="1"/>
  <c r="Z706" i="1"/>
  <c r="AC706" i="1"/>
  <c r="AD706" i="1"/>
  <c r="AE706" i="1"/>
  <c r="R707" i="1"/>
  <c r="S707" i="1"/>
  <c r="T707" i="1"/>
  <c r="U707" i="1"/>
  <c r="X707" i="1"/>
  <c r="Z707" i="1"/>
  <c r="AC707" i="1"/>
  <c r="AD707" i="1"/>
  <c r="AE707" i="1"/>
  <c r="R708" i="1"/>
  <c r="S708" i="1"/>
  <c r="T708" i="1"/>
  <c r="U708" i="1"/>
  <c r="X708" i="1"/>
  <c r="Y708" i="1"/>
  <c r="Z708" i="1"/>
  <c r="AD708" i="1"/>
  <c r="AE708" i="1"/>
  <c r="R709" i="1"/>
  <c r="S709" i="1"/>
  <c r="T709" i="1"/>
  <c r="U709" i="1"/>
  <c r="V709" i="1"/>
  <c r="X709" i="1"/>
  <c r="Y709" i="1"/>
  <c r="Z709" i="1"/>
  <c r="AC709" i="1"/>
  <c r="AD709" i="1"/>
  <c r="AE709" i="1"/>
  <c r="R710" i="1"/>
  <c r="S710" i="1"/>
  <c r="T710" i="1"/>
  <c r="U710" i="1"/>
  <c r="X710" i="1"/>
  <c r="Y710" i="1"/>
  <c r="Z710" i="1"/>
  <c r="AA710" i="1"/>
  <c r="AB710" i="1"/>
  <c r="AC710" i="1"/>
  <c r="AD710" i="1"/>
  <c r="AE710" i="1"/>
  <c r="R711" i="1"/>
  <c r="S711" i="1"/>
  <c r="T711" i="1"/>
  <c r="U711" i="1"/>
  <c r="X711" i="1"/>
  <c r="Y711" i="1"/>
  <c r="Z711" i="1"/>
  <c r="AC711" i="1"/>
  <c r="AD711" i="1"/>
  <c r="AE711" i="1"/>
  <c r="R712" i="1"/>
  <c r="S712" i="1"/>
  <c r="T712" i="1"/>
  <c r="U712" i="1"/>
  <c r="V712" i="1"/>
  <c r="X712" i="1"/>
  <c r="Z712" i="1"/>
  <c r="AA712" i="1"/>
  <c r="AB712" i="1"/>
  <c r="AC712" i="1"/>
  <c r="AD712" i="1"/>
  <c r="AE712" i="1"/>
  <c r="R713" i="1"/>
  <c r="S713" i="1"/>
  <c r="T713" i="1"/>
  <c r="U713" i="1"/>
  <c r="X713" i="1"/>
  <c r="Z713" i="1"/>
  <c r="AD713" i="1"/>
  <c r="AE713" i="1"/>
  <c r="R714" i="1"/>
  <c r="S714" i="1"/>
  <c r="T714" i="1"/>
  <c r="U714" i="1"/>
  <c r="X714" i="1"/>
  <c r="Z714" i="1"/>
  <c r="AB714" i="1"/>
  <c r="AD714" i="1"/>
  <c r="AE714" i="1"/>
  <c r="R715" i="1"/>
  <c r="S715" i="1"/>
  <c r="T715" i="1"/>
  <c r="U715" i="1"/>
  <c r="X715" i="1"/>
  <c r="Z715" i="1"/>
  <c r="AA715" i="1"/>
  <c r="AB715" i="1"/>
  <c r="AC715" i="1"/>
  <c r="AD715" i="1"/>
  <c r="AE715" i="1"/>
  <c r="R716" i="1"/>
  <c r="S716" i="1"/>
  <c r="T716" i="1"/>
  <c r="U716" i="1"/>
  <c r="X716" i="1"/>
  <c r="Z716" i="1"/>
  <c r="AD716" i="1"/>
  <c r="AE716" i="1"/>
  <c r="R717" i="1"/>
  <c r="S717" i="1"/>
  <c r="T717" i="1"/>
  <c r="U717" i="1"/>
  <c r="X717" i="1"/>
  <c r="Y717" i="1"/>
  <c r="Z717" i="1"/>
  <c r="AC717" i="1"/>
  <c r="AD717" i="1"/>
  <c r="AE717" i="1"/>
  <c r="AH717" i="1"/>
  <c r="AM717" i="1"/>
  <c r="AN717" i="1"/>
  <c r="AO717" i="1"/>
  <c r="AP717" i="1"/>
  <c r="R718" i="1"/>
  <c r="S718" i="1"/>
  <c r="T718" i="1"/>
  <c r="U718" i="1"/>
  <c r="V718" i="1"/>
  <c r="X718" i="1"/>
  <c r="Y718" i="1"/>
  <c r="Z718" i="1"/>
  <c r="AC718" i="1"/>
  <c r="AD718" i="1"/>
  <c r="AE718" i="1"/>
  <c r="R719" i="1"/>
  <c r="S719" i="1"/>
  <c r="T719" i="1"/>
  <c r="U719" i="1"/>
  <c r="W719" i="1"/>
  <c r="X719" i="1"/>
  <c r="Y719" i="1"/>
  <c r="Z719" i="1"/>
  <c r="AC719" i="1"/>
  <c r="AD719" i="1"/>
  <c r="AE719" i="1"/>
  <c r="R720" i="1"/>
  <c r="S720" i="1"/>
  <c r="T720" i="1"/>
  <c r="U720" i="1"/>
  <c r="V720" i="1"/>
  <c r="X720" i="1"/>
  <c r="Y720" i="1"/>
  <c r="Z720" i="1"/>
  <c r="AA720" i="1"/>
  <c r="AB720" i="1"/>
  <c r="AD720" i="1"/>
  <c r="AE720" i="1"/>
  <c r="R721" i="1"/>
  <c r="S721" i="1"/>
  <c r="T721" i="1"/>
  <c r="U721" i="1"/>
  <c r="X721" i="1"/>
  <c r="Z721" i="1"/>
  <c r="AA721" i="1"/>
  <c r="AB721" i="1"/>
  <c r="AD721" i="1"/>
  <c r="AE721" i="1"/>
  <c r="R722" i="1"/>
  <c r="S722" i="1"/>
  <c r="T722" i="1"/>
  <c r="U722" i="1"/>
  <c r="X722" i="1"/>
  <c r="Z722" i="1"/>
  <c r="AC722" i="1"/>
  <c r="AD722" i="1"/>
  <c r="AE722" i="1"/>
  <c r="AM722" i="1"/>
  <c r="AN722" i="1"/>
  <c r="AO722" i="1"/>
  <c r="AP722" i="1"/>
  <c r="R723" i="1"/>
  <c r="S723" i="1"/>
  <c r="T723" i="1"/>
  <c r="U723" i="1"/>
  <c r="V723" i="1"/>
  <c r="X723" i="1"/>
  <c r="Z723" i="1"/>
  <c r="AC723" i="1"/>
  <c r="AD723" i="1"/>
  <c r="AE723" i="1"/>
  <c r="R724" i="1"/>
  <c r="S724" i="1"/>
  <c r="T724" i="1"/>
  <c r="U724" i="1"/>
  <c r="X724" i="1"/>
  <c r="Y724" i="1"/>
  <c r="Z724" i="1"/>
  <c r="AA724" i="1"/>
  <c r="AB724" i="1"/>
  <c r="AC724" i="1"/>
  <c r="AD724" i="1"/>
  <c r="AE724" i="1"/>
  <c r="AM724" i="1"/>
  <c r="AN724" i="1"/>
  <c r="AO724" i="1"/>
  <c r="AP724" i="1"/>
  <c r="R725" i="1"/>
  <c r="S725" i="1"/>
  <c r="T725" i="1"/>
  <c r="U725" i="1"/>
  <c r="X725" i="1"/>
  <c r="Z725" i="1"/>
  <c r="AA725" i="1"/>
  <c r="AB725" i="1"/>
  <c r="AD725" i="1"/>
  <c r="AE725" i="1"/>
  <c r="AM725" i="1"/>
  <c r="AN725" i="1"/>
  <c r="AO725" i="1"/>
  <c r="AP725" i="1"/>
  <c r="R726" i="1"/>
  <c r="S726" i="1"/>
  <c r="T726" i="1"/>
  <c r="U726" i="1"/>
  <c r="X726" i="1"/>
  <c r="Z726" i="1"/>
  <c r="AC726" i="1"/>
  <c r="AD726" i="1"/>
  <c r="AE726" i="1"/>
  <c r="R727" i="1"/>
  <c r="S727" i="1"/>
  <c r="T727" i="1"/>
  <c r="U727" i="1"/>
  <c r="X727" i="1"/>
  <c r="Y727" i="1"/>
  <c r="Z727" i="1"/>
  <c r="AA727" i="1"/>
  <c r="AB727" i="1"/>
  <c r="AD727" i="1"/>
  <c r="AE727" i="1"/>
  <c r="R728" i="1"/>
  <c r="S728" i="1"/>
  <c r="T728" i="1"/>
  <c r="U728" i="1"/>
  <c r="X728" i="1"/>
  <c r="Z728" i="1"/>
  <c r="AA728" i="1"/>
  <c r="AB728" i="1"/>
  <c r="AD728" i="1"/>
  <c r="AE728" i="1"/>
  <c r="R729" i="1"/>
  <c r="S729" i="1"/>
  <c r="T729" i="1"/>
  <c r="U729" i="1"/>
  <c r="X729" i="1"/>
  <c r="Z729" i="1"/>
  <c r="AC729" i="1"/>
  <c r="AD729" i="1"/>
  <c r="AE729" i="1"/>
  <c r="R730" i="1"/>
  <c r="S730" i="1"/>
  <c r="T730" i="1"/>
  <c r="U730" i="1"/>
  <c r="X730" i="1"/>
  <c r="Z730" i="1"/>
  <c r="AC730" i="1"/>
  <c r="AD730" i="1"/>
  <c r="AE730" i="1"/>
  <c r="R731" i="1"/>
  <c r="S731" i="1"/>
  <c r="T731" i="1"/>
  <c r="U731" i="1"/>
  <c r="X731" i="1"/>
  <c r="Z731" i="1"/>
  <c r="AA731" i="1"/>
  <c r="AB731" i="1"/>
  <c r="AC731" i="1"/>
  <c r="AD731" i="1"/>
  <c r="AE731" i="1"/>
  <c r="R732" i="1"/>
  <c r="S732" i="1"/>
  <c r="T732" i="1"/>
  <c r="U732" i="1"/>
  <c r="X732" i="1"/>
  <c r="Y732" i="1"/>
  <c r="Z732" i="1"/>
  <c r="AD732" i="1"/>
  <c r="AE732" i="1"/>
  <c r="R733" i="1"/>
  <c r="S733" i="1"/>
  <c r="T733" i="1"/>
  <c r="U733" i="1"/>
  <c r="X733" i="1"/>
  <c r="Z733" i="1"/>
  <c r="AC733" i="1"/>
  <c r="AD733" i="1"/>
  <c r="AE733" i="1"/>
  <c r="R734" i="1"/>
  <c r="S734" i="1"/>
  <c r="T734" i="1"/>
  <c r="U734" i="1"/>
  <c r="V734" i="1"/>
  <c r="X734" i="1"/>
  <c r="Z734" i="1"/>
  <c r="AD734" i="1"/>
  <c r="AE734" i="1"/>
  <c r="R735" i="1"/>
  <c r="S735" i="1"/>
  <c r="T735" i="1"/>
  <c r="U735" i="1"/>
  <c r="V735" i="1"/>
  <c r="X735" i="1"/>
  <c r="Y735" i="1"/>
  <c r="Z735" i="1"/>
  <c r="AD735" i="1"/>
  <c r="AE735" i="1"/>
  <c r="R736" i="1"/>
  <c r="S736" i="1"/>
  <c r="T736" i="1"/>
  <c r="U736" i="1"/>
  <c r="V736" i="1"/>
  <c r="X736" i="1"/>
  <c r="Z736" i="1"/>
  <c r="AC736" i="1"/>
  <c r="AD736" i="1"/>
  <c r="AE736" i="1"/>
  <c r="R737" i="1"/>
  <c r="S737" i="1"/>
  <c r="T737" i="1"/>
  <c r="U737" i="1"/>
  <c r="X737" i="1"/>
  <c r="Y737" i="1"/>
  <c r="Z737" i="1"/>
  <c r="AD737" i="1"/>
  <c r="AE737" i="1"/>
  <c r="R738" i="1"/>
  <c r="S738" i="1"/>
  <c r="T738" i="1"/>
  <c r="U738" i="1"/>
  <c r="V738" i="1"/>
  <c r="X738" i="1"/>
  <c r="Y738" i="1"/>
  <c r="Z738" i="1"/>
  <c r="AA738" i="1"/>
  <c r="AB738" i="1"/>
  <c r="AD738" i="1"/>
  <c r="AE738" i="1"/>
  <c r="R739" i="1"/>
  <c r="S739" i="1"/>
  <c r="T739" i="1"/>
  <c r="U739" i="1"/>
  <c r="X739" i="1"/>
  <c r="Z739" i="1"/>
  <c r="AD739" i="1"/>
  <c r="AE739" i="1"/>
  <c r="R740" i="1"/>
  <c r="S740" i="1"/>
  <c r="T740" i="1"/>
  <c r="U740" i="1"/>
  <c r="X740" i="1"/>
  <c r="Z740" i="1"/>
  <c r="AC740" i="1"/>
  <c r="AD740" i="1"/>
  <c r="AE740" i="1"/>
  <c r="R741" i="1"/>
  <c r="S741" i="1"/>
  <c r="T741" i="1"/>
  <c r="U741" i="1"/>
  <c r="V741" i="1"/>
  <c r="X741" i="1"/>
  <c r="Y741" i="1"/>
  <c r="Z741" i="1"/>
  <c r="AA741" i="1"/>
  <c r="AB741" i="1"/>
  <c r="AC741" i="1"/>
  <c r="AD741" i="1"/>
  <c r="AE741" i="1"/>
  <c r="R742" i="1"/>
  <c r="S742" i="1"/>
  <c r="T742" i="1"/>
  <c r="U742" i="1"/>
  <c r="V742" i="1"/>
  <c r="X742" i="1"/>
  <c r="Y742" i="1"/>
  <c r="Z742" i="1"/>
  <c r="AA742" i="1"/>
  <c r="AB742" i="1"/>
  <c r="AC742" i="1"/>
  <c r="AD742" i="1"/>
  <c r="AE742" i="1"/>
  <c r="AH742" i="1"/>
  <c r="AM742" i="1"/>
  <c r="AN742" i="1"/>
  <c r="AO742" i="1"/>
  <c r="AP742" i="1"/>
  <c r="R743" i="1"/>
  <c r="S743" i="1"/>
  <c r="T743" i="1"/>
  <c r="U743" i="1"/>
  <c r="X743" i="1"/>
  <c r="Z743" i="1"/>
  <c r="AD743" i="1"/>
  <c r="AE743" i="1"/>
  <c r="R744" i="1"/>
  <c r="S744" i="1"/>
  <c r="T744" i="1"/>
  <c r="U744" i="1"/>
  <c r="X744" i="1"/>
  <c r="Z744" i="1"/>
  <c r="AD744" i="1"/>
  <c r="AE744" i="1"/>
  <c r="AM744" i="1"/>
  <c r="AN744" i="1"/>
  <c r="AO744" i="1"/>
  <c r="AP744" i="1"/>
  <c r="R745" i="1"/>
  <c r="S745" i="1"/>
  <c r="T745" i="1"/>
  <c r="U745" i="1"/>
  <c r="X745" i="1"/>
  <c r="Z745" i="1"/>
  <c r="AD745" i="1"/>
  <c r="AE745" i="1"/>
  <c r="AM745" i="1"/>
  <c r="AN745" i="1"/>
  <c r="AO745" i="1"/>
  <c r="AP745" i="1"/>
  <c r="R746" i="1"/>
  <c r="S746" i="1"/>
  <c r="T746" i="1"/>
  <c r="U746" i="1"/>
  <c r="X746" i="1"/>
  <c r="Y746" i="1"/>
  <c r="Z746" i="1"/>
  <c r="AC746" i="1"/>
  <c r="AD746" i="1"/>
  <c r="AE746" i="1"/>
  <c r="R747" i="1"/>
  <c r="S747" i="1"/>
  <c r="T747" i="1"/>
  <c r="U747" i="1"/>
  <c r="X747" i="1"/>
  <c r="Y747" i="1"/>
  <c r="Z747" i="1"/>
  <c r="AA747" i="1"/>
  <c r="AB747" i="1"/>
  <c r="AC747" i="1"/>
  <c r="AD747" i="1"/>
  <c r="AE747" i="1"/>
  <c r="R748" i="1"/>
  <c r="S748" i="1"/>
  <c r="T748" i="1"/>
  <c r="U748" i="1"/>
  <c r="X748" i="1"/>
  <c r="Z748" i="1"/>
  <c r="AD748" i="1"/>
  <c r="AE748" i="1"/>
  <c r="DC748" i="1"/>
  <c r="DM748" i="1"/>
  <c r="EC748" i="1"/>
  <c r="R749" i="1"/>
  <c r="S749" i="1"/>
  <c r="T749" i="1"/>
  <c r="U749" i="1"/>
  <c r="X749" i="1"/>
  <c r="Z749" i="1"/>
  <c r="AD749" i="1"/>
  <c r="AE749" i="1"/>
  <c r="R750" i="1"/>
  <c r="S750" i="1"/>
  <c r="T750" i="1"/>
  <c r="U750" i="1"/>
  <c r="X750" i="1"/>
  <c r="Z750" i="1"/>
  <c r="AC750" i="1"/>
  <c r="AD750" i="1"/>
  <c r="AE750" i="1"/>
  <c r="R751" i="1"/>
  <c r="S751" i="1"/>
  <c r="T751" i="1"/>
  <c r="U751" i="1"/>
  <c r="X751" i="1"/>
  <c r="Y751" i="1"/>
  <c r="Z751" i="1"/>
  <c r="AD751" i="1"/>
  <c r="AE751" i="1"/>
  <c r="AH751" i="1"/>
  <c r="AL751" i="1"/>
  <c r="AM751" i="1"/>
  <c r="AN751" i="1"/>
  <c r="AO751" i="1"/>
  <c r="AP751" i="1"/>
  <c r="AQ751" i="1"/>
  <c r="R752" i="1"/>
  <c r="S752" i="1"/>
  <c r="T752" i="1"/>
  <c r="U752" i="1"/>
  <c r="X752" i="1"/>
  <c r="Z752" i="1"/>
  <c r="AA752" i="1"/>
  <c r="AB752" i="1"/>
  <c r="AC752" i="1"/>
  <c r="AD752" i="1"/>
  <c r="AE752" i="1"/>
  <c r="R753" i="1"/>
  <c r="S753" i="1"/>
  <c r="T753" i="1"/>
  <c r="U753" i="1"/>
  <c r="X753" i="1"/>
  <c r="Y753" i="1"/>
  <c r="Z753" i="1"/>
  <c r="AD753" i="1"/>
  <c r="AE753" i="1"/>
  <c r="CZ753" i="1"/>
  <c r="EC753" i="1"/>
  <c r="R754" i="1"/>
  <c r="S754" i="1"/>
  <c r="T754" i="1"/>
  <c r="U754" i="1"/>
  <c r="X754" i="1"/>
  <c r="Y754" i="1"/>
  <c r="Z754" i="1"/>
  <c r="AD754" i="1"/>
  <c r="AE754" i="1"/>
  <c r="AH754" i="1"/>
  <c r="AM754" i="1"/>
  <c r="AN754" i="1"/>
  <c r="AO754" i="1"/>
  <c r="AP754" i="1"/>
  <c r="CZ754" i="1"/>
  <c r="EC754" i="1"/>
  <c r="R755" i="1"/>
  <c r="S755" i="1"/>
  <c r="T755" i="1"/>
  <c r="U755" i="1"/>
  <c r="X755" i="1"/>
  <c r="Z755" i="1"/>
  <c r="AA755" i="1"/>
  <c r="AB755" i="1"/>
  <c r="AC755" i="1"/>
  <c r="AD755" i="1"/>
  <c r="AE755" i="1"/>
  <c r="R756" i="1"/>
  <c r="S756" i="1"/>
  <c r="T756" i="1"/>
  <c r="U756" i="1"/>
  <c r="X756" i="1"/>
  <c r="Z756" i="1"/>
  <c r="AA756" i="1"/>
  <c r="AB756" i="1"/>
  <c r="AD756" i="1"/>
  <c r="AE756" i="1"/>
  <c r="R757" i="1"/>
  <c r="S757" i="1"/>
  <c r="T757" i="1"/>
  <c r="U757" i="1"/>
  <c r="X757" i="1"/>
  <c r="Z757" i="1"/>
  <c r="AA757" i="1"/>
  <c r="AB757" i="1"/>
  <c r="AC757" i="1"/>
  <c r="AD757" i="1"/>
  <c r="AE757" i="1"/>
  <c r="R758" i="1"/>
  <c r="S758" i="1"/>
  <c r="T758" i="1"/>
  <c r="U758" i="1"/>
  <c r="V758" i="1"/>
  <c r="X758" i="1"/>
  <c r="Z758" i="1"/>
  <c r="AC758" i="1"/>
  <c r="AD758" i="1"/>
  <c r="AE758" i="1"/>
  <c r="R759" i="1"/>
  <c r="S759" i="1"/>
  <c r="T759" i="1"/>
  <c r="U759" i="1"/>
  <c r="V759" i="1"/>
  <c r="X759" i="1"/>
  <c r="Z759" i="1"/>
  <c r="AC759" i="1"/>
  <c r="AD759" i="1"/>
  <c r="AE759" i="1"/>
  <c r="R760" i="1"/>
  <c r="S760" i="1"/>
  <c r="T760" i="1"/>
  <c r="U760" i="1"/>
  <c r="X760" i="1"/>
  <c r="Y760" i="1"/>
  <c r="Z760" i="1"/>
  <c r="AC760" i="1"/>
  <c r="AD760" i="1"/>
  <c r="AE760" i="1"/>
  <c r="AH760" i="1"/>
  <c r="AL760" i="1"/>
  <c r="AM760" i="1"/>
  <c r="AN760" i="1"/>
  <c r="AO760" i="1"/>
  <c r="AP760" i="1"/>
  <c r="AQ760" i="1"/>
  <c r="R761" i="1"/>
  <c r="S761" i="1"/>
  <c r="T761" i="1"/>
  <c r="U761" i="1"/>
  <c r="V761" i="1"/>
  <c r="X761" i="1"/>
  <c r="Y761" i="1"/>
  <c r="Z761" i="1"/>
  <c r="AD761" i="1"/>
  <c r="AE761" i="1"/>
  <c r="AH761" i="1"/>
  <c r="AL761" i="1"/>
  <c r="AM761" i="1"/>
  <c r="AN761" i="1"/>
  <c r="AO761" i="1"/>
  <c r="AP761" i="1"/>
  <c r="AQ761" i="1"/>
  <c r="R762" i="1"/>
  <c r="S762" i="1"/>
  <c r="T762" i="1"/>
  <c r="U762" i="1"/>
  <c r="V762" i="1"/>
  <c r="X762" i="1"/>
  <c r="Y762" i="1"/>
  <c r="Z762" i="1"/>
  <c r="AC762" i="1"/>
  <c r="AD762" i="1"/>
  <c r="AE762" i="1"/>
  <c r="R763" i="1"/>
  <c r="S763" i="1"/>
  <c r="T763" i="1"/>
  <c r="U763" i="1"/>
  <c r="X763" i="1"/>
  <c r="Z763" i="1"/>
  <c r="AC763" i="1"/>
  <c r="AD763" i="1"/>
  <c r="AE763" i="1"/>
  <c r="R764" i="1"/>
  <c r="S764" i="1"/>
  <c r="T764" i="1"/>
  <c r="U764" i="1"/>
  <c r="X764" i="1"/>
  <c r="Y764" i="1"/>
  <c r="Z764" i="1"/>
  <c r="AC764" i="1"/>
  <c r="AD764" i="1"/>
  <c r="AE764" i="1"/>
  <c r="R765" i="1"/>
  <c r="S765" i="1"/>
  <c r="T765" i="1"/>
  <c r="U765" i="1"/>
  <c r="V765" i="1"/>
  <c r="X765" i="1"/>
  <c r="Y765" i="1"/>
  <c r="Z765" i="1"/>
  <c r="AB765" i="1"/>
  <c r="AC765" i="1"/>
  <c r="AD765" i="1"/>
  <c r="AE765" i="1"/>
  <c r="R766" i="1"/>
  <c r="S766" i="1"/>
  <c r="T766" i="1"/>
  <c r="U766" i="1"/>
  <c r="X766" i="1"/>
  <c r="Y766" i="1"/>
  <c r="Z766" i="1"/>
  <c r="AC766" i="1"/>
  <c r="AD766" i="1"/>
  <c r="AE766" i="1"/>
  <c r="R767" i="1"/>
  <c r="S767" i="1"/>
  <c r="T767" i="1"/>
  <c r="U767" i="1"/>
  <c r="X767" i="1"/>
  <c r="Y767" i="1"/>
  <c r="Z767" i="1"/>
  <c r="AD767" i="1"/>
  <c r="AE767" i="1"/>
  <c r="AM767" i="1"/>
  <c r="AN767" i="1"/>
  <c r="AO767" i="1"/>
  <c r="AP767" i="1"/>
  <c r="R768" i="1"/>
  <c r="S768" i="1"/>
  <c r="T768" i="1"/>
  <c r="U768" i="1"/>
  <c r="X768" i="1"/>
  <c r="Y768" i="1"/>
  <c r="Z768" i="1"/>
  <c r="AA768" i="1"/>
  <c r="AB768" i="1"/>
  <c r="AC768" i="1"/>
  <c r="AD768" i="1"/>
  <c r="AE768" i="1"/>
  <c r="R769" i="1"/>
  <c r="S769" i="1"/>
  <c r="T769" i="1"/>
  <c r="U769" i="1"/>
  <c r="V769" i="1"/>
  <c r="X769" i="1"/>
  <c r="Z769" i="1"/>
  <c r="AD769" i="1"/>
  <c r="AE769" i="1"/>
  <c r="R770" i="1"/>
  <c r="S770" i="1"/>
  <c r="T770" i="1"/>
  <c r="U770" i="1"/>
  <c r="V770" i="1"/>
  <c r="X770" i="1"/>
  <c r="Z770" i="1"/>
  <c r="AC770" i="1"/>
  <c r="AD770" i="1"/>
  <c r="AE770" i="1"/>
  <c r="R771" i="1"/>
  <c r="S771" i="1"/>
  <c r="T771" i="1"/>
  <c r="U771" i="1"/>
  <c r="V771" i="1"/>
  <c r="X771" i="1"/>
  <c r="Y771" i="1"/>
  <c r="Z771" i="1"/>
  <c r="AC771" i="1"/>
  <c r="AD771" i="1"/>
  <c r="AE771" i="1"/>
  <c r="R772" i="1"/>
  <c r="S772" i="1"/>
  <c r="T772" i="1"/>
  <c r="U772" i="1"/>
  <c r="V772" i="1"/>
  <c r="X772" i="1"/>
  <c r="Z772" i="1"/>
  <c r="AD772" i="1"/>
  <c r="AE772" i="1"/>
  <c r="R773" i="1"/>
  <c r="S773" i="1"/>
  <c r="T773" i="1"/>
  <c r="U773" i="1"/>
  <c r="X773" i="1"/>
  <c r="Z773" i="1"/>
  <c r="AD773" i="1"/>
  <c r="AE773" i="1"/>
  <c r="R774" i="1"/>
  <c r="S774" i="1"/>
  <c r="T774" i="1"/>
  <c r="U774" i="1"/>
  <c r="W774" i="1"/>
  <c r="X774" i="1"/>
  <c r="Z774" i="1"/>
  <c r="AC774" i="1"/>
  <c r="AD774" i="1"/>
  <c r="AE774" i="1"/>
  <c r="AH774" i="1"/>
  <c r="AM774" i="1"/>
  <c r="AN774" i="1"/>
  <c r="AO774" i="1"/>
  <c r="AP774" i="1"/>
  <c r="R775" i="1"/>
  <c r="S775" i="1"/>
  <c r="T775" i="1"/>
  <c r="U775" i="1"/>
  <c r="V775" i="1"/>
  <c r="X775" i="1"/>
  <c r="Z775" i="1"/>
  <c r="AC775" i="1"/>
  <c r="AD775" i="1"/>
  <c r="AE775" i="1"/>
  <c r="AM775" i="1"/>
  <c r="AN775" i="1"/>
  <c r="AO775" i="1"/>
  <c r="AP775" i="1"/>
  <c r="R776" i="1"/>
  <c r="S776" i="1"/>
  <c r="T776" i="1"/>
  <c r="U776" i="1"/>
  <c r="X776" i="1"/>
  <c r="Z776" i="1"/>
  <c r="AC776" i="1"/>
  <c r="AD776" i="1"/>
  <c r="AE776" i="1"/>
  <c r="R777" i="1"/>
  <c r="S777" i="1"/>
  <c r="T777" i="1"/>
  <c r="U777" i="1"/>
  <c r="X777" i="1"/>
  <c r="Y777" i="1"/>
  <c r="Z777" i="1"/>
  <c r="AD777" i="1"/>
  <c r="AE777" i="1"/>
  <c r="R778" i="1"/>
  <c r="S778" i="1"/>
  <c r="T778" i="1"/>
  <c r="U778" i="1"/>
  <c r="V778" i="1"/>
  <c r="X778" i="1"/>
  <c r="Y778" i="1"/>
  <c r="Z778" i="1"/>
  <c r="AC778" i="1"/>
  <c r="AD778" i="1"/>
  <c r="AE778" i="1"/>
  <c r="R779" i="1"/>
  <c r="S779" i="1"/>
  <c r="T779" i="1"/>
  <c r="U779" i="1"/>
  <c r="X779" i="1"/>
  <c r="Z779" i="1"/>
  <c r="AC779" i="1"/>
  <c r="AD779" i="1"/>
  <c r="AE779" i="1"/>
  <c r="R780" i="1"/>
  <c r="S780" i="1"/>
  <c r="T780" i="1"/>
  <c r="U780" i="1"/>
  <c r="X780" i="1"/>
  <c r="Z780" i="1"/>
  <c r="AA780" i="1"/>
  <c r="AB780" i="1"/>
  <c r="AC780" i="1"/>
  <c r="AD780" i="1"/>
  <c r="AE780" i="1"/>
  <c r="R781" i="1"/>
  <c r="S781" i="1"/>
  <c r="T781" i="1"/>
  <c r="U781" i="1"/>
  <c r="X781" i="1"/>
  <c r="Y781" i="1"/>
  <c r="Z781" i="1"/>
  <c r="AA781" i="1"/>
  <c r="AB781" i="1"/>
  <c r="AC781" i="1"/>
  <c r="AD781" i="1"/>
  <c r="AE781" i="1"/>
  <c r="R782" i="1"/>
  <c r="S782" i="1"/>
  <c r="T782" i="1"/>
  <c r="U782" i="1"/>
  <c r="V782" i="1"/>
  <c r="X782" i="1"/>
  <c r="Z782" i="1"/>
  <c r="AA782" i="1"/>
  <c r="AB782" i="1"/>
  <c r="AD782" i="1"/>
  <c r="AE782" i="1"/>
  <c r="AM782" i="1"/>
  <c r="AN782" i="1"/>
  <c r="AO782" i="1"/>
  <c r="AP782" i="1"/>
  <c r="R783" i="1"/>
  <c r="S783" i="1"/>
  <c r="T783" i="1"/>
  <c r="U783" i="1"/>
  <c r="X783" i="1"/>
  <c r="Z783" i="1"/>
  <c r="AA783" i="1"/>
  <c r="AB783" i="1"/>
  <c r="AC783" i="1"/>
  <c r="AD783" i="1"/>
  <c r="AE783" i="1"/>
  <c r="AM783" i="1"/>
  <c r="AN783" i="1"/>
  <c r="AO783" i="1"/>
  <c r="R784" i="1"/>
  <c r="S784" i="1"/>
  <c r="T784" i="1"/>
  <c r="U784" i="1"/>
  <c r="X784" i="1"/>
  <c r="Z784" i="1"/>
  <c r="AA784" i="1"/>
  <c r="AB784" i="1"/>
  <c r="AD784" i="1"/>
  <c r="AE784" i="1"/>
  <c r="R785" i="1"/>
  <c r="S785" i="1"/>
  <c r="T785" i="1"/>
  <c r="U785" i="1"/>
  <c r="X785" i="1"/>
  <c r="Z785" i="1"/>
  <c r="AD785" i="1"/>
  <c r="AE785" i="1"/>
  <c r="AM785" i="1"/>
  <c r="AN785" i="1"/>
  <c r="AO785" i="1"/>
  <c r="AP785" i="1"/>
  <c r="R786" i="1"/>
  <c r="S786" i="1"/>
  <c r="T786" i="1"/>
  <c r="U786" i="1"/>
  <c r="V786" i="1"/>
  <c r="X786" i="1"/>
  <c r="Z786" i="1"/>
  <c r="AC786" i="1"/>
  <c r="AD786" i="1"/>
  <c r="AE786" i="1"/>
  <c r="AM786" i="1"/>
  <c r="AN786" i="1"/>
  <c r="AO786" i="1"/>
  <c r="AP786" i="1"/>
  <c r="R787" i="1"/>
  <c r="S787" i="1"/>
  <c r="T787" i="1"/>
  <c r="U787" i="1"/>
  <c r="X787" i="1"/>
  <c r="Z787" i="1"/>
  <c r="AD787" i="1"/>
  <c r="AE787" i="1"/>
  <c r="R788" i="1"/>
  <c r="S788" i="1"/>
  <c r="T788" i="1"/>
  <c r="U788" i="1"/>
  <c r="X788" i="1"/>
  <c r="Z788" i="1"/>
  <c r="AD788" i="1"/>
  <c r="AE788" i="1"/>
  <c r="R789" i="1"/>
  <c r="S789" i="1"/>
  <c r="T789" i="1"/>
  <c r="U789" i="1"/>
  <c r="X789" i="1"/>
  <c r="Z789" i="1"/>
  <c r="AD789" i="1"/>
  <c r="AE789" i="1"/>
  <c r="R790" i="1"/>
  <c r="S790" i="1"/>
  <c r="T790" i="1"/>
  <c r="U790" i="1"/>
  <c r="X790" i="1"/>
  <c r="Y790" i="1"/>
  <c r="Z790" i="1"/>
  <c r="AC790" i="1"/>
  <c r="AD790" i="1"/>
  <c r="AE790" i="1"/>
  <c r="AH790" i="1"/>
  <c r="AL790" i="1"/>
  <c r="AM790" i="1"/>
  <c r="AN790" i="1"/>
  <c r="AO790" i="1"/>
  <c r="AP790" i="1"/>
  <c r="R791" i="1"/>
  <c r="S791" i="1"/>
  <c r="T791" i="1"/>
  <c r="U791" i="1"/>
  <c r="X791" i="1"/>
  <c r="Z791" i="1"/>
  <c r="AD791" i="1"/>
  <c r="AE791" i="1"/>
  <c r="AM791" i="1"/>
  <c r="AN791" i="1"/>
  <c r="AO791" i="1"/>
  <c r="AP791" i="1"/>
  <c r="R792" i="1"/>
  <c r="S792" i="1"/>
  <c r="T792" i="1"/>
  <c r="U792" i="1"/>
  <c r="X792" i="1"/>
  <c r="Y792" i="1"/>
  <c r="Z792" i="1"/>
  <c r="AA792" i="1"/>
  <c r="AB792" i="1"/>
  <c r="AC792" i="1"/>
  <c r="AD792" i="1"/>
  <c r="AE792" i="1"/>
  <c r="R793" i="1"/>
  <c r="S793" i="1"/>
  <c r="T793" i="1"/>
  <c r="U793" i="1"/>
  <c r="X793" i="1"/>
  <c r="Y793" i="1"/>
  <c r="Z793" i="1"/>
  <c r="AA793" i="1"/>
  <c r="AB793" i="1"/>
  <c r="AC793" i="1"/>
  <c r="AD793" i="1"/>
  <c r="AE793" i="1"/>
  <c r="R794" i="1"/>
  <c r="S794" i="1"/>
  <c r="T794" i="1"/>
  <c r="U794" i="1"/>
  <c r="X794" i="1"/>
  <c r="Z794" i="1"/>
  <c r="AD794" i="1"/>
  <c r="AE794" i="1"/>
  <c r="R795" i="1"/>
  <c r="S795" i="1"/>
  <c r="T795" i="1"/>
  <c r="U795" i="1"/>
  <c r="X795" i="1"/>
  <c r="Z795" i="1"/>
  <c r="AC795" i="1"/>
  <c r="AD795" i="1"/>
  <c r="AE795" i="1"/>
  <c r="R796" i="1"/>
  <c r="S796" i="1"/>
  <c r="T796" i="1"/>
  <c r="U796" i="1"/>
  <c r="X796" i="1"/>
  <c r="Z796" i="1"/>
  <c r="AC796" i="1"/>
  <c r="AD796" i="1"/>
  <c r="AE796" i="1"/>
  <c r="R797" i="1"/>
  <c r="S797" i="1"/>
  <c r="T797" i="1"/>
  <c r="U797" i="1"/>
  <c r="X797" i="1"/>
  <c r="Z797" i="1"/>
  <c r="AD797" i="1"/>
  <c r="AE797" i="1"/>
  <c r="R798" i="1"/>
  <c r="S798" i="1"/>
  <c r="T798" i="1"/>
  <c r="U798" i="1"/>
  <c r="X798" i="1"/>
  <c r="Z798" i="1"/>
  <c r="AD798" i="1"/>
  <c r="AE798" i="1"/>
  <c r="R799" i="1"/>
  <c r="S799" i="1"/>
  <c r="T799" i="1"/>
  <c r="U799" i="1"/>
  <c r="X799" i="1"/>
  <c r="Z799" i="1"/>
  <c r="AD799" i="1"/>
  <c r="AE799" i="1"/>
  <c r="R800" i="1"/>
  <c r="S800" i="1"/>
  <c r="T800" i="1"/>
  <c r="U800" i="1"/>
  <c r="X800" i="1"/>
  <c r="Y800" i="1"/>
  <c r="Z800" i="1"/>
  <c r="AD800" i="1"/>
  <c r="AE800" i="1"/>
  <c r="R801" i="1"/>
  <c r="S801" i="1"/>
  <c r="T801" i="1"/>
  <c r="U801" i="1"/>
  <c r="X801" i="1"/>
  <c r="Z801" i="1"/>
  <c r="AD801" i="1"/>
  <c r="AE801" i="1"/>
  <c r="R802" i="1"/>
  <c r="S802" i="1"/>
  <c r="T802" i="1"/>
  <c r="U802" i="1"/>
  <c r="X802" i="1"/>
  <c r="Z802" i="1"/>
  <c r="AC802" i="1"/>
  <c r="AD802" i="1"/>
  <c r="AE802" i="1"/>
  <c r="AM802" i="1"/>
  <c r="AN802" i="1"/>
  <c r="AO802" i="1"/>
  <c r="AP802" i="1"/>
  <c r="R803" i="1"/>
  <c r="S803" i="1"/>
  <c r="T803" i="1"/>
  <c r="U803" i="1"/>
  <c r="X803" i="1"/>
  <c r="Z803" i="1"/>
  <c r="AA803" i="1"/>
  <c r="AB803" i="1"/>
  <c r="AD803" i="1"/>
  <c r="AE803" i="1"/>
  <c r="AM803" i="1"/>
  <c r="AN803" i="1"/>
  <c r="AO803" i="1"/>
  <c r="AP803" i="1"/>
  <c r="R804" i="1"/>
  <c r="S804" i="1"/>
  <c r="T804" i="1"/>
  <c r="U804" i="1"/>
  <c r="V804" i="1"/>
  <c r="X804" i="1"/>
  <c r="Y804" i="1"/>
  <c r="Z804" i="1"/>
  <c r="AD804" i="1"/>
  <c r="AE804" i="1"/>
  <c r="AH804" i="1"/>
  <c r="AM804" i="1"/>
  <c r="AN804" i="1"/>
  <c r="AO804" i="1"/>
  <c r="AP804" i="1"/>
  <c r="AQ804" i="1"/>
  <c r="R805" i="1"/>
  <c r="S805" i="1"/>
  <c r="T805" i="1"/>
  <c r="U805" i="1"/>
  <c r="V805" i="1"/>
  <c r="X805" i="1"/>
  <c r="Z805" i="1"/>
  <c r="AA805" i="1"/>
  <c r="AB805" i="1"/>
  <c r="AC805" i="1"/>
  <c r="AD805" i="1"/>
  <c r="AE805" i="1"/>
  <c r="AM805" i="1"/>
  <c r="AN805" i="1"/>
  <c r="AO805" i="1"/>
  <c r="R806" i="1"/>
  <c r="S806" i="1"/>
  <c r="T806" i="1"/>
  <c r="U806" i="1"/>
  <c r="X806" i="1"/>
  <c r="Y806" i="1"/>
  <c r="Z806" i="1"/>
  <c r="AA806" i="1"/>
  <c r="AB806" i="1"/>
  <c r="AC806" i="1"/>
  <c r="AD806" i="1"/>
  <c r="AE806" i="1"/>
  <c r="R807" i="1"/>
  <c r="S807" i="1"/>
  <c r="T807" i="1"/>
  <c r="U807" i="1"/>
  <c r="X807" i="1"/>
  <c r="Z807" i="1"/>
  <c r="AD807" i="1"/>
  <c r="AE807" i="1"/>
  <c r="AM807" i="1"/>
  <c r="AN807" i="1"/>
  <c r="AO807" i="1"/>
  <c r="AP807" i="1"/>
  <c r="R808" i="1"/>
  <c r="S808" i="1"/>
  <c r="T808" i="1"/>
  <c r="U808" i="1"/>
  <c r="X808" i="1"/>
  <c r="Y808" i="1"/>
  <c r="Z808" i="1"/>
  <c r="AA808" i="1"/>
  <c r="AB808" i="1"/>
  <c r="AC808" i="1"/>
  <c r="AD808" i="1"/>
  <c r="AE808" i="1"/>
  <c r="R809" i="1"/>
  <c r="S809" i="1"/>
  <c r="T809" i="1"/>
  <c r="U809" i="1"/>
  <c r="V809" i="1"/>
  <c r="X809" i="1"/>
  <c r="Z809" i="1"/>
  <c r="AC809" i="1"/>
  <c r="AD809" i="1"/>
  <c r="AE809" i="1"/>
  <c r="R810" i="1"/>
  <c r="S810" i="1"/>
  <c r="T810" i="1"/>
  <c r="U810" i="1"/>
  <c r="X810" i="1"/>
  <c r="Z810" i="1"/>
  <c r="AD810" i="1"/>
  <c r="AE810" i="1"/>
  <c r="R811" i="1"/>
  <c r="S811" i="1"/>
  <c r="T811" i="1"/>
  <c r="U811" i="1"/>
  <c r="W811" i="1"/>
  <c r="X811" i="1"/>
  <c r="Z811" i="1"/>
  <c r="AC811" i="1"/>
  <c r="AD811" i="1"/>
  <c r="AE811" i="1"/>
  <c r="R812" i="1"/>
  <c r="S812" i="1"/>
  <c r="T812" i="1"/>
  <c r="U812" i="1"/>
  <c r="X812" i="1"/>
  <c r="Z812" i="1"/>
  <c r="AD812" i="1"/>
  <c r="AE812" i="1"/>
  <c r="R813" i="1"/>
  <c r="S813" i="1"/>
  <c r="T813" i="1"/>
  <c r="U813" i="1"/>
  <c r="X813" i="1"/>
  <c r="Y813" i="1"/>
  <c r="Z813" i="1"/>
  <c r="AC813" i="1"/>
  <c r="AD813" i="1"/>
  <c r="AE813" i="1"/>
  <c r="R814" i="1"/>
  <c r="S814" i="1"/>
  <c r="T814" i="1"/>
  <c r="U814" i="1"/>
  <c r="X814" i="1"/>
  <c r="Z814" i="1"/>
  <c r="AD814" i="1"/>
  <c r="AE814" i="1"/>
  <c r="R815" i="1"/>
  <c r="S815" i="1"/>
  <c r="T815" i="1"/>
  <c r="U815" i="1"/>
  <c r="V815" i="1"/>
  <c r="X815" i="1"/>
  <c r="Y815" i="1"/>
  <c r="Z815" i="1"/>
  <c r="AC815" i="1"/>
  <c r="AD815" i="1"/>
  <c r="AE815" i="1"/>
  <c r="R816" i="1"/>
  <c r="S816" i="1"/>
  <c r="T816" i="1"/>
  <c r="U816" i="1"/>
  <c r="V816" i="1"/>
  <c r="X816" i="1"/>
  <c r="Y816" i="1"/>
  <c r="Z816" i="1"/>
  <c r="AA816" i="1"/>
  <c r="AB816" i="1"/>
  <c r="AC816" i="1"/>
  <c r="AD816" i="1"/>
  <c r="AE816" i="1"/>
  <c r="BU816" i="1"/>
  <c r="R817" i="1"/>
  <c r="S817" i="1"/>
  <c r="T817" i="1"/>
  <c r="U817" i="1"/>
  <c r="X817" i="1"/>
  <c r="Y817" i="1"/>
  <c r="Z817" i="1"/>
  <c r="AC817" i="1"/>
  <c r="AD817" i="1"/>
  <c r="AE817" i="1"/>
  <c r="R818" i="1"/>
  <c r="S818" i="1"/>
  <c r="T818" i="1"/>
  <c r="U818" i="1"/>
  <c r="V818" i="1"/>
  <c r="X818" i="1"/>
  <c r="Y818" i="1"/>
  <c r="Z818" i="1"/>
  <c r="AA818" i="1"/>
  <c r="AB818" i="1"/>
  <c r="AD818" i="1"/>
  <c r="AE818" i="1"/>
  <c r="R819" i="1"/>
  <c r="S819" i="1"/>
  <c r="T819" i="1"/>
  <c r="U819" i="1"/>
  <c r="V819" i="1"/>
  <c r="X819" i="1"/>
  <c r="Y819" i="1"/>
  <c r="Z819" i="1"/>
  <c r="AC819" i="1"/>
  <c r="AD819" i="1"/>
  <c r="AE819" i="1"/>
  <c r="R820" i="1"/>
  <c r="S820" i="1"/>
  <c r="T820" i="1"/>
  <c r="U820" i="1"/>
  <c r="X820" i="1"/>
  <c r="Z820" i="1"/>
  <c r="AC820" i="1"/>
  <c r="AD820" i="1"/>
  <c r="AE820" i="1"/>
  <c r="R821" i="1"/>
  <c r="S821" i="1"/>
  <c r="T821" i="1"/>
  <c r="U821" i="1"/>
  <c r="X821" i="1"/>
  <c r="Z821" i="1"/>
  <c r="AD821" i="1"/>
  <c r="AE821" i="1"/>
  <c r="R822" i="1"/>
  <c r="S822" i="1"/>
  <c r="T822" i="1"/>
  <c r="U822" i="1"/>
  <c r="V822" i="1"/>
  <c r="X822" i="1"/>
  <c r="Y822" i="1"/>
  <c r="Z822" i="1"/>
  <c r="AA822" i="1"/>
  <c r="AB822" i="1"/>
  <c r="AC822" i="1"/>
  <c r="AD822" i="1"/>
  <c r="AE822" i="1"/>
  <c r="R823" i="1"/>
  <c r="S823" i="1"/>
  <c r="T823" i="1"/>
  <c r="U823" i="1"/>
  <c r="X823" i="1"/>
  <c r="Y823" i="1"/>
  <c r="Z823" i="1"/>
  <c r="AA823" i="1"/>
  <c r="AB823" i="1"/>
  <c r="AD823" i="1"/>
  <c r="AE823" i="1"/>
  <c r="R824" i="1"/>
  <c r="S824" i="1"/>
  <c r="T824" i="1"/>
  <c r="U824" i="1"/>
  <c r="V824" i="1"/>
  <c r="X824" i="1"/>
  <c r="Y824" i="1"/>
  <c r="Z824" i="1"/>
  <c r="AA824" i="1"/>
  <c r="AB824" i="1"/>
  <c r="AC824" i="1"/>
  <c r="AD824" i="1"/>
  <c r="AE824" i="1"/>
  <c r="R825" i="1"/>
  <c r="S825" i="1"/>
  <c r="T825" i="1"/>
  <c r="U825" i="1"/>
  <c r="X825" i="1"/>
  <c r="Z825" i="1"/>
  <c r="AD825" i="1"/>
  <c r="AE825" i="1"/>
  <c r="R826" i="1"/>
  <c r="S826" i="1"/>
  <c r="T826" i="1"/>
  <c r="U826" i="1"/>
  <c r="V826" i="1"/>
  <c r="X826" i="1"/>
  <c r="Z826" i="1"/>
  <c r="AD826" i="1"/>
  <c r="AE826" i="1"/>
  <c r="R827" i="1"/>
  <c r="S827" i="1"/>
  <c r="T827" i="1"/>
  <c r="U827" i="1"/>
  <c r="X827" i="1"/>
  <c r="Z827" i="1"/>
  <c r="AC827" i="1"/>
  <c r="AD827" i="1"/>
  <c r="AE827" i="1"/>
  <c r="R828" i="1"/>
  <c r="S828" i="1"/>
  <c r="T828" i="1"/>
  <c r="U828" i="1"/>
  <c r="V828" i="1"/>
  <c r="X828" i="1"/>
  <c r="Z828" i="1"/>
  <c r="AC828" i="1"/>
  <c r="AD828" i="1"/>
  <c r="AE828" i="1"/>
  <c r="R829" i="1"/>
  <c r="S829" i="1"/>
  <c r="T829" i="1"/>
  <c r="U829" i="1"/>
  <c r="V829" i="1"/>
  <c r="X829" i="1"/>
  <c r="Y829" i="1"/>
  <c r="Z829" i="1"/>
  <c r="AA829" i="1"/>
  <c r="AB829" i="1"/>
  <c r="AC829" i="1"/>
  <c r="AD829" i="1"/>
  <c r="AE829" i="1"/>
  <c r="R830" i="1"/>
  <c r="S830" i="1"/>
  <c r="T830" i="1"/>
  <c r="U830" i="1"/>
  <c r="V830" i="1"/>
  <c r="X830" i="1"/>
  <c r="Z830" i="1"/>
  <c r="AA830" i="1"/>
  <c r="AC830" i="1"/>
  <c r="AD830" i="1"/>
  <c r="AE830" i="1"/>
  <c r="R831" i="1"/>
  <c r="S831" i="1"/>
  <c r="T831" i="1"/>
  <c r="U831" i="1"/>
  <c r="X831" i="1"/>
  <c r="Z831" i="1"/>
  <c r="AC831" i="1"/>
  <c r="AD831" i="1"/>
  <c r="AE831" i="1"/>
  <c r="R832" i="1"/>
  <c r="S832" i="1"/>
  <c r="T832" i="1"/>
  <c r="U832" i="1"/>
  <c r="V832" i="1"/>
  <c r="X832" i="1"/>
  <c r="Y832" i="1"/>
  <c r="Z832" i="1"/>
  <c r="AA832" i="1"/>
  <c r="AB832" i="1"/>
  <c r="AC832" i="1"/>
  <c r="AD832" i="1"/>
  <c r="AE832" i="1"/>
  <c r="R833" i="1"/>
  <c r="S833" i="1"/>
  <c r="T833" i="1"/>
  <c r="U833" i="1"/>
  <c r="X833" i="1"/>
  <c r="Z833" i="1"/>
  <c r="AD833" i="1"/>
  <c r="AE833" i="1"/>
  <c r="AM833" i="1"/>
  <c r="AN833" i="1"/>
  <c r="AO833" i="1"/>
  <c r="AP833" i="1"/>
  <c r="R834" i="1"/>
  <c r="S834" i="1"/>
  <c r="T834" i="1"/>
  <c r="U834" i="1"/>
  <c r="X834" i="1"/>
  <c r="Y834" i="1"/>
  <c r="Z834" i="1"/>
  <c r="AA834" i="1"/>
  <c r="AB834" i="1"/>
  <c r="AC834" i="1"/>
  <c r="AD834" i="1"/>
  <c r="AE834" i="1"/>
  <c r="R835" i="1"/>
  <c r="S835" i="1"/>
  <c r="T835" i="1"/>
  <c r="U835" i="1"/>
  <c r="X835" i="1"/>
  <c r="Y835" i="1"/>
  <c r="Z835" i="1"/>
  <c r="AD835" i="1"/>
  <c r="AE835" i="1"/>
  <c r="R836" i="1"/>
  <c r="S836" i="1"/>
  <c r="T836" i="1"/>
  <c r="U836" i="1"/>
  <c r="X836" i="1"/>
  <c r="Y836" i="1"/>
  <c r="Z836" i="1"/>
  <c r="AD836" i="1"/>
  <c r="AE836" i="1"/>
  <c r="R837" i="1"/>
  <c r="S837" i="1"/>
  <c r="T837" i="1"/>
  <c r="U837" i="1"/>
  <c r="X837" i="1"/>
  <c r="Y837" i="1"/>
  <c r="Z837" i="1"/>
  <c r="AA837" i="1"/>
  <c r="AB837" i="1"/>
  <c r="AC837" i="1"/>
  <c r="AD837" i="1"/>
  <c r="AE837" i="1"/>
  <c r="R838" i="1"/>
  <c r="S838" i="1"/>
  <c r="T838" i="1"/>
  <c r="U838" i="1"/>
  <c r="X838" i="1"/>
  <c r="Z838" i="1"/>
  <c r="AA838" i="1"/>
  <c r="AB838" i="1"/>
  <c r="AC838" i="1"/>
  <c r="AD838" i="1"/>
  <c r="AE838" i="1"/>
  <c r="R839" i="1"/>
  <c r="S839" i="1"/>
  <c r="T839" i="1"/>
  <c r="U839" i="1"/>
  <c r="X839" i="1"/>
  <c r="Y839" i="1"/>
  <c r="Z839" i="1"/>
  <c r="AC839" i="1"/>
  <c r="AD839" i="1"/>
  <c r="AE839" i="1"/>
  <c r="R840" i="1"/>
  <c r="S840" i="1"/>
  <c r="T840" i="1"/>
  <c r="U840" i="1"/>
  <c r="V840" i="1"/>
  <c r="X840" i="1"/>
  <c r="Y840" i="1"/>
  <c r="Z840" i="1"/>
  <c r="AD840" i="1"/>
  <c r="AE840" i="1"/>
  <c r="R841" i="1"/>
  <c r="S841" i="1"/>
  <c r="T841" i="1"/>
  <c r="U841" i="1"/>
  <c r="V841" i="1"/>
  <c r="X841" i="1"/>
  <c r="Y841" i="1"/>
  <c r="Z841" i="1"/>
  <c r="AA841" i="1"/>
  <c r="AB841" i="1"/>
  <c r="AC841" i="1"/>
  <c r="AD841" i="1"/>
  <c r="AE841" i="1"/>
  <c r="R842" i="1"/>
  <c r="S842" i="1"/>
  <c r="T842" i="1"/>
  <c r="U842" i="1"/>
  <c r="V842" i="1"/>
  <c r="X842" i="1"/>
  <c r="Y842" i="1"/>
  <c r="Z842" i="1"/>
  <c r="AD842" i="1"/>
  <c r="AE842" i="1"/>
  <c r="R843" i="1"/>
  <c r="S843" i="1"/>
  <c r="T843" i="1"/>
  <c r="U843" i="1"/>
  <c r="X843" i="1"/>
  <c r="Z843" i="1"/>
  <c r="AA843" i="1"/>
  <c r="AB843" i="1"/>
  <c r="AD843" i="1"/>
  <c r="AE843" i="1"/>
  <c r="R844" i="1"/>
  <c r="S844" i="1"/>
  <c r="T844" i="1"/>
  <c r="U844" i="1"/>
  <c r="V844" i="1"/>
  <c r="X844" i="1"/>
  <c r="Z844" i="1"/>
  <c r="AC844" i="1"/>
  <c r="AD844" i="1"/>
  <c r="AE844" i="1"/>
  <c r="R845" i="1"/>
  <c r="S845" i="1"/>
  <c r="T845" i="1"/>
  <c r="U845" i="1"/>
  <c r="V845" i="1"/>
  <c r="X845" i="1"/>
  <c r="Z845" i="1"/>
  <c r="AD845" i="1"/>
  <c r="AE845" i="1"/>
  <c r="R846" i="1"/>
  <c r="S846" i="1"/>
  <c r="T846" i="1"/>
  <c r="U846" i="1"/>
  <c r="X846" i="1"/>
  <c r="Z846" i="1"/>
  <c r="AA846" i="1"/>
  <c r="AB846" i="1"/>
  <c r="AD846" i="1"/>
  <c r="AE846" i="1"/>
  <c r="R847" i="1"/>
  <c r="S847" i="1"/>
  <c r="T847" i="1"/>
  <c r="U847" i="1"/>
  <c r="V847" i="1"/>
  <c r="X847" i="1"/>
  <c r="Y847" i="1"/>
  <c r="Z847" i="1"/>
  <c r="AD847" i="1"/>
  <c r="AE847" i="1"/>
  <c r="R848" i="1"/>
  <c r="S848" i="1"/>
  <c r="T848" i="1"/>
  <c r="U848" i="1"/>
  <c r="X848" i="1"/>
  <c r="Z848" i="1"/>
  <c r="AA848" i="1"/>
  <c r="AB848" i="1"/>
  <c r="AD848" i="1"/>
  <c r="AE848" i="1"/>
  <c r="R849" i="1"/>
  <c r="S849" i="1"/>
  <c r="T849" i="1"/>
  <c r="U849" i="1"/>
  <c r="V849" i="1"/>
  <c r="X849" i="1"/>
  <c r="Y849" i="1"/>
  <c r="Z849" i="1"/>
  <c r="AA849" i="1"/>
  <c r="AB849" i="1"/>
  <c r="AC849" i="1"/>
  <c r="AD849" i="1"/>
  <c r="AE849" i="1"/>
  <c r="R850" i="1"/>
  <c r="S850" i="1"/>
  <c r="T850" i="1"/>
  <c r="U850" i="1"/>
  <c r="V850" i="1"/>
  <c r="X850" i="1"/>
  <c r="Y850" i="1"/>
  <c r="Z850" i="1"/>
  <c r="AD850" i="1"/>
  <c r="AE850" i="1"/>
  <c r="R851" i="1"/>
  <c r="S851" i="1"/>
  <c r="T851" i="1"/>
  <c r="U851" i="1"/>
  <c r="V851" i="1"/>
  <c r="X851" i="1"/>
  <c r="Y851" i="1"/>
  <c r="Z851" i="1"/>
  <c r="AC851" i="1"/>
  <c r="AD851" i="1"/>
  <c r="AE851" i="1"/>
  <c r="R852" i="1"/>
  <c r="S852" i="1"/>
  <c r="T852" i="1"/>
  <c r="U852" i="1"/>
  <c r="V852" i="1"/>
  <c r="X852" i="1"/>
  <c r="Y852" i="1"/>
  <c r="Z852" i="1"/>
  <c r="AC852" i="1"/>
  <c r="AD852" i="1"/>
  <c r="AE852" i="1"/>
  <c r="R853" i="1"/>
  <c r="S853" i="1"/>
  <c r="T853" i="1"/>
  <c r="U853" i="1"/>
  <c r="V853" i="1"/>
  <c r="X853" i="1"/>
  <c r="Z853" i="1"/>
  <c r="AC853" i="1"/>
  <c r="AD853" i="1"/>
  <c r="AE853" i="1"/>
  <c r="R854" i="1"/>
  <c r="S854" i="1"/>
  <c r="T854" i="1"/>
  <c r="U854" i="1"/>
  <c r="V854" i="1"/>
  <c r="X854" i="1"/>
  <c r="Z854" i="1"/>
  <c r="AD854" i="1"/>
  <c r="AE854" i="1"/>
  <c r="R855" i="1"/>
  <c r="S855" i="1"/>
  <c r="T855" i="1"/>
  <c r="U855" i="1"/>
  <c r="X855" i="1"/>
  <c r="Z855" i="1"/>
  <c r="AA855" i="1"/>
  <c r="AB855" i="1"/>
  <c r="AC855" i="1"/>
  <c r="AD855" i="1"/>
  <c r="AE855" i="1"/>
  <c r="R856" i="1"/>
  <c r="S856" i="1"/>
  <c r="T856" i="1"/>
  <c r="U856" i="1"/>
  <c r="X856" i="1"/>
  <c r="Y856" i="1"/>
  <c r="Z856" i="1"/>
  <c r="AA856" i="1"/>
  <c r="AB856" i="1"/>
  <c r="AC856" i="1"/>
  <c r="AD856" i="1"/>
  <c r="AE856" i="1"/>
  <c r="AH856" i="1"/>
  <c r="AM856" i="1"/>
  <c r="AN856" i="1"/>
  <c r="AO856" i="1"/>
  <c r="AP856" i="1"/>
  <c r="R857" i="1"/>
  <c r="S857" i="1"/>
  <c r="T857" i="1"/>
  <c r="U857" i="1"/>
  <c r="V857" i="1"/>
  <c r="X857" i="1"/>
  <c r="Z857" i="1"/>
  <c r="AD857" i="1"/>
  <c r="AE857" i="1"/>
  <c r="AM857" i="1"/>
  <c r="AN857" i="1"/>
  <c r="AO857" i="1"/>
  <c r="AP857" i="1"/>
  <c r="R858" i="1"/>
  <c r="S858" i="1"/>
  <c r="T858" i="1"/>
  <c r="U858" i="1"/>
  <c r="V858" i="1"/>
  <c r="X858" i="1"/>
  <c r="Z858" i="1"/>
  <c r="AB858" i="1"/>
  <c r="AC858" i="1"/>
  <c r="AD858" i="1"/>
  <c r="AE858" i="1"/>
  <c r="CC858" i="1"/>
  <c r="R859" i="1"/>
  <c r="S859" i="1"/>
  <c r="T859" i="1"/>
  <c r="U859" i="1"/>
  <c r="V859" i="1"/>
  <c r="X859" i="1"/>
  <c r="Z859" i="1"/>
  <c r="AC859" i="1"/>
  <c r="AD859" i="1"/>
  <c r="AE859" i="1"/>
  <c r="R860" i="1"/>
  <c r="S860" i="1"/>
  <c r="T860" i="1"/>
  <c r="U860" i="1"/>
  <c r="V860" i="1"/>
  <c r="X860" i="1"/>
  <c r="Y860" i="1"/>
  <c r="Z860" i="1"/>
  <c r="AC860" i="1"/>
  <c r="AD860" i="1"/>
  <c r="AE860" i="1"/>
  <c r="R861" i="1"/>
  <c r="S861" i="1"/>
  <c r="T861" i="1"/>
  <c r="U861" i="1"/>
  <c r="X861" i="1"/>
  <c r="Y861" i="1"/>
  <c r="Z861" i="1"/>
  <c r="AA861" i="1"/>
  <c r="AB861" i="1"/>
  <c r="AC861" i="1"/>
  <c r="AD861" i="1"/>
  <c r="AE861" i="1"/>
  <c r="R862" i="1"/>
  <c r="S862" i="1"/>
  <c r="T862" i="1"/>
  <c r="U862" i="1"/>
  <c r="V862" i="1"/>
  <c r="X862" i="1"/>
  <c r="Z862" i="1"/>
  <c r="AD862" i="1"/>
  <c r="AE862" i="1"/>
  <c r="R863" i="1"/>
  <c r="S863" i="1"/>
  <c r="T863" i="1"/>
  <c r="U863" i="1"/>
  <c r="V863" i="1"/>
  <c r="X863" i="1"/>
  <c r="Y863" i="1"/>
  <c r="Z863" i="1"/>
  <c r="AA863" i="1"/>
  <c r="AB863" i="1"/>
  <c r="AC863" i="1"/>
  <c r="AD863" i="1"/>
  <c r="AE863" i="1"/>
  <c r="R864" i="1"/>
  <c r="S864" i="1"/>
  <c r="T864" i="1"/>
  <c r="U864" i="1"/>
  <c r="X864" i="1"/>
  <c r="Y864" i="1"/>
  <c r="Z864" i="1"/>
  <c r="AA864" i="1"/>
  <c r="AB864" i="1"/>
  <c r="AC864" i="1"/>
  <c r="AD864" i="1"/>
  <c r="AE864" i="1"/>
  <c r="AM864" i="1"/>
  <c r="AN864" i="1"/>
  <c r="AO864" i="1"/>
  <c r="R865" i="1"/>
  <c r="S865" i="1"/>
  <c r="T865" i="1"/>
  <c r="U865" i="1"/>
  <c r="V865" i="1"/>
  <c r="X865" i="1"/>
  <c r="Y865" i="1"/>
  <c r="Z865" i="1"/>
  <c r="AC865" i="1"/>
  <c r="AD865" i="1"/>
  <c r="AE865" i="1"/>
  <c r="AM865" i="1"/>
  <c r="AN865" i="1"/>
  <c r="AO865" i="1"/>
  <c r="AP865" i="1"/>
  <c r="R866" i="1"/>
  <c r="S866" i="1"/>
  <c r="T866" i="1"/>
  <c r="U866" i="1"/>
  <c r="V866" i="1"/>
  <c r="X866" i="1"/>
  <c r="Y866" i="1"/>
  <c r="Z866" i="1"/>
  <c r="AC866" i="1"/>
  <c r="AD866" i="1"/>
  <c r="AE866" i="1"/>
  <c r="AM866" i="1"/>
  <c r="AN866" i="1"/>
  <c r="AO866" i="1"/>
  <c r="AP866" i="1"/>
  <c r="R867" i="1"/>
  <c r="S867" i="1"/>
  <c r="T867" i="1"/>
  <c r="U867" i="1"/>
  <c r="V867" i="1"/>
  <c r="X867" i="1"/>
  <c r="Y867" i="1"/>
  <c r="Z867" i="1"/>
  <c r="AC867" i="1"/>
  <c r="AD867" i="1"/>
  <c r="AE867" i="1"/>
  <c r="R868" i="1"/>
  <c r="S868" i="1"/>
  <c r="T868" i="1"/>
  <c r="U868" i="1"/>
  <c r="V868" i="1"/>
  <c r="X868" i="1"/>
  <c r="Z868" i="1"/>
  <c r="AC868" i="1"/>
  <c r="AD868" i="1"/>
  <c r="AE868" i="1"/>
  <c r="R869" i="1"/>
  <c r="S869" i="1"/>
  <c r="T869" i="1"/>
  <c r="U869" i="1"/>
  <c r="X869" i="1"/>
  <c r="Y869" i="1"/>
  <c r="Z869" i="1"/>
  <c r="AA869" i="1"/>
  <c r="AB869" i="1"/>
  <c r="AC869" i="1"/>
  <c r="AD869" i="1"/>
  <c r="AE869" i="1"/>
  <c r="AH869" i="1"/>
  <c r="AM869" i="1"/>
  <c r="AN869" i="1"/>
  <c r="AO869" i="1"/>
  <c r="AP869" i="1"/>
  <c r="R870" i="1"/>
  <c r="S870" i="1"/>
  <c r="T870" i="1"/>
  <c r="U870" i="1"/>
  <c r="V870" i="1"/>
  <c r="X870" i="1"/>
  <c r="Z870" i="1"/>
  <c r="AA870" i="1"/>
  <c r="AD870" i="1"/>
  <c r="AE870" i="1"/>
  <c r="AM870" i="1"/>
  <c r="AN870" i="1"/>
  <c r="AO870" i="1"/>
  <c r="AP870" i="1"/>
  <c r="R871" i="1"/>
  <c r="S871" i="1"/>
  <c r="T871" i="1"/>
  <c r="U871" i="1"/>
  <c r="V871" i="1"/>
  <c r="X871" i="1"/>
  <c r="Z871" i="1"/>
  <c r="AD871" i="1"/>
  <c r="AE871" i="1"/>
  <c r="R872" i="1"/>
  <c r="S872" i="1"/>
  <c r="T872" i="1"/>
  <c r="U872" i="1"/>
  <c r="V872" i="1"/>
  <c r="X872" i="1"/>
  <c r="Z872" i="1"/>
  <c r="AC872" i="1"/>
  <c r="AD872" i="1"/>
  <c r="AE872" i="1"/>
  <c r="R873" i="1"/>
  <c r="S873" i="1"/>
  <c r="T873" i="1"/>
  <c r="U873" i="1"/>
  <c r="V873" i="1"/>
  <c r="X873" i="1"/>
  <c r="Y873" i="1"/>
  <c r="Z873" i="1"/>
  <c r="AD873" i="1"/>
  <c r="AE873" i="1"/>
  <c r="R874" i="1"/>
  <c r="S874" i="1"/>
  <c r="T874" i="1"/>
  <c r="U874" i="1"/>
  <c r="X874" i="1"/>
  <c r="Y874" i="1"/>
  <c r="Z874" i="1"/>
  <c r="AA874" i="1"/>
  <c r="AB874" i="1"/>
  <c r="AC874" i="1"/>
  <c r="AD874" i="1"/>
  <c r="AE874" i="1"/>
  <c r="AH874" i="1"/>
  <c r="AM874" i="1"/>
  <c r="AN874" i="1"/>
  <c r="AO874" i="1"/>
  <c r="AP874" i="1"/>
  <c r="R875" i="1"/>
  <c r="S875" i="1"/>
  <c r="T875" i="1"/>
  <c r="U875" i="1"/>
  <c r="V875" i="1"/>
  <c r="X875" i="1"/>
  <c r="Z875" i="1"/>
  <c r="AC875" i="1"/>
  <c r="AD875" i="1"/>
  <c r="AE875" i="1"/>
  <c r="AH875" i="1"/>
  <c r="AM875" i="1"/>
  <c r="AN875" i="1"/>
  <c r="AO875" i="1"/>
  <c r="AP875" i="1"/>
  <c r="R876" i="1"/>
  <c r="S876" i="1"/>
  <c r="T876" i="1"/>
  <c r="U876" i="1"/>
  <c r="V876" i="1"/>
  <c r="X876" i="1"/>
  <c r="Y876" i="1"/>
  <c r="Z876" i="1"/>
  <c r="AC876" i="1"/>
  <c r="AD876" i="1"/>
  <c r="AE876" i="1"/>
  <c r="R877" i="1"/>
  <c r="S877" i="1"/>
  <c r="T877" i="1"/>
  <c r="U877" i="1"/>
  <c r="V877" i="1"/>
  <c r="X877" i="1"/>
  <c r="Z877" i="1"/>
  <c r="AC877" i="1"/>
  <c r="AD877" i="1"/>
  <c r="AE877" i="1"/>
  <c r="R878" i="1"/>
  <c r="S878" i="1"/>
  <c r="T878" i="1"/>
  <c r="U878" i="1"/>
  <c r="X878" i="1"/>
  <c r="Y878" i="1"/>
  <c r="Z878" i="1"/>
  <c r="AA878" i="1"/>
  <c r="AB878" i="1"/>
  <c r="AD878" i="1"/>
  <c r="AE878" i="1"/>
  <c r="AH878" i="1"/>
  <c r="AM878" i="1"/>
  <c r="AN878" i="1"/>
  <c r="AO878" i="1"/>
  <c r="AP878" i="1"/>
  <c r="R879" i="1"/>
  <c r="S879" i="1"/>
  <c r="T879" i="1"/>
  <c r="U879" i="1"/>
  <c r="V879" i="1"/>
  <c r="X879" i="1"/>
  <c r="Y879" i="1"/>
  <c r="Z879" i="1"/>
  <c r="AC879" i="1"/>
  <c r="AD879" i="1"/>
  <c r="AE879" i="1"/>
  <c r="R880" i="1"/>
  <c r="S880" i="1"/>
  <c r="T880" i="1"/>
  <c r="U880" i="1"/>
  <c r="V880" i="1"/>
  <c r="X880" i="1"/>
  <c r="Y880" i="1"/>
  <c r="Z880" i="1"/>
  <c r="AA880" i="1"/>
  <c r="AB880" i="1"/>
  <c r="AD880" i="1"/>
  <c r="AE880" i="1"/>
  <c r="R881" i="1"/>
  <c r="S881" i="1"/>
  <c r="T881" i="1"/>
  <c r="U881" i="1"/>
  <c r="V881" i="1"/>
  <c r="X881" i="1"/>
  <c r="Z881" i="1"/>
  <c r="AD881" i="1"/>
  <c r="AE881" i="1"/>
  <c r="R882" i="1"/>
  <c r="S882" i="1"/>
  <c r="T882" i="1"/>
  <c r="U882" i="1"/>
  <c r="V882" i="1"/>
  <c r="X882" i="1"/>
  <c r="Z882" i="1"/>
  <c r="AA882" i="1"/>
  <c r="AB882" i="1"/>
  <c r="AD882" i="1"/>
  <c r="AE882" i="1"/>
  <c r="AM882" i="1"/>
  <c r="AN882" i="1"/>
  <c r="AO882" i="1"/>
  <c r="AP882" i="1"/>
  <c r="R883" i="1"/>
  <c r="S883" i="1"/>
  <c r="T883" i="1"/>
  <c r="U883" i="1"/>
  <c r="V883" i="1"/>
  <c r="X883" i="1"/>
  <c r="Y883" i="1"/>
  <c r="Z883" i="1"/>
  <c r="AC883" i="1"/>
  <c r="AD883" i="1"/>
  <c r="AE883" i="1"/>
  <c r="R884" i="1"/>
  <c r="S884" i="1"/>
  <c r="T884" i="1"/>
  <c r="U884" i="1"/>
  <c r="V884" i="1"/>
  <c r="X884" i="1"/>
  <c r="Z884" i="1"/>
  <c r="AD884" i="1"/>
  <c r="AE884" i="1"/>
  <c r="AM884" i="1"/>
  <c r="AN884" i="1"/>
  <c r="AO884" i="1"/>
  <c r="AP884" i="1"/>
  <c r="R885" i="1"/>
  <c r="S885" i="1"/>
  <c r="T885" i="1"/>
  <c r="U885" i="1"/>
  <c r="V885" i="1"/>
  <c r="X885" i="1"/>
  <c r="Z885" i="1"/>
  <c r="AC885" i="1"/>
  <c r="AD885" i="1"/>
  <c r="AE885" i="1"/>
  <c r="AM885" i="1"/>
  <c r="AN885" i="1"/>
  <c r="AP885" i="1"/>
  <c r="R886" i="1"/>
  <c r="S886" i="1"/>
  <c r="T886" i="1"/>
  <c r="U886" i="1"/>
  <c r="X886" i="1"/>
  <c r="Z886" i="1"/>
  <c r="AA886" i="1"/>
  <c r="AB886" i="1"/>
  <c r="AD886" i="1"/>
  <c r="AE886" i="1"/>
  <c r="R887" i="1"/>
  <c r="S887" i="1"/>
  <c r="T887" i="1"/>
  <c r="U887" i="1"/>
  <c r="X887" i="1"/>
  <c r="Y887" i="1"/>
  <c r="Z887" i="1"/>
  <c r="AA887" i="1"/>
  <c r="AB887" i="1"/>
  <c r="AD887" i="1"/>
  <c r="AE887" i="1"/>
  <c r="R888" i="1"/>
  <c r="S888" i="1"/>
  <c r="T888" i="1"/>
  <c r="U888" i="1"/>
  <c r="X888" i="1"/>
  <c r="Z888" i="1"/>
  <c r="AD888" i="1"/>
  <c r="AE888" i="1"/>
  <c r="R889" i="1"/>
  <c r="S889" i="1"/>
  <c r="T889" i="1"/>
  <c r="U889" i="1"/>
  <c r="V889" i="1"/>
  <c r="X889" i="1"/>
  <c r="Z889" i="1"/>
  <c r="AD889" i="1"/>
  <c r="AE889" i="1"/>
  <c r="R890" i="1"/>
  <c r="S890" i="1"/>
  <c r="T890" i="1"/>
  <c r="U890" i="1"/>
  <c r="V890" i="1"/>
  <c r="X890" i="1"/>
  <c r="Z890" i="1"/>
  <c r="AC890" i="1"/>
  <c r="AD890" i="1"/>
  <c r="AE890" i="1"/>
  <c r="R891" i="1"/>
  <c r="S891" i="1"/>
  <c r="T891" i="1"/>
  <c r="U891" i="1"/>
  <c r="X891" i="1"/>
  <c r="Z891" i="1"/>
  <c r="AD891" i="1"/>
  <c r="AE891" i="1"/>
  <c r="R892" i="1"/>
  <c r="S892" i="1"/>
  <c r="T892" i="1"/>
  <c r="U892" i="1"/>
  <c r="X892" i="1"/>
  <c r="Y892" i="1"/>
  <c r="Z892" i="1"/>
  <c r="AD892" i="1"/>
  <c r="AE892" i="1"/>
  <c r="R893" i="1"/>
  <c r="S893" i="1"/>
  <c r="T893" i="1"/>
  <c r="U893" i="1"/>
  <c r="X893" i="1"/>
  <c r="Y893" i="1"/>
  <c r="Z893" i="1"/>
  <c r="AD893" i="1"/>
  <c r="AE893" i="1"/>
  <c r="AM893" i="1"/>
  <c r="AN893" i="1"/>
  <c r="AO893" i="1"/>
  <c r="AP893" i="1"/>
  <c r="R894" i="1"/>
  <c r="S894" i="1"/>
  <c r="T894" i="1"/>
  <c r="U894" i="1"/>
  <c r="X894" i="1"/>
  <c r="Y894" i="1"/>
  <c r="Z894" i="1"/>
  <c r="AD894" i="1"/>
  <c r="AE894" i="1"/>
  <c r="R895" i="1"/>
  <c r="S895" i="1"/>
  <c r="T895" i="1"/>
  <c r="U895" i="1"/>
  <c r="V895" i="1"/>
  <c r="X895" i="1"/>
  <c r="Z895" i="1"/>
  <c r="AC895" i="1"/>
  <c r="AD895" i="1"/>
  <c r="AE895" i="1"/>
  <c r="R896" i="1"/>
  <c r="S896" i="1"/>
  <c r="T896" i="1"/>
  <c r="U896" i="1"/>
  <c r="X896" i="1"/>
  <c r="Y896" i="1"/>
  <c r="Z896" i="1"/>
  <c r="AC896" i="1"/>
  <c r="AD896" i="1"/>
  <c r="AE896" i="1"/>
  <c r="AM896" i="1"/>
  <c r="AN896" i="1"/>
  <c r="AO896" i="1"/>
  <c r="AP896" i="1"/>
  <c r="R897" i="1"/>
  <c r="S897" i="1"/>
  <c r="T897" i="1"/>
  <c r="U897" i="1"/>
  <c r="V897" i="1"/>
  <c r="X897" i="1"/>
  <c r="Y897" i="1"/>
  <c r="Z897" i="1"/>
  <c r="AD897" i="1"/>
  <c r="AE897" i="1"/>
  <c r="R898" i="1"/>
  <c r="S898" i="1"/>
  <c r="T898" i="1"/>
  <c r="U898" i="1"/>
  <c r="V898" i="1"/>
  <c r="X898" i="1"/>
  <c r="Y898" i="1"/>
  <c r="Z898" i="1"/>
  <c r="AA898" i="1"/>
  <c r="AB898" i="1"/>
  <c r="AC898" i="1"/>
  <c r="AD898" i="1"/>
  <c r="AE898" i="1"/>
  <c r="AM898" i="1"/>
  <c r="AN898" i="1"/>
  <c r="AO898" i="1"/>
  <c r="AP898" i="1"/>
  <c r="FE898" i="1"/>
  <c r="FH898" i="1"/>
  <c r="R899" i="1"/>
  <c r="S899" i="1"/>
  <c r="T899" i="1"/>
  <c r="U899" i="1"/>
  <c r="X899" i="1"/>
  <c r="Z899" i="1"/>
  <c r="AC899" i="1"/>
  <c r="AD899" i="1"/>
  <c r="AE899" i="1"/>
  <c r="AM899" i="1"/>
  <c r="AN899" i="1"/>
  <c r="AO899" i="1"/>
  <c r="AP899" i="1"/>
  <c r="R900" i="1"/>
  <c r="S900" i="1"/>
  <c r="T900" i="1"/>
  <c r="U900" i="1"/>
  <c r="X900" i="1"/>
  <c r="Z900" i="1"/>
  <c r="AA900" i="1"/>
  <c r="AB900" i="1"/>
  <c r="AC900" i="1"/>
  <c r="AD900" i="1"/>
  <c r="AE900" i="1"/>
  <c r="AH900" i="1"/>
  <c r="AM900" i="1"/>
  <c r="AN900" i="1"/>
  <c r="AO900" i="1"/>
  <c r="AP900" i="1"/>
  <c r="R901" i="1"/>
  <c r="S901" i="1"/>
  <c r="T901" i="1"/>
  <c r="U901" i="1"/>
  <c r="V901" i="1"/>
  <c r="X901" i="1"/>
  <c r="Y901" i="1"/>
  <c r="Z901" i="1"/>
  <c r="AC901" i="1"/>
  <c r="AD901" i="1"/>
  <c r="AE901" i="1"/>
  <c r="AL901" i="1"/>
  <c r="AM901" i="1"/>
  <c r="AN901" i="1"/>
  <c r="AO901" i="1"/>
  <c r="AP901" i="1"/>
  <c r="R902" i="1"/>
  <c r="S902" i="1"/>
  <c r="T902" i="1"/>
  <c r="U902" i="1"/>
  <c r="X902" i="1"/>
  <c r="Y902" i="1"/>
  <c r="Z902" i="1"/>
  <c r="AA902" i="1"/>
  <c r="AB902" i="1"/>
  <c r="AD902" i="1"/>
  <c r="AE902" i="1"/>
  <c r="AO902" i="1"/>
  <c r="AP902" i="1"/>
  <c r="R903" i="1"/>
  <c r="S903" i="1"/>
  <c r="T903" i="1"/>
  <c r="U903" i="1"/>
  <c r="X903" i="1"/>
  <c r="Z903" i="1"/>
  <c r="AC903" i="1"/>
  <c r="AD903" i="1"/>
  <c r="AE903" i="1"/>
  <c r="R904" i="1"/>
  <c r="S904" i="1"/>
  <c r="T904" i="1"/>
  <c r="U904" i="1"/>
  <c r="V904" i="1"/>
  <c r="X904" i="1"/>
  <c r="Z904" i="1"/>
  <c r="AD904" i="1"/>
  <c r="AE904" i="1"/>
  <c r="R905" i="1"/>
  <c r="S905" i="1"/>
  <c r="T905" i="1"/>
  <c r="U905" i="1"/>
  <c r="V905" i="1"/>
  <c r="X905" i="1"/>
  <c r="Y905" i="1"/>
  <c r="Z905" i="1"/>
  <c r="AA905" i="1"/>
  <c r="AB905" i="1"/>
  <c r="AC905" i="1"/>
  <c r="AD905" i="1"/>
  <c r="AE905" i="1"/>
  <c r="FE905" i="1"/>
  <c r="FH905" i="1"/>
  <c r="R906" i="1"/>
  <c r="S906" i="1"/>
  <c r="T906" i="1"/>
  <c r="U906" i="1"/>
  <c r="V906" i="1"/>
  <c r="X906" i="1"/>
  <c r="Y906" i="1"/>
  <c r="Z906" i="1"/>
  <c r="AD906" i="1"/>
  <c r="AE906" i="1"/>
  <c r="R907" i="1"/>
  <c r="S907" i="1"/>
  <c r="T907" i="1"/>
  <c r="U907" i="1"/>
  <c r="X907" i="1"/>
  <c r="Y907" i="1"/>
  <c r="Z907" i="1"/>
  <c r="AA907" i="1"/>
  <c r="AB907" i="1"/>
  <c r="AC907" i="1"/>
  <c r="AD907" i="1"/>
  <c r="AE907" i="1"/>
  <c r="R908" i="1"/>
  <c r="S908" i="1"/>
  <c r="T908" i="1"/>
  <c r="U908" i="1"/>
  <c r="X908" i="1"/>
  <c r="Z908" i="1"/>
  <c r="AA908" i="1"/>
  <c r="AB908" i="1"/>
  <c r="AC908" i="1"/>
  <c r="AD908" i="1"/>
  <c r="AE908" i="1"/>
  <c r="R909" i="1"/>
  <c r="S909" i="1"/>
  <c r="T909" i="1"/>
  <c r="U909" i="1"/>
  <c r="X909" i="1"/>
  <c r="Y909" i="1"/>
  <c r="Z909" i="1"/>
  <c r="AA909" i="1"/>
  <c r="AB909" i="1"/>
  <c r="AD909" i="1"/>
  <c r="AE909" i="1"/>
  <c r="R910" i="1"/>
  <c r="S910" i="1"/>
  <c r="T910" i="1"/>
  <c r="U910" i="1"/>
  <c r="X910" i="1"/>
  <c r="Y910" i="1"/>
  <c r="Z910" i="1"/>
  <c r="AA910" i="1"/>
  <c r="AC910" i="1"/>
  <c r="AD910" i="1"/>
  <c r="AE910" i="1"/>
  <c r="AH910" i="1"/>
  <c r="AM910" i="1"/>
  <c r="AN910" i="1"/>
  <c r="AO910" i="1"/>
  <c r="AP910" i="1"/>
  <c r="R911" i="1"/>
  <c r="S911" i="1"/>
  <c r="T911" i="1"/>
  <c r="U911" i="1"/>
  <c r="X911" i="1"/>
  <c r="Y911" i="1"/>
  <c r="Z911" i="1"/>
  <c r="AD911" i="1"/>
  <c r="AE911" i="1"/>
  <c r="R912" i="1"/>
  <c r="S912" i="1"/>
  <c r="T912" i="1"/>
  <c r="U912" i="1"/>
  <c r="X912" i="1"/>
  <c r="Z912" i="1"/>
  <c r="AA912" i="1"/>
  <c r="AB912" i="1"/>
  <c r="AD912" i="1"/>
  <c r="AE912" i="1"/>
  <c r="AM912" i="1"/>
  <c r="AN912" i="1"/>
  <c r="AO912" i="1"/>
  <c r="AP912" i="1"/>
  <c r="R913" i="1"/>
  <c r="S913" i="1"/>
  <c r="T913" i="1"/>
  <c r="U913" i="1"/>
  <c r="X913" i="1"/>
  <c r="Z913" i="1"/>
  <c r="AA913" i="1"/>
  <c r="AB913" i="1"/>
  <c r="AD913" i="1"/>
  <c r="AE913" i="1"/>
  <c r="R914" i="1"/>
  <c r="S914" i="1"/>
  <c r="T914" i="1"/>
  <c r="U914" i="1"/>
  <c r="X914" i="1"/>
  <c r="Z914" i="1"/>
  <c r="AA914" i="1"/>
  <c r="AB914" i="1"/>
  <c r="AC914" i="1"/>
  <c r="AD914" i="1"/>
  <c r="AE914" i="1"/>
  <c r="AM914" i="1"/>
  <c r="AN914" i="1"/>
  <c r="AO914" i="1"/>
  <c r="AP914" i="1"/>
  <c r="R915" i="1"/>
  <c r="S915" i="1"/>
  <c r="T915" i="1"/>
  <c r="U915" i="1"/>
  <c r="X915" i="1"/>
  <c r="Z915" i="1"/>
  <c r="AA915" i="1"/>
  <c r="AB915" i="1"/>
  <c r="AD915" i="1"/>
  <c r="AE915" i="1"/>
  <c r="R916" i="1"/>
  <c r="S916" i="1"/>
  <c r="T916" i="1"/>
  <c r="U916" i="1"/>
  <c r="X916" i="1"/>
  <c r="Y916" i="1"/>
  <c r="Z916" i="1"/>
  <c r="AC916" i="1"/>
  <c r="AD916" i="1"/>
  <c r="AE916" i="1"/>
  <c r="R917" i="1"/>
  <c r="S917" i="1"/>
  <c r="T917" i="1"/>
  <c r="U917" i="1"/>
  <c r="X917" i="1"/>
  <c r="Y917" i="1"/>
  <c r="Z917" i="1"/>
  <c r="AC917" i="1"/>
  <c r="AD917" i="1"/>
  <c r="AE917" i="1"/>
  <c r="R918" i="1"/>
  <c r="S918" i="1"/>
  <c r="T918" i="1"/>
  <c r="U918" i="1"/>
  <c r="X918" i="1"/>
  <c r="Y918" i="1"/>
  <c r="Z918" i="1"/>
  <c r="AC918" i="1"/>
  <c r="AD918" i="1"/>
  <c r="AE918" i="1"/>
  <c r="R919" i="1"/>
  <c r="S919" i="1"/>
  <c r="T919" i="1"/>
  <c r="U919" i="1"/>
  <c r="X919" i="1"/>
  <c r="Y919" i="1"/>
  <c r="Z919" i="1"/>
  <c r="AA919" i="1"/>
  <c r="AB919" i="1"/>
  <c r="AD919" i="1"/>
  <c r="AE919" i="1"/>
  <c r="AO919" i="1"/>
  <c r="R920" i="1"/>
  <c r="S920" i="1"/>
  <c r="T920" i="1"/>
  <c r="U920" i="1"/>
  <c r="X920" i="1"/>
  <c r="Y920" i="1"/>
  <c r="Z920" i="1"/>
  <c r="AA920" i="1"/>
  <c r="AD920" i="1"/>
  <c r="AE920" i="1"/>
  <c r="AM920" i="1"/>
  <c r="AN920" i="1"/>
  <c r="AO920" i="1"/>
  <c r="AP920" i="1"/>
  <c r="R921" i="1"/>
  <c r="S921" i="1"/>
  <c r="T921" i="1"/>
  <c r="U921" i="1"/>
  <c r="X921" i="1"/>
  <c r="Y921" i="1"/>
  <c r="Z921" i="1"/>
  <c r="AA921" i="1"/>
  <c r="AB921" i="1"/>
  <c r="AD921" i="1"/>
  <c r="R922" i="1"/>
  <c r="S922" i="1"/>
  <c r="T922" i="1"/>
  <c r="U922" i="1"/>
  <c r="X922" i="1"/>
  <c r="Y922" i="1"/>
  <c r="Z922" i="1"/>
  <c r="AA922" i="1"/>
  <c r="AD922" i="1"/>
  <c r="AE922" i="1"/>
  <c r="R923" i="1"/>
  <c r="S923" i="1"/>
  <c r="T923" i="1"/>
  <c r="U923" i="1"/>
  <c r="X923" i="1"/>
  <c r="Z923" i="1"/>
  <c r="AA923" i="1"/>
  <c r="AB923" i="1"/>
  <c r="AD923" i="1"/>
  <c r="AE923" i="1"/>
  <c r="R924" i="1"/>
  <c r="S924" i="1"/>
  <c r="T924" i="1"/>
  <c r="U924" i="1"/>
  <c r="X924" i="1"/>
  <c r="Y924" i="1"/>
  <c r="Z924" i="1"/>
  <c r="AA924" i="1"/>
  <c r="AB924" i="1"/>
  <c r="AD924" i="1"/>
  <c r="AE924" i="1"/>
  <c r="AO924" i="1"/>
  <c r="AP924" i="1"/>
  <c r="R925" i="1"/>
  <c r="S925" i="1"/>
  <c r="T925" i="1"/>
  <c r="U925" i="1"/>
  <c r="X925" i="1"/>
  <c r="Y925" i="1"/>
  <c r="Z925" i="1"/>
  <c r="AA925" i="1"/>
  <c r="AC925" i="1"/>
  <c r="AD925" i="1"/>
  <c r="AE925" i="1"/>
  <c r="R926" i="1"/>
  <c r="S926" i="1"/>
  <c r="T926" i="1"/>
  <c r="U926" i="1"/>
  <c r="X926" i="1"/>
  <c r="Z926" i="1"/>
  <c r="AA926" i="1"/>
  <c r="AB926" i="1"/>
  <c r="AD926" i="1"/>
  <c r="AM926" i="1"/>
  <c r="AN926" i="1"/>
  <c r="AO926" i="1"/>
  <c r="AP926" i="1"/>
  <c r="R927" i="1"/>
  <c r="S927" i="1"/>
  <c r="T927" i="1"/>
  <c r="U927" i="1"/>
  <c r="X927" i="1"/>
  <c r="Y927" i="1"/>
  <c r="Z927" i="1"/>
  <c r="AD927" i="1"/>
  <c r="AE927" i="1"/>
  <c r="R928" i="1"/>
  <c r="S928" i="1"/>
  <c r="T928" i="1"/>
  <c r="U928" i="1"/>
  <c r="X928" i="1"/>
  <c r="Z928" i="1"/>
  <c r="AA928" i="1"/>
  <c r="AB928" i="1"/>
  <c r="AD928" i="1"/>
  <c r="AE928" i="1"/>
  <c r="R929" i="1"/>
  <c r="S929" i="1"/>
  <c r="T929" i="1"/>
  <c r="U929" i="1"/>
  <c r="X929" i="1"/>
  <c r="Z929" i="1"/>
  <c r="AA929" i="1"/>
  <c r="AB929" i="1"/>
  <c r="AD929" i="1"/>
  <c r="AE929" i="1"/>
  <c r="R930" i="1"/>
  <c r="S930" i="1"/>
  <c r="T930" i="1"/>
  <c r="U930" i="1"/>
  <c r="X930" i="1"/>
  <c r="Z930" i="1"/>
  <c r="AA930" i="1"/>
  <c r="AB930" i="1"/>
  <c r="AD930" i="1"/>
  <c r="AE930" i="1"/>
  <c r="R931" i="1"/>
  <c r="S931" i="1"/>
  <c r="T931" i="1"/>
  <c r="U931" i="1"/>
  <c r="X931" i="1"/>
  <c r="Z931" i="1"/>
  <c r="AA931" i="1"/>
  <c r="AB931" i="1"/>
  <c r="AD931" i="1"/>
  <c r="AE931" i="1"/>
  <c r="R932" i="1"/>
  <c r="S932" i="1"/>
  <c r="T932" i="1"/>
  <c r="U932" i="1"/>
  <c r="V932" i="1"/>
  <c r="X932" i="1"/>
  <c r="Y932" i="1"/>
  <c r="Z932" i="1"/>
  <c r="AA932" i="1"/>
  <c r="AB932" i="1"/>
  <c r="AC932" i="1"/>
  <c r="AD932" i="1"/>
  <c r="AE932" i="1"/>
  <c r="AH932" i="1"/>
  <c r="AM932" i="1"/>
  <c r="AN932" i="1"/>
  <c r="AO932" i="1"/>
  <c r="AP932" i="1"/>
  <c r="FB932" i="1"/>
  <c r="FD932" i="1"/>
  <c r="FH932" i="1"/>
  <c r="R933" i="1"/>
  <c r="S933" i="1"/>
  <c r="T933" i="1"/>
  <c r="U933" i="1"/>
  <c r="X933" i="1"/>
  <c r="Y933" i="1"/>
  <c r="Z933" i="1"/>
  <c r="AA933" i="1"/>
  <c r="AB933" i="1"/>
  <c r="AC933" i="1"/>
  <c r="AD933" i="1"/>
  <c r="AE933" i="1"/>
  <c r="AM933" i="1"/>
  <c r="AN933" i="1"/>
  <c r="AO933" i="1"/>
  <c r="R934" i="1"/>
  <c r="S934" i="1"/>
  <c r="T934" i="1"/>
  <c r="U934" i="1"/>
  <c r="X934" i="1"/>
  <c r="Y934" i="1"/>
  <c r="Z934" i="1"/>
  <c r="AD934" i="1"/>
  <c r="AE934" i="1"/>
  <c r="R935" i="1"/>
  <c r="S935" i="1"/>
  <c r="T935" i="1"/>
  <c r="U935" i="1"/>
  <c r="X935" i="1"/>
  <c r="Z935" i="1"/>
  <c r="AC935" i="1"/>
  <c r="AD935" i="1"/>
  <c r="AE935" i="1"/>
  <c r="AH935" i="1"/>
  <c r="AL935" i="1"/>
  <c r="AM935" i="1"/>
  <c r="AN935" i="1"/>
  <c r="AO935" i="1"/>
  <c r="AP935" i="1"/>
  <c r="R936" i="1"/>
  <c r="S936" i="1"/>
  <c r="T936" i="1"/>
  <c r="U936" i="1"/>
  <c r="V936" i="1"/>
  <c r="X936" i="1"/>
  <c r="Y936" i="1"/>
  <c r="Z936" i="1"/>
  <c r="AA936" i="1"/>
  <c r="AB936" i="1"/>
  <c r="AC936" i="1"/>
  <c r="AD936" i="1"/>
  <c r="AE936" i="1"/>
  <c r="FB936" i="1"/>
  <c r="FD936" i="1"/>
  <c r="FE936" i="1"/>
  <c r="FH936" i="1"/>
  <c r="R937" i="1"/>
  <c r="S937" i="1"/>
  <c r="T937" i="1"/>
  <c r="U937" i="1"/>
  <c r="X937" i="1"/>
  <c r="Y937" i="1"/>
  <c r="Z937" i="1"/>
  <c r="AB937" i="1"/>
  <c r="AC937" i="1"/>
  <c r="AD937" i="1"/>
  <c r="R938" i="1"/>
  <c r="S938" i="1"/>
  <c r="T938" i="1"/>
  <c r="U938" i="1"/>
  <c r="V938" i="1"/>
  <c r="X938" i="1"/>
  <c r="Y938" i="1"/>
  <c r="Z938" i="1"/>
  <c r="AA938" i="1"/>
  <c r="AD938" i="1"/>
  <c r="AE938" i="1"/>
  <c r="AH938" i="1"/>
  <c r="AM938" i="1"/>
  <c r="AN938" i="1"/>
  <c r="AO938" i="1"/>
  <c r="AP938" i="1"/>
  <c r="R939" i="1"/>
  <c r="S939" i="1"/>
  <c r="T939" i="1"/>
  <c r="U939" i="1"/>
  <c r="V939" i="1"/>
  <c r="X939" i="1"/>
  <c r="Y939" i="1"/>
  <c r="Z939" i="1"/>
  <c r="AD939" i="1"/>
  <c r="AE939" i="1"/>
  <c r="FB939" i="1"/>
  <c r="FD939" i="1"/>
  <c r="FE939" i="1"/>
  <c r="FH939" i="1"/>
</calcChain>
</file>

<file path=xl/sharedStrings.xml><?xml version="1.0" encoding="utf-8"?>
<sst xmlns="http://schemas.openxmlformats.org/spreadsheetml/2006/main" count="16387" uniqueCount="4974">
  <si>
    <t>Vzorec</t>
  </si>
  <si>
    <t>Skladnost</t>
  </si>
  <si>
    <t>Regija</t>
  </si>
  <si>
    <t>NUTS</t>
  </si>
  <si>
    <t>Upravljavec</t>
  </si>
  <si>
    <t>Vodovod</t>
  </si>
  <si>
    <t>OO ID</t>
  </si>
  <si>
    <t>Uporabnikov</t>
  </si>
  <si>
    <t>Izvor</t>
  </si>
  <si>
    <t>Priprava</t>
  </si>
  <si>
    <t>Ime mesta</t>
  </si>
  <si>
    <t>Naslov mesta</t>
  </si>
  <si>
    <t>Koordinate</t>
  </si>
  <si>
    <t>Opomba vzorca</t>
  </si>
  <si>
    <t>Opomba mesta</t>
  </si>
  <si>
    <t>Okus</t>
  </si>
  <si>
    <t>Temperatura vode pri merjenju el. prevodnosti</t>
  </si>
  <si>
    <t>pH vrednost</t>
  </si>
  <si>
    <t>Preostali prosti klor</t>
  </si>
  <si>
    <t>Preostali klordioksid</t>
  </si>
  <si>
    <t>Vonj</t>
  </si>
  <si>
    <t xml:space="preserve">Motnost </t>
  </si>
  <si>
    <t>Escherichia coli (E. coli)</t>
  </si>
  <si>
    <t>Enterokoki</t>
  </si>
  <si>
    <t>Koliformne bakterije</t>
  </si>
  <si>
    <t>1 metil-1H-benzotriazol</t>
  </si>
  <si>
    <t>Barva</t>
  </si>
  <si>
    <t>Celotni organski ogljik</t>
  </si>
  <si>
    <t>Klorat</t>
  </si>
  <si>
    <t>Klorit</t>
  </si>
  <si>
    <t>Amonij</t>
  </si>
  <si>
    <t>Nitrit</t>
  </si>
  <si>
    <t>Nitrat</t>
  </si>
  <si>
    <t>Vsota nitrat/50+nitrit/3</t>
  </si>
  <si>
    <t>Sulfat</t>
  </si>
  <si>
    <t>Klorid</t>
  </si>
  <si>
    <t>Fluorid</t>
  </si>
  <si>
    <t>Natrij</t>
  </si>
  <si>
    <t>Perfluorooktanojska kislina</t>
  </si>
  <si>
    <t>Perfluorooktansulfonska kislina</t>
  </si>
  <si>
    <t>1H-benzotriazol</t>
  </si>
  <si>
    <t>4-metil-1H-benzotriazol</t>
  </si>
  <si>
    <t>5-metil-1H-benzotriazol</t>
  </si>
  <si>
    <t>Perfluorobutanojska kislina</t>
  </si>
  <si>
    <t>Perfluoropentanojska kislina</t>
  </si>
  <si>
    <t>Perfluoroheksanojska kislina</t>
  </si>
  <si>
    <t>Perfluoroheptanojska kislina</t>
  </si>
  <si>
    <t>Perfluorononanojska kislina</t>
  </si>
  <si>
    <t>Perfluorodekanojska kislina</t>
  </si>
  <si>
    <t>Perfluoroundekanojska kislina</t>
  </si>
  <si>
    <t>Perfluorododekanojska kislina</t>
  </si>
  <si>
    <t>Perfluorotridekanojska kislina</t>
  </si>
  <si>
    <t>Perfluorobutan sulfonska kislina</t>
  </si>
  <si>
    <t>Perfluoropentan sulfonska kislina</t>
  </si>
  <si>
    <t>Perfluoroheksan sulfonska kislina</t>
  </si>
  <si>
    <t>Perfluoroheptan sulfonska kislina</t>
  </si>
  <si>
    <t>Perfluorononan sulfonska kislina</t>
  </si>
  <si>
    <t>Perfluorodekan sulfonska kislina</t>
  </si>
  <si>
    <t>Perfluoroundekansulfonska kislina</t>
  </si>
  <si>
    <t>Perfluorododekan sulfonska kislina</t>
  </si>
  <si>
    <t>Perfluorotridekan sulfonska kislina</t>
  </si>
  <si>
    <t>Skupno PFAS</t>
  </si>
  <si>
    <t>Bromat</t>
  </si>
  <si>
    <t>Mangan</t>
  </si>
  <si>
    <t>Bor</t>
  </si>
  <si>
    <t>Aluminij</t>
  </si>
  <si>
    <t>Antimon</t>
  </si>
  <si>
    <t>Arzen</t>
  </si>
  <si>
    <t>Baker</t>
  </si>
  <si>
    <t>Kadmij</t>
  </si>
  <si>
    <t>Krom</t>
  </si>
  <si>
    <t>Nikelj</t>
  </si>
  <si>
    <t>Selen</t>
  </si>
  <si>
    <t>Svinec</t>
  </si>
  <si>
    <t>Uran</t>
  </si>
  <si>
    <t>Bentazon</t>
  </si>
  <si>
    <t>Dikamba</t>
  </si>
  <si>
    <t>MCPA</t>
  </si>
  <si>
    <t>Amidosulfuron</t>
  </si>
  <si>
    <t>Foramsulfuron</t>
  </si>
  <si>
    <t>Nikosulfuron</t>
  </si>
  <si>
    <t>Prosulfuron</t>
  </si>
  <si>
    <t>Rimsulfuron</t>
  </si>
  <si>
    <t>Fenheksamid</t>
  </si>
  <si>
    <t>Mezotrion</t>
  </si>
  <si>
    <t>Fludioksonil</t>
  </si>
  <si>
    <t>Folpet</t>
  </si>
  <si>
    <t>Kaptan</t>
  </si>
  <si>
    <t>Krezoksim-metil</t>
  </si>
  <si>
    <t>Penkonazol</t>
  </si>
  <si>
    <t>Trifloksistrobin</t>
  </si>
  <si>
    <t>2,4 - DB</t>
  </si>
  <si>
    <t>Joksinil</t>
  </si>
  <si>
    <t>Ciprodinil</t>
  </si>
  <si>
    <t>Lambda-cihalotrin</t>
  </si>
  <si>
    <t>Metolaklor ESA</t>
  </si>
  <si>
    <t>Metolaklor OXA</t>
  </si>
  <si>
    <t>Cipermetrin</t>
  </si>
  <si>
    <t>Atrazin</t>
  </si>
  <si>
    <t>Prometrin</t>
  </si>
  <si>
    <t>Klortoluron</t>
  </si>
  <si>
    <t>Izoproturon</t>
  </si>
  <si>
    <t>Linuron</t>
  </si>
  <si>
    <t>Pendimetalin</t>
  </si>
  <si>
    <t>Dimetenamid</t>
  </si>
  <si>
    <t>Napropamid</t>
  </si>
  <si>
    <t>Azoksistrobin</t>
  </si>
  <si>
    <t>Metolaklor</t>
  </si>
  <si>
    <t>Desetil-atrazin</t>
  </si>
  <si>
    <t>Desizopropil-atrazin</t>
  </si>
  <si>
    <t>Terbutilazin</t>
  </si>
  <si>
    <t>Metazaklor</t>
  </si>
  <si>
    <t>Metalaksil</t>
  </si>
  <si>
    <t>Metamitron</t>
  </si>
  <si>
    <t>Metobromuron</t>
  </si>
  <si>
    <t>Metribuzin</t>
  </si>
  <si>
    <t>Propikonazol</t>
  </si>
  <si>
    <t>Acetamiprid</t>
  </si>
  <si>
    <t>Boskalid</t>
  </si>
  <si>
    <t>Difenokonazol</t>
  </si>
  <si>
    <t>Diflufenikan</t>
  </si>
  <si>
    <t>Fluroksipir</t>
  </si>
  <si>
    <t>Metaflumizon</t>
  </si>
  <si>
    <t>Tetrakonazol</t>
  </si>
  <si>
    <t>Pesticidi - vsota</t>
  </si>
  <si>
    <t>Piridat - M</t>
  </si>
  <si>
    <t>Prosulfokarb</t>
  </si>
  <si>
    <t>Kloridazon</t>
  </si>
  <si>
    <t>Klomazon</t>
  </si>
  <si>
    <t>Petoksamid</t>
  </si>
  <si>
    <t>Fluopikolid</t>
  </si>
  <si>
    <t>Pinoksaden</t>
  </si>
  <si>
    <t>Dimetomorf</t>
  </si>
  <si>
    <t>Fenpropidin</t>
  </si>
  <si>
    <t>Flufenacet</t>
  </si>
  <si>
    <t>Klorantraniliprol</t>
  </si>
  <si>
    <t>Mezosulfuron</t>
  </si>
  <si>
    <t>Tritosulfuron</t>
  </si>
  <si>
    <t>Aklonifen</t>
  </si>
  <si>
    <t>Tribenuron-metil</t>
  </si>
  <si>
    <t>Cimoksanil</t>
  </si>
  <si>
    <t>Mandipropamid</t>
  </si>
  <si>
    <t>Zoksamid</t>
  </si>
  <si>
    <t>Klopiralid</t>
  </si>
  <si>
    <t>Dimetaklor</t>
  </si>
  <si>
    <t>Izoksaflutol</t>
  </si>
  <si>
    <t>S - metolaklor</t>
  </si>
  <si>
    <t>Deltametrin</t>
  </si>
  <si>
    <t>Jodosulfuron</t>
  </si>
  <si>
    <t>Triklorometan</t>
  </si>
  <si>
    <t>Tribromometan</t>
  </si>
  <si>
    <t>Bromdiklorometan</t>
  </si>
  <si>
    <t>Dibromklorometan</t>
  </si>
  <si>
    <t>1,1,2,2-tetrakloroeten</t>
  </si>
  <si>
    <t>1,1,2-trikloroeten</t>
  </si>
  <si>
    <t>Trihalometani - vsota</t>
  </si>
  <si>
    <t>1,1,2,2-tetrakloroeten + 1,1,2-trikloroeten</t>
  </si>
  <si>
    <t>Trikloroocetna kislina</t>
  </si>
  <si>
    <t>Dikloroocetna kislina</t>
  </si>
  <si>
    <t>Dibromoocetna kislina</t>
  </si>
  <si>
    <t>Monobromoocetna kislina</t>
  </si>
  <si>
    <t>Monokloroocetna kislina</t>
  </si>
  <si>
    <t>Halogenocetne kisline (HAAs)</t>
  </si>
  <si>
    <t xml:space="preserve"> </t>
  </si>
  <si>
    <t>mg/L</t>
  </si>
  <si>
    <t>NTU</t>
  </si>
  <si>
    <t>/100mL</t>
  </si>
  <si>
    <t>/mL</t>
  </si>
  <si>
    <t>/m</t>
  </si>
  <si>
    <t>26/0003</t>
  </si>
  <si>
    <t>Skladen</t>
  </si>
  <si>
    <t>MS</t>
  </si>
  <si>
    <t>SI031</t>
  </si>
  <si>
    <t>Vodovod sistema B</t>
  </si>
  <si>
    <t>Sistem B</t>
  </si>
  <si>
    <t>SISTEM B</t>
  </si>
  <si>
    <t>dezinfekcija s plinskim klorom</t>
  </si>
  <si>
    <t>Bogojina 134, 9222 Bogojina</t>
  </si>
  <si>
    <t>x=171129, y=598073</t>
  </si>
  <si>
    <t>&lt;10</t>
  </si>
  <si>
    <t>&lt;0,1</t>
  </si>
  <si>
    <t>&lt;0,013</t>
  </si>
  <si>
    <t>&lt;0,007</t>
  </si>
  <si>
    <t>26/0007</t>
  </si>
  <si>
    <t>LJ</t>
  </si>
  <si>
    <t>SI041</t>
  </si>
  <si>
    <t>KOMUNALNO PODJETJE VRHNIKA</t>
  </si>
  <si>
    <t>VRHNIKA - BOROVNICA- LOG - DRAGOMER</t>
  </si>
  <si>
    <t>Vrhnika - Borovnica</t>
  </si>
  <si>
    <t>VVO Bevke</t>
  </si>
  <si>
    <t>Bevke 17, Bevke, 1360 Vrhnika</t>
  </si>
  <si>
    <t>x=93181, y=450339</t>
  </si>
  <si>
    <t>&lt;0,05</t>
  </si>
  <si>
    <t>&lt;0,5</t>
  </si>
  <si>
    <t>26/0011</t>
  </si>
  <si>
    <t>KP</t>
  </si>
  <si>
    <t>SI044</t>
  </si>
  <si>
    <t>ultrafiltracija, dezinfekcija s plinskim klorom</t>
  </si>
  <si>
    <t>VRTEC LIVADE</t>
  </si>
  <si>
    <t>UL. OF 15, IZOLA, 6310 Izola - Isola</t>
  </si>
  <si>
    <t>x=43972, y=395824</t>
  </si>
  <si>
    <t>26/0013</t>
  </si>
  <si>
    <t>VRTEC LUCIJA</t>
  </si>
  <si>
    <t>x=41075, y=391538</t>
  </si>
  <si>
    <t>26/0015</t>
  </si>
  <si>
    <t>VRTEC DEKANI</t>
  </si>
  <si>
    <t>DEKANI 118, 6271 Dekani</t>
  </si>
  <si>
    <t>x=45402, y=407701</t>
  </si>
  <si>
    <t>26/0016</t>
  </si>
  <si>
    <t>x=50059, y=399818</t>
  </si>
  <si>
    <t>26/0017</t>
  </si>
  <si>
    <t>SV. ANTON 12, POBEGI - SV. ANTON, 6276 Pobegi</t>
  </si>
  <si>
    <t>x=42784, y=409134</t>
  </si>
  <si>
    <t>26/0018</t>
  </si>
  <si>
    <t>x=47815, y=406004</t>
  </si>
  <si>
    <t>26/0021</t>
  </si>
  <si>
    <t>NG</t>
  </si>
  <si>
    <t>SI043</t>
  </si>
  <si>
    <t>VIPAVA, BUDANJE, PODNANOS</t>
  </si>
  <si>
    <t>x=73093, y=420501</t>
  </si>
  <si>
    <t>&lt;0,2</t>
  </si>
  <si>
    <t>26/0025</t>
  </si>
  <si>
    <t>CE</t>
  </si>
  <si>
    <t>SI034</t>
  </si>
  <si>
    <t>KOMUNALNO PODJETJE VELENJE d.o.o.</t>
  </si>
  <si>
    <t>R1 Velenje</t>
  </si>
  <si>
    <t>filtri, ultrafiltracija, redna dezinfekcija, dezinfekcija s plinskim klorom</t>
  </si>
  <si>
    <t>Vrtec Tinkara - Kekec Velenje</t>
  </si>
  <si>
    <t>x=135784, y=508933</t>
  </si>
  <si>
    <t>26/0028</t>
  </si>
  <si>
    <t>Grmov vrh</t>
  </si>
  <si>
    <t>filtri, koagulacija, flokulacija, ultrafiltracija, redna dezinfekcija, dezinfekcija s plinskim klorom</t>
  </si>
  <si>
    <t>Vrtec Jakec Pesje</t>
  </si>
  <si>
    <t>Pohorskega bataljona 12, 3320 Velenje</t>
  </si>
  <si>
    <t>x=135855, y=506939</t>
  </si>
  <si>
    <t>26/0029</t>
  </si>
  <si>
    <t>x=137414, y=503942</t>
  </si>
  <si>
    <t>26/0036</t>
  </si>
  <si>
    <t>NM</t>
  </si>
  <si>
    <t>SI037</t>
  </si>
  <si>
    <t>Komunala Novo mesto</t>
  </si>
  <si>
    <t>NOVO MESTO - JEZERO</t>
  </si>
  <si>
    <t>x=70933, y=506686</t>
  </si>
  <si>
    <t>&lt;0,03</t>
  </si>
  <si>
    <t>26/0041</t>
  </si>
  <si>
    <t>dezinfekcija s klorovim dioksidom</t>
  </si>
  <si>
    <t>Griblje, bife Pezdirc</t>
  </si>
  <si>
    <t>8332 Gradac</t>
  </si>
  <si>
    <t>x=47519, y=523217</t>
  </si>
  <si>
    <t>Griblje 62</t>
  </si>
  <si>
    <t>26/0046</t>
  </si>
  <si>
    <t>KR</t>
  </si>
  <si>
    <t>SI042</t>
  </si>
  <si>
    <t>Komunala Radovljica</t>
  </si>
  <si>
    <t>RADOVLJICA</t>
  </si>
  <si>
    <t>Alpska cesta 58 A, 4248 Lesce</t>
  </si>
  <si>
    <t>x=135755, y=435652</t>
  </si>
  <si>
    <t>pipa v kuhinji</t>
  </si>
  <si>
    <t>&lt;0,04</t>
  </si>
  <si>
    <t>26/0048</t>
  </si>
  <si>
    <t>SI036</t>
  </si>
  <si>
    <t>Kostak</t>
  </si>
  <si>
    <t>dezinfekcija s plinskim klorom, dezinfekcija z natrijevim hipokloritom</t>
  </si>
  <si>
    <t>x=90743, y=538463</t>
  </si>
  <si>
    <t>26/0051</t>
  </si>
  <si>
    <t>JEKO</t>
  </si>
  <si>
    <t>dezinfekcija z natrijevim hipokloritom</t>
  </si>
  <si>
    <t>x=139790, y=434700</t>
  </si>
  <si>
    <t>26/0053</t>
  </si>
  <si>
    <t>Komunalno podjetje Kamnik</t>
  </si>
  <si>
    <t>KAMNIK - IVERJE</t>
  </si>
  <si>
    <t>ni priprave</t>
  </si>
  <si>
    <t>Nevlje 18, 1241 Kamnik</t>
  </si>
  <si>
    <t>x=120782, y=471584</t>
  </si>
  <si>
    <t>kuhinja, pipa</t>
  </si>
  <si>
    <t>26/0056</t>
  </si>
  <si>
    <t>Hydrovod d.o.o.</t>
  </si>
  <si>
    <t>filtri, dezinfekcija s plinskim klorom</t>
  </si>
  <si>
    <t>x=62145, y=481101</t>
  </si>
  <si>
    <t>26/0060</t>
  </si>
  <si>
    <t>Komunala Kranj, d.o.o.</t>
  </si>
  <si>
    <t>KRANJ</t>
  </si>
  <si>
    <t>Zasavska cesta 53, 4000 Kranj</t>
  </si>
  <si>
    <t>x=119568, y=451402</t>
  </si>
  <si>
    <t>&lt;1</t>
  </si>
  <si>
    <t>&lt;0,02</t>
  </si>
  <si>
    <t>&lt;0,01</t>
  </si>
  <si>
    <t>26/0067</t>
  </si>
  <si>
    <t>Prodnik d.o.o.</t>
  </si>
  <si>
    <t>x=110559, y=468785</t>
  </si>
  <si>
    <t>26/0073</t>
  </si>
  <si>
    <t>redna dezinfekcija, dezinfekcija s plinskim klorom</t>
  </si>
  <si>
    <t>x=126902, y=515590</t>
  </si>
  <si>
    <t>26/0077</t>
  </si>
  <si>
    <t>x=120803, y=540165</t>
  </si>
  <si>
    <t>26/0081</t>
  </si>
  <si>
    <t>VOKA CELJE, d.o.o.</t>
  </si>
  <si>
    <t>CELJE</t>
  </si>
  <si>
    <t>Kajuhova 5, 3000 Celje</t>
  </si>
  <si>
    <t>x=120753, y=520308</t>
  </si>
  <si>
    <t>&lt;3</t>
  </si>
  <si>
    <t>26/0083</t>
  </si>
  <si>
    <t>MB</t>
  </si>
  <si>
    <t>SI032</t>
  </si>
  <si>
    <t>Komunala Ptuj d.d.</t>
  </si>
  <si>
    <t>PTUJ</t>
  </si>
  <si>
    <t>Ptuj_OO1 in OO2</t>
  </si>
  <si>
    <t>CIRKULANE 57, CIRKULANE</t>
  </si>
  <si>
    <t>x=133765, y=576901</t>
  </si>
  <si>
    <t>26/0088</t>
  </si>
  <si>
    <t>Mariborski vodovod</t>
  </si>
  <si>
    <t>MARIBORSKI VODOVOD</t>
  </si>
  <si>
    <t>VRTEC, FOCHEVA UL.</t>
  </si>
  <si>
    <t>FOCHEVA UL.51 , 2000 Maribor</t>
  </si>
  <si>
    <t>x=155795, y=549934</t>
  </si>
  <si>
    <t>26/0090</t>
  </si>
  <si>
    <t>OBLAKOVA 5, 2000 Maribor</t>
  </si>
  <si>
    <t>x=155562, y=548841</t>
  </si>
  <si>
    <t>26/0092</t>
  </si>
  <si>
    <t>DOM DANICE VOGRINEC, ENOTA TABOR</t>
  </si>
  <si>
    <t>VESELOVA 3, 2000 Maribor</t>
  </si>
  <si>
    <t>x=155707, y=548161</t>
  </si>
  <si>
    <t>26/0093</t>
  </si>
  <si>
    <t>x=157158, y=544777</t>
  </si>
  <si>
    <t>26/0095</t>
  </si>
  <si>
    <t>redna dezinfekcija, dezinfekcija s plinskim klorom, dezinfekcija z natrijevim hipokloritom</t>
  </si>
  <si>
    <t>VRTEC VRTILJAK</t>
  </si>
  <si>
    <t>x=150719, y=554360</t>
  </si>
  <si>
    <t>26/0096</t>
  </si>
  <si>
    <t>x=150555, y=549806</t>
  </si>
  <si>
    <t>26/0098</t>
  </si>
  <si>
    <t>VRTEC PESNICA</t>
  </si>
  <si>
    <t>PESNICA 44, PESNICA, 2211 Pesnica pri Mariboru</t>
  </si>
  <si>
    <t>x=163014, y=552060</t>
  </si>
  <si>
    <t>26/0100</t>
  </si>
  <si>
    <t>x=83352, y=415517</t>
  </si>
  <si>
    <t>&lt;0,0005</t>
  </si>
  <si>
    <t>&lt;40</t>
  </si>
  <si>
    <t>&lt;0,4</t>
  </si>
  <si>
    <t>&lt;5</t>
  </si>
  <si>
    <t>26/0101</t>
  </si>
  <si>
    <t>x=158094, y=550707</t>
  </si>
  <si>
    <t>26/0102</t>
  </si>
  <si>
    <t>VVO TEZNO</t>
  </si>
  <si>
    <t>x=155098, y=551001</t>
  </si>
  <si>
    <t>26/0103</t>
  </si>
  <si>
    <t>VVO STUDENCI; ENOTA RADVANJE</t>
  </si>
  <si>
    <t>Grizoldova 1, 2000 Maribor</t>
  </si>
  <si>
    <t>x=154911, y=546610</t>
  </si>
  <si>
    <t>26/0104</t>
  </si>
  <si>
    <t>VVO STUDENCI</t>
  </si>
  <si>
    <t>26/0107</t>
  </si>
  <si>
    <t>VVO BENEDIKT</t>
  </si>
  <si>
    <t>x=163059, y=568735</t>
  </si>
  <si>
    <t>26/0108</t>
  </si>
  <si>
    <t>VVO JARENINA</t>
  </si>
  <si>
    <t>Jareninski dol 26, 2221 Jarenina</t>
  </si>
  <si>
    <t>x=165184, y=553814</t>
  </si>
  <si>
    <t>26/0111</t>
  </si>
  <si>
    <t>x=113523, y=446979</t>
  </si>
  <si>
    <t>26/0114</t>
  </si>
  <si>
    <t>Infrastruktura Bled</t>
  </si>
  <si>
    <t>RADOVNA</t>
  </si>
  <si>
    <t xml:space="preserve">RADOVNA </t>
  </si>
  <si>
    <t>Penzion Mlino</t>
  </si>
  <si>
    <t>Cesta svobode 45, 4260 Bled</t>
  </si>
  <si>
    <t>x=135430, y=435664</t>
  </si>
  <si>
    <t>26/0116</t>
  </si>
  <si>
    <t>Komunala Tolmin, d.o.o.</t>
  </si>
  <si>
    <t>redna dezinfekcija, dezinfekcija z natrijevim hipokloritom</t>
  </si>
  <si>
    <t>x=112852, y=403135</t>
  </si>
  <si>
    <t>26/0117</t>
  </si>
  <si>
    <t>Ptujska cesta 30, 3252 Rogatec</t>
  </si>
  <si>
    <t>x=121501, y=554734</t>
  </si>
  <si>
    <t>26/0119</t>
  </si>
  <si>
    <t>Gostilna Badovinac</t>
  </si>
  <si>
    <t>Veliki Cerovec 1, 8000 Novo mesto</t>
  </si>
  <si>
    <t>x=66245, y=517705</t>
  </si>
  <si>
    <t>26/0121</t>
  </si>
  <si>
    <t>x=152530, y=588619</t>
  </si>
  <si>
    <t>26/0127</t>
  </si>
  <si>
    <t>Vrtec Mavrica</t>
  </si>
  <si>
    <t>x=127386, y=524010</t>
  </si>
  <si>
    <t>26/0135</t>
  </si>
  <si>
    <t>JP VOKA SNAGA d.o.o.</t>
  </si>
  <si>
    <t>LJUBLJANA</t>
  </si>
  <si>
    <t>Vrtec Ciciban, enota Ajda</t>
  </si>
  <si>
    <t>x=105018, y=462600</t>
  </si>
  <si>
    <t>26/0137</t>
  </si>
  <si>
    <t>x=100804, y=461315</t>
  </si>
  <si>
    <t>26/0138</t>
  </si>
  <si>
    <t>Vrtec Vodmat</t>
  </si>
  <si>
    <t>Bolgarska 20, Ljubljana Vodmat, 1000 Ljubljana</t>
  </si>
  <si>
    <t>x=101534, y=463493</t>
  </si>
  <si>
    <t>26/0140</t>
  </si>
  <si>
    <t>x=103245, y=459572</t>
  </si>
  <si>
    <t>26/0143</t>
  </si>
  <si>
    <t>Karunova  14, Ljubljana Trnovo, 1000 Ljubljana</t>
  </si>
  <si>
    <t>x=99849, y=461862</t>
  </si>
  <si>
    <t>26/0145</t>
  </si>
  <si>
    <t>x=104130, y=459950</t>
  </si>
  <si>
    <t>26/0146</t>
  </si>
  <si>
    <t>Martinova po 16, Ljubljana - Brod, 1000 Ljubljana</t>
  </si>
  <si>
    <t>x=107819, y=459019</t>
  </si>
  <si>
    <t>26/0149</t>
  </si>
  <si>
    <t>BREST - 1</t>
  </si>
  <si>
    <t>x=99244, y=459561</t>
  </si>
  <si>
    <t>26/0158</t>
  </si>
  <si>
    <t>VIK NG</t>
  </si>
  <si>
    <t>HUBELJ NG</t>
  </si>
  <si>
    <t>26/0159</t>
  </si>
  <si>
    <t>&lt;0,3</t>
  </si>
  <si>
    <t>26/0160</t>
  </si>
  <si>
    <t>MRZLEK</t>
  </si>
  <si>
    <t>NOVA GORICA</t>
  </si>
  <si>
    <t>Miren 137, 5291 Miren</t>
  </si>
  <si>
    <t>26/0162</t>
  </si>
  <si>
    <t>Vipavska cesta 2C, 5000 Nova Gorica</t>
  </si>
  <si>
    <t>26/0178</t>
  </si>
  <si>
    <t>JKP Grosuplje</t>
  </si>
  <si>
    <t>GROSUPLJE</t>
  </si>
  <si>
    <t>Vrtec Grosuplje</t>
  </si>
  <si>
    <t>Trubarjeva 15, 1290 Grosuplje</t>
  </si>
  <si>
    <t>x=90150, y=473618</t>
  </si>
  <si>
    <t>26/0179</t>
  </si>
  <si>
    <t>RK</t>
  </si>
  <si>
    <t>SI033</t>
  </si>
  <si>
    <t>RAVNE - LOKALNI VODOVOD</t>
  </si>
  <si>
    <t>KOTLJE</t>
  </si>
  <si>
    <t>TRGOVINA KOTLJE-MERKATOR</t>
  </si>
  <si>
    <t>KOTLJE 3D, 2394 Kotlje</t>
  </si>
  <si>
    <t>x=153121, y=499271</t>
  </si>
  <si>
    <t>26/0180</t>
  </si>
  <si>
    <t>x=90397, y=485397</t>
  </si>
  <si>
    <t>26/0181</t>
  </si>
  <si>
    <t>x=79487, y=487660</t>
  </si>
  <si>
    <t>26/0184</t>
  </si>
  <si>
    <t>VRTEC MELINCI</t>
  </si>
  <si>
    <t>Melinci 64, Melinci, 9231 Beltinci</t>
  </si>
  <si>
    <t>x=159565, y=594953</t>
  </si>
  <si>
    <t>26/0185</t>
  </si>
  <si>
    <t>EKO-PARK</t>
  </si>
  <si>
    <t>Pomurski vodovod - sistem A</t>
  </si>
  <si>
    <t>Gaberje</t>
  </si>
  <si>
    <t>Vrtec GABERJE</t>
  </si>
  <si>
    <t>Glavna ulica 29, Gaberje , GABERJE, 9220 Lendava</t>
  </si>
  <si>
    <t>x=157781, y=608431</t>
  </si>
  <si>
    <t>26/0187</t>
  </si>
  <si>
    <t>SI038</t>
  </si>
  <si>
    <t>KOMUNALA ILIRSKA BISTRICA</t>
  </si>
  <si>
    <t>VODOVOD ILIRSKA BISTRICA</t>
  </si>
  <si>
    <t>ultrafiltracija, redna dezinfekcija, dezinfekcija s plinskim klorom</t>
  </si>
  <si>
    <t>STANOVANJSKI OBJEKT #1</t>
  </si>
  <si>
    <t>GORNJI ZEMON 10, ILIRSKA BISTRICA - GORNJI ZEMO, 6250 Ilirska Bistrica</t>
  </si>
  <si>
    <t>x=43655, y=444241</t>
  </si>
  <si>
    <t>Gornji Zemon 16</t>
  </si>
  <si>
    <t>26/0189</t>
  </si>
  <si>
    <t>PODGRAD 99B, 6244 Podgrad</t>
  </si>
  <si>
    <t>x=42557, y=433465</t>
  </si>
  <si>
    <t>26/0197</t>
  </si>
  <si>
    <t>VODOVOD BRESTOVICA</t>
  </si>
  <si>
    <t>filtri, redna dezinfekcija, dezinfekcija s plinskim klorom</t>
  </si>
  <si>
    <t>VRTEC KOMEN</t>
  </si>
  <si>
    <t>KOMEN 16B, 6223 Komen</t>
  </si>
  <si>
    <t>x=75301, y=403138</t>
  </si>
  <si>
    <t>26/0203</t>
  </si>
  <si>
    <t>Hotel Jezero</t>
  </si>
  <si>
    <t>x=126510, y=414590</t>
  </si>
  <si>
    <t>26/0205</t>
  </si>
  <si>
    <t>KOSTANJEVICA 2</t>
  </si>
  <si>
    <t>KOSTANJEVICA</t>
  </si>
  <si>
    <t>x=78609, y=532976</t>
  </si>
  <si>
    <t>26/0208</t>
  </si>
  <si>
    <t>Komunala Metlika</t>
  </si>
  <si>
    <t>METLIKA OBRH</t>
  </si>
  <si>
    <t>Podzemelj 17, 8332 Gradac</t>
  </si>
  <si>
    <t>x=51576, y=521802</t>
  </si>
  <si>
    <t>26/0211</t>
  </si>
  <si>
    <t>Komunala Trebnje</t>
  </si>
  <si>
    <t>TREBNJE</t>
  </si>
  <si>
    <t>Trebnje VVO</t>
  </si>
  <si>
    <t>Slakova ulica , 8210 Trebnje</t>
  </si>
  <si>
    <t>x=84909, y=501041</t>
  </si>
  <si>
    <t>26/0216</t>
  </si>
  <si>
    <t>PREVALJE</t>
  </si>
  <si>
    <t>POLJE 4, 2391 Prevalje</t>
  </si>
  <si>
    <t>x=155953, y=494421</t>
  </si>
  <si>
    <t>26/0218</t>
  </si>
  <si>
    <t>x=100561, y=431382</t>
  </si>
  <si>
    <t>26/0219</t>
  </si>
  <si>
    <t>OSEK - VITOVLJE</t>
  </si>
  <si>
    <t>x=87861, y=403185</t>
  </si>
  <si>
    <t>26/0224</t>
  </si>
  <si>
    <t>KOVOR - NAKLO</t>
  </si>
  <si>
    <t>Sp.Duplje 2, Sp.Duplje, 4203 Duplje</t>
  </si>
  <si>
    <t>x=128991, y=446135</t>
  </si>
  <si>
    <t>26/0225</t>
  </si>
  <si>
    <t>Brdo pri Lukovici 5, 1225 Lukovica</t>
  </si>
  <si>
    <t>x=113910, y=476165</t>
  </si>
  <si>
    <t>26/0226</t>
  </si>
  <si>
    <t>Krtina 41, Krtina, 1233 Dob</t>
  </si>
  <si>
    <t>x=111751, y=474156</t>
  </si>
  <si>
    <t>26/0227</t>
  </si>
  <si>
    <t>x=120326, y=435903</t>
  </si>
  <si>
    <t>26/0228</t>
  </si>
  <si>
    <t>RAVNE</t>
  </si>
  <si>
    <t>MERCATOR CENTER</t>
  </si>
  <si>
    <t>x=155350, y=496450</t>
  </si>
  <si>
    <t>26/0237</t>
  </si>
  <si>
    <t>Komunala Slovenska Bistrica d.o.o.</t>
  </si>
  <si>
    <t>redna dezinfekcija, dezinfekcija z natrijevim hipokloritom, dezinfekcija s kalcijevim hipokloritom</t>
  </si>
  <si>
    <t>x=136174, y=530322</t>
  </si>
  <si>
    <t>26/0246</t>
  </si>
  <si>
    <t>x=102279, y=514406</t>
  </si>
  <si>
    <t>26/0247</t>
  </si>
  <si>
    <t>TRIJE STUDENCI</t>
  </si>
  <si>
    <t>x=109490, y=522754</t>
  </si>
  <si>
    <t>26/0250</t>
  </si>
  <si>
    <t>KOMUNALA d.o.o. SEVNICA</t>
  </si>
  <si>
    <t>SEVNICA</t>
  </si>
  <si>
    <t>Savska cesta 2, 8290 Sevnica</t>
  </si>
  <si>
    <t>x=95708, y=524150</t>
  </si>
  <si>
    <t>26/0251</t>
  </si>
  <si>
    <t>x=123343, y=509626</t>
  </si>
  <si>
    <t>26/0252</t>
  </si>
  <si>
    <t>TABOR</t>
  </si>
  <si>
    <t>Vrtec Trnava</t>
  </si>
  <si>
    <t>Trnava 5b, 3303 Gomilsko</t>
  </si>
  <si>
    <t>x=123580, y=505883</t>
  </si>
  <si>
    <t>26/0263</t>
  </si>
  <si>
    <t>KOMUNALA IDRIJA</t>
  </si>
  <si>
    <t>x=90393, y=430253</t>
  </si>
  <si>
    <t>26/0265</t>
  </si>
  <si>
    <t>Na Gaj 4, MARIBOR, 2351 Kamnica</t>
  </si>
  <si>
    <t>x=158275, y=544552</t>
  </si>
  <si>
    <t>26/0268</t>
  </si>
  <si>
    <t>JKP Sl. Konjice</t>
  </si>
  <si>
    <t>SLOVENSKE KONJICE</t>
  </si>
  <si>
    <t>Vrtec Tepanje</t>
  </si>
  <si>
    <t>Tepanje 28, 3210 Slovenske Konjice</t>
  </si>
  <si>
    <t>x=133784, y=537020</t>
  </si>
  <si>
    <t>26/0269</t>
  </si>
  <si>
    <t>LESCE (del sistema Radovna - Bled- Lesce)</t>
  </si>
  <si>
    <t>LESCE</t>
  </si>
  <si>
    <t>x=135516, y=435664</t>
  </si>
  <si>
    <t>26/0274</t>
  </si>
  <si>
    <t>SI035</t>
  </si>
  <si>
    <t>JP KSP Litija d.o.o.</t>
  </si>
  <si>
    <t>Lekarna</t>
  </si>
  <si>
    <t>Trg svobode 1, 1270 Litija</t>
  </si>
  <si>
    <t>x=101364, y=487115</t>
  </si>
  <si>
    <t>26/0276</t>
  </si>
  <si>
    <t>x=62995, y=412757</t>
  </si>
  <si>
    <t>26/0282</t>
  </si>
  <si>
    <t>OO-4 - Slovenske gorice</t>
  </si>
  <si>
    <t>x=149848, y=567609</t>
  </si>
  <si>
    <t>&lt;0,001</t>
  </si>
  <si>
    <t>26/0284</t>
  </si>
  <si>
    <t>JP Komunala Cerknica d.o.o.</t>
  </si>
  <si>
    <t>CERKNICA</t>
  </si>
  <si>
    <t>CERKNICA - RAKEK</t>
  </si>
  <si>
    <t>ultrafiltracija, dezinfekcija s klorovim dioksidom</t>
  </si>
  <si>
    <t>Vrtec Grahovo</t>
  </si>
  <si>
    <t>Grahovo 120, 1384 Grahovo</t>
  </si>
  <si>
    <t>x=69824, y=455924</t>
  </si>
  <si>
    <t>26/0285</t>
  </si>
  <si>
    <t>x=87116, y=471132</t>
  </si>
  <si>
    <t>26/0288</t>
  </si>
  <si>
    <t>Vinica, Bife KZ</t>
  </si>
  <si>
    <t>Vinica 3/a, 8344 Vinica</t>
  </si>
  <si>
    <t>x=35279, y=520209</t>
  </si>
  <si>
    <t>26/0289</t>
  </si>
  <si>
    <t>SENOVO - BRESTANICA</t>
  </si>
  <si>
    <t>Senovo, bencinski servis MOL</t>
  </si>
  <si>
    <t>Titova ulica 101C, 8281 Senovo</t>
  </si>
  <si>
    <t>x=97961, y=537373</t>
  </si>
  <si>
    <t>26/0290</t>
  </si>
  <si>
    <t>TRSTENIK</t>
  </si>
  <si>
    <t>Trstenik  39, Trstenik, 4204 Golnik</t>
  </si>
  <si>
    <t>x=130289, y=451695</t>
  </si>
  <si>
    <t>26/0292</t>
  </si>
  <si>
    <t>Dutovlje  135, 6221 Dutovlje</t>
  </si>
  <si>
    <t>x=69136, y=409298</t>
  </si>
  <si>
    <t>26/0293</t>
  </si>
  <si>
    <t>RIBNICA</t>
  </si>
  <si>
    <t>Zavod za blagovne rezerve Ortnek, Ortnek NN-vratarnica</t>
  </si>
  <si>
    <t>Ortnek 9, 1316 Ortnek</t>
  </si>
  <si>
    <t>x=71889, y=474711</t>
  </si>
  <si>
    <t>26/0294</t>
  </si>
  <si>
    <t>SPODNJA IDRIJA</t>
  </si>
  <si>
    <t>x=99293, y=424646</t>
  </si>
  <si>
    <t>26/0301</t>
  </si>
  <si>
    <t>OO3-Lancova vas</t>
  </si>
  <si>
    <t>filtri, dezinfekcija z natrijevim hipokloritom</t>
  </si>
  <si>
    <t>Lancova vas 76 a, 2284 Videm pri Ptuju</t>
  </si>
  <si>
    <t>x=136649, y=565544</t>
  </si>
  <si>
    <t>26/0303</t>
  </si>
  <si>
    <t>x=76312, y=495116</t>
  </si>
  <si>
    <t>26/0304</t>
  </si>
  <si>
    <t>Dvor 23, 8361 Dvor</t>
  </si>
  <si>
    <t>x=74107, y=497712</t>
  </si>
  <si>
    <t>26/0311</t>
  </si>
  <si>
    <t>x=101103, y=464522</t>
  </si>
  <si>
    <t>26/0313</t>
  </si>
  <si>
    <t>Gostilna Vegov hram</t>
  </si>
  <si>
    <t>Dolsko 57, Dolsko, 1000 Ljubljana</t>
  </si>
  <si>
    <t>x=105528, y=475487</t>
  </si>
  <si>
    <t>26/0323</t>
  </si>
  <si>
    <t>Poslovni objekt, Caffe POP</t>
  </si>
  <si>
    <t>Litijska 38, 1000 Ljubljana</t>
  </si>
  <si>
    <t>x=100449, y=465186</t>
  </si>
  <si>
    <t>26/0324</t>
  </si>
  <si>
    <t>Cesta II. grupe odredov 41, Ljubljana Zadvor, 1000 Ljubljana</t>
  </si>
  <si>
    <t>x=99252, y=469100</t>
  </si>
  <si>
    <t>26/0325</t>
  </si>
  <si>
    <t>Vrtec Galjevica, enota Orlova</t>
  </si>
  <si>
    <t>x=99309, y=463008</t>
  </si>
  <si>
    <t>26/0326</t>
  </si>
  <si>
    <t>KANAL</t>
  </si>
  <si>
    <t>ultrafiltracija, redna dezinfekcija, dezinfekcija z natrijevim hipokloritom</t>
  </si>
  <si>
    <t>GORENJA VAS 49, GORENJA VAS, 5213 Kanal</t>
  </si>
  <si>
    <t>26/0330</t>
  </si>
  <si>
    <t>KRMELJ</t>
  </si>
  <si>
    <t>x=96350, y=513457</t>
  </si>
  <si>
    <t>26/0332</t>
  </si>
  <si>
    <t>JP KOMUNALA p.o. Mozirje</t>
  </si>
  <si>
    <t>MOZIRJE</t>
  </si>
  <si>
    <t>x=131197, y=494388</t>
  </si>
  <si>
    <t>26/0333</t>
  </si>
  <si>
    <t>LJUBNO OB SAVINJI</t>
  </si>
  <si>
    <t>Vrtec Ljubno ob Savinji</t>
  </si>
  <si>
    <t>Cesta v Rastke 9, 3333 Ljubno ob Savinji</t>
  </si>
  <si>
    <t>x=133245, y=487571</t>
  </si>
  <si>
    <t>26/0339</t>
  </si>
  <si>
    <t>JAVNI VODOVOD MOTA - LUKAVCI</t>
  </si>
  <si>
    <t>VODARNA LUKAVCI</t>
  </si>
  <si>
    <t>x=152369, y=594265</t>
  </si>
  <si>
    <t>26/0341</t>
  </si>
  <si>
    <t>J.P. Komunala Trbovlje d.o.o.</t>
  </si>
  <si>
    <t>TRBOVLJE</t>
  </si>
  <si>
    <t>Osrednji del Trbovelj</t>
  </si>
  <si>
    <t>PARTIZANSKA CESTA 51, 1420 Trbovlje</t>
  </si>
  <si>
    <t>26/0342</t>
  </si>
  <si>
    <t>CERKLJE</t>
  </si>
  <si>
    <t>KAVARNICA PRR"CK"</t>
  </si>
  <si>
    <t>ZALOG PRI CERKLJAH 28, 4207 Cerklje na Gorenjskem</t>
  </si>
  <si>
    <t>&lt;2</t>
  </si>
  <si>
    <t>26/0346</t>
  </si>
  <si>
    <t>ISKRA D.O.O., PE GALVANOTEHNIKA</t>
  </si>
  <si>
    <t>x=91852, y=467778</t>
  </si>
  <si>
    <t>26/0348</t>
  </si>
  <si>
    <t>MEDVODE</t>
  </si>
  <si>
    <t>OSTROVRHARJEVA 2, 1215 Medvode</t>
  </si>
  <si>
    <t>x=111444, y=454606</t>
  </si>
  <si>
    <t>26/0351</t>
  </si>
  <si>
    <t>JKP RADLJE</t>
  </si>
  <si>
    <t>RIBNICA NA POHORJU</t>
  </si>
  <si>
    <t>RIBNICA NA POHORJU 29, 2364 Ribnica na Pohorju</t>
  </si>
  <si>
    <t>x=154510, y=520839</t>
  </si>
  <si>
    <t>26/0352</t>
  </si>
  <si>
    <t>Komunala Zagorje</t>
  </si>
  <si>
    <t>Zdravstveni dom Zag.</t>
  </si>
  <si>
    <t>C. Zmage 1, Zagorje, 1410 Zagorje ob Savi</t>
  </si>
  <si>
    <t>x=109966, y=500038</t>
  </si>
  <si>
    <t>26/0355</t>
  </si>
  <si>
    <t>Vrtec Velika Polana</t>
  </si>
  <si>
    <t>Velika Polana 215b, 9225 Velika Polana</t>
  </si>
  <si>
    <t>x=159823, y=603302</t>
  </si>
  <si>
    <t>26/0357</t>
  </si>
  <si>
    <t>x=39826, y=443585</t>
  </si>
  <si>
    <t>26/0360</t>
  </si>
  <si>
    <t>JP Komunala Hrastnik d.o.o.</t>
  </si>
  <si>
    <t>DOL PRI HRASTNIKU</t>
  </si>
  <si>
    <t>Planinska c. 15, Dol pri Hrastniku, 1430 Hrastnik</t>
  </si>
  <si>
    <t>x=110613, y=509493</t>
  </si>
  <si>
    <t>26/0361</t>
  </si>
  <si>
    <t>ROVE</t>
  </si>
  <si>
    <t>Trgovina Minimarket</t>
  </si>
  <si>
    <t>C. 9 avgusta 109, Zagorje, 1410 Zagorje ob Savi</t>
  </si>
  <si>
    <t>x=110571, y=500641</t>
  </si>
  <si>
    <t>26/0363</t>
  </si>
  <si>
    <t>Vrtec</t>
  </si>
  <si>
    <t>x=92476, y=470474</t>
  </si>
  <si>
    <t>26/0366</t>
  </si>
  <si>
    <t>JP Komunala Vodice d.o.o.,</t>
  </si>
  <si>
    <t>VODICE</t>
  </si>
  <si>
    <t>Gostilna Mak</t>
  </si>
  <si>
    <t>Polje pri Vodicah 7, Polje pri Vodicah, 1217 Vodice</t>
  </si>
  <si>
    <t>x=113331, y=461163</t>
  </si>
  <si>
    <t>26/0369</t>
  </si>
  <si>
    <t>BRANICA</t>
  </si>
  <si>
    <t>filtri, redna dezinfekcija, dezinfekcija z natrijevim hipokloritom</t>
  </si>
  <si>
    <t>STANOVANJSKI OBJEKT</t>
  </si>
  <si>
    <t>x=74775, y=413699</t>
  </si>
  <si>
    <t>26/0370</t>
  </si>
  <si>
    <t>JKP SLOVENJ GRADEC</t>
  </si>
  <si>
    <t>x=141881, y=517083</t>
  </si>
  <si>
    <t>26/0371</t>
  </si>
  <si>
    <t>x=42410, y=447895</t>
  </si>
  <si>
    <t>&lt;0,026</t>
  </si>
  <si>
    <t>&lt;1,8</t>
  </si>
  <si>
    <t>&lt;0,15</t>
  </si>
  <si>
    <t>26/0372</t>
  </si>
  <si>
    <t>PODGRAJE</t>
  </si>
  <si>
    <t>Podgraje 59, Podgraje, 6250 Ilirska Bistrica</t>
  </si>
  <si>
    <t>Podgraje 54</t>
  </si>
  <si>
    <t>26/0374</t>
  </si>
  <si>
    <t>KS Vrbovo</t>
  </si>
  <si>
    <t>VRBOVO</t>
  </si>
  <si>
    <t>PIZZERIA KODRA</t>
  </si>
  <si>
    <t>VRBOVO 22, 6250 Ilirska Bistrica</t>
  </si>
  <si>
    <t>x=45689, y=443744</t>
  </si>
  <si>
    <t>26/0375</t>
  </si>
  <si>
    <t>x=41229, y=449184</t>
  </si>
  <si>
    <t>26/0379</t>
  </si>
  <si>
    <t>SLOVENJ GRADEC</t>
  </si>
  <si>
    <t>x=149900, y=508660</t>
  </si>
  <si>
    <t>26/0380</t>
  </si>
  <si>
    <t>x=79973, y=536342</t>
  </si>
  <si>
    <t>26/0385</t>
  </si>
  <si>
    <t>x=124470, y=393820</t>
  </si>
  <si>
    <t>26/0386</t>
  </si>
  <si>
    <t>DOBRNA</t>
  </si>
  <si>
    <t>Lokovina 34 a, 3204 Dobrna</t>
  </si>
  <si>
    <t>x=132408, y=516395</t>
  </si>
  <si>
    <t>26/0387</t>
  </si>
  <si>
    <t>KAMNO - VOLARJE</t>
  </si>
  <si>
    <t>Volarje 54 c, 5220 Tolmin</t>
  </si>
  <si>
    <t>x=119341, y=397743</t>
  </si>
  <si>
    <t>26/0388</t>
  </si>
  <si>
    <t>x=134630, y=480796</t>
  </si>
  <si>
    <t>26/0389</t>
  </si>
  <si>
    <t>RADLJE</t>
  </si>
  <si>
    <t>VUHRED</t>
  </si>
  <si>
    <t>VUHRED 148, 2365 Vuhred</t>
  </si>
  <si>
    <t>x=161160, y=518240</t>
  </si>
  <si>
    <t>26/0390</t>
  </si>
  <si>
    <t>LADRA - SMAST</t>
  </si>
  <si>
    <t>x=122041, y=393383</t>
  </si>
  <si>
    <t>26/0391</t>
  </si>
  <si>
    <t>x=101926, y=392163</t>
  </si>
  <si>
    <t>26/0393</t>
  </si>
  <si>
    <t>VUZENICA</t>
  </si>
  <si>
    <t>MLADINSKA ULICA 3, 2367 Vuzenica</t>
  </si>
  <si>
    <t>x=161802, y=513050</t>
  </si>
  <si>
    <t>26/0396</t>
  </si>
  <si>
    <t>PLES - PODOREH - KRULC</t>
  </si>
  <si>
    <t>x=110486, y=480770</t>
  </si>
  <si>
    <t>26/0398</t>
  </si>
  <si>
    <t>KOLOVEC</t>
  </si>
  <si>
    <t>x=114289, y=469900</t>
  </si>
  <si>
    <t>26/0399</t>
  </si>
  <si>
    <t>x=153841, y=506740</t>
  </si>
  <si>
    <t>26/0400</t>
  </si>
  <si>
    <t>x=115380, y=400780</t>
  </si>
  <si>
    <t>26/0401</t>
  </si>
  <si>
    <t>x=129885, y=383392</t>
  </si>
  <si>
    <t>26/0406</t>
  </si>
  <si>
    <t>Komunala Kranjska Gora</t>
  </si>
  <si>
    <t>x=151017, y=402101</t>
  </si>
  <si>
    <t>26/0407</t>
  </si>
  <si>
    <t>KP Logatec d.o.o.</t>
  </si>
  <si>
    <t>ROVTE</t>
  </si>
  <si>
    <t>Rovte 90a, 1370 Logatec</t>
  </si>
  <si>
    <t>x=93819, y=436468</t>
  </si>
  <si>
    <t>26/0408</t>
  </si>
  <si>
    <t>Neskladen</t>
  </si>
  <si>
    <t>SELCA</t>
  </si>
  <si>
    <t>Selca 95, 4227 Selca</t>
  </si>
  <si>
    <t>x=120281, y=438725</t>
  </si>
  <si>
    <t>26/0409</t>
  </si>
  <si>
    <t>DOLENJA VAS</t>
  </si>
  <si>
    <t>Gostilna Pri Zalogarju, Dolenja vas</t>
  </si>
  <si>
    <t>Dolenja vas 1A, Dolenja vas, 4227 Selca</t>
  </si>
  <si>
    <t>x=118720, y=440472</t>
  </si>
  <si>
    <t>26/0413</t>
  </si>
  <si>
    <t>x=149898, y=548201</t>
  </si>
  <si>
    <t>26/0416</t>
  </si>
  <si>
    <t>POLJANE</t>
  </si>
  <si>
    <t>x=108687, y=437001</t>
  </si>
  <si>
    <t>26/0417</t>
  </si>
  <si>
    <t>RIMSKE TOPLICE</t>
  </si>
  <si>
    <t>Vrtec Rimske Toplice</t>
  </si>
  <si>
    <t>Cankarjeva 14, 3272 Rimske Toplice</t>
  </si>
  <si>
    <t>x=109073, y=515432</t>
  </si>
  <si>
    <t>26/0419</t>
  </si>
  <si>
    <t>BLANCA</t>
  </si>
  <si>
    <t>Blanca 13, 8283 Blanca</t>
  </si>
  <si>
    <t>x=94247, y=530739</t>
  </si>
  <si>
    <t>26/0420</t>
  </si>
  <si>
    <t>x=130124, y=501968</t>
  </si>
  <si>
    <t>26/0421</t>
  </si>
  <si>
    <t>x=112789, y=546361</t>
  </si>
  <si>
    <t>26/0423</t>
  </si>
  <si>
    <t>PRISTAVA PRI MESTINJU</t>
  </si>
  <si>
    <t>Pristava pri Mestinju 26, 3253 Pristava pri Mestinju</t>
  </si>
  <si>
    <t>x=116899, y=546417</t>
  </si>
  <si>
    <t>26/0424</t>
  </si>
  <si>
    <t>V. TRN</t>
  </si>
  <si>
    <t>Trgovina Felicijan d. o. o.</t>
  </si>
  <si>
    <t>x=90972, y=531007</t>
  </si>
  <si>
    <t>26/0429</t>
  </si>
  <si>
    <t>Beli potok</t>
  </si>
  <si>
    <t>Gostilna Turist, pipa v pomivalnem koritu v kuhinji</t>
  </si>
  <si>
    <t>Frankolovo 9, 3213 Frankolovo</t>
  </si>
  <si>
    <t>x=132234, y=524332</t>
  </si>
  <si>
    <t>26/0430</t>
  </si>
  <si>
    <t>x=108101, y=397599</t>
  </si>
  <si>
    <t>javna pipa</t>
  </si>
  <si>
    <t>26/0432</t>
  </si>
  <si>
    <t>PIJAVA GORICA</t>
  </si>
  <si>
    <t>x=90075, y=467359</t>
  </si>
  <si>
    <t>26/0433</t>
  </si>
  <si>
    <t>KAMNJE</t>
  </si>
  <si>
    <t>Kamnje  2c, 5263 Dobravlje</t>
  </si>
  <si>
    <t>x=84274, y=409289</t>
  </si>
  <si>
    <t>26/0438</t>
  </si>
  <si>
    <t>GORE - DOLE</t>
  </si>
  <si>
    <t>GORE 17, 5280 Idrija</t>
  </si>
  <si>
    <t>x=95994, y=427590</t>
  </si>
  <si>
    <t>26/0439</t>
  </si>
  <si>
    <t>IDRSKO</t>
  </si>
  <si>
    <t>Gostilna Jazbec</t>
  </si>
  <si>
    <t>Idrsko 56, 5222 Kobarid</t>
  </si>
  <si>
    <t>x=122005, y=391851</t>
  </si>
  <si>
    <t>26/0442</t>
  </si>
  <si>
    <t>GORENJE DESKLE</t>
  </si>
  <si>
    <t>Bevkova ulica 15, 5210 Deskle</t>
  </si>
  <si>
    <t>x=101728, y=393930</t>
  </si>
  <si>
    <t>26/0443</t>
  </si>
  <si>
    <t>Kapelca</t>
  </si>
  <si>
    <t>Lindek 7, 3213 Frankolovo</t>
  </si>
  <si>
    <t>x=133595, y=525207</t>
  </si>
  <si>
    <t>26/0444</t>
  </si>
  <si>
    <t>Trubarjev dom upokojencev</t>
  </si>
  <si>
    <t>Loka 48, 1434 Loka pri Zidanem Mostu</t>
  </si>
  <si>
    <t>x=101322, y=516441</t>
  </si>
  <si>
    <t>26/0446</t>
  </si>
  <si>
    <t>Komunala d.o.o. Gornji Grad</t>
  </si>
  <si>
    <t>Bar Petra</t>
  </si>
  <si>
    <t>x=127355, y=488951</t>
  </si>
  <si>
    <t>26/0447</t>
  </si>
  <si>
    <t>Gostilna Janc</t>
  </si>
  <si>
    <t>Studenec 44, 8293 Studenec</t>
  </si>
  <si>
    <t>x=91902, y=527253</t>
  </si>
  <si>
    <t>26/0449</t>
  </si>
  <si>
    <t>VZ Srednja vas v Bohinju</t>
  </si>
  <si>
    <t>SREDNJA VAS V BOHINJU</t>
  </si>
  <si>
    <t>Srednja vas v Bohinju</t>
  </si>
  <si>
    <t>Zavod sv. Martina</t>
  </si>
  <si>
    <t>Srednja vas v Bohinju 33A, SREDNJA VAS V BOHINJU</t>
  </si>
  <si>
    <t>x=128570, y=417468</t>
  </si>
  <si>
    <t>26/0450</t>
  </si>
  <si>
    <t>PREVORJE</t>
  </si>
  <si>
    <t>Kava bar Jasmina</t>
  </si>
  <si>
    <t>Lopaca 7D, 3262 Prevorje</t>
  </si>
  <si>
    <t>x=109451, y=537315</t>
  </si>
  <si>
    <t>26/0453</t>
  </si>
  <si>
    <t>x=187296, y=597788</t>
  </si>
  <si>
    <t>26/0454</t>
  </si>
  <si>
    <t>RIBNIK</t>
  </si>
  <si>
    <t>Petrol Hrastnik</t>
  </si>
  <si>
    <t>Podkraj 77B, 1430 Hrastnik</t>
  </si>
  <si>
    <t>x=108364, y=506607</t>
  </si>
  <si>
    <t>26/0458</t>
  </si>
  <si>
    <t>x=91278, y=498005</t>
  </si>
  <si>
    <t>26/0459</t>
  </si>
  <si>
    <t>Kava bar Lipa</t>
  </si>
  <si>
    <t>x=190424, y=593283</t>
  </si>
  <si>
    <t>26/0460</t>
  </si>
  <si>
    <t>SLAP OB IDRIJCI</t>
  </si>
  <si>
    <t>Slap ob Idrijci 20, 5283 Slap ob Idrijci</t>
  </si>
  <si>
    <t>x=108789, y=408102</t>
  </si>
  <si>
    <t>26/0465</t>
  </si>
  <si>
    <t>KS TINJE</t>
  </si>
  <si>
    <t>TINJE</t>
  </si>
  <si>
    <t xml:space="preserve">TINJSKA GORA I </t>
  </si>
  <si>
    <t>x=139916, y=539357</t>
  </si>
  <si>
    <t>26/0466</t>
  </si>
  <si>
    <t>VZ Zg. Besnica</t>
  </si>
  <si>
    <t>BESNICA (ZGORNJA)</t>
  </si>
  <si>
    <t>Nova vas 12, 4201 Zgornja Besnica</t>
  </si>
  <si>
    <t>x=125178, y=444249</t>
  </si>
  <si>
    <t>26/0467</t>
  </si>
  <si>
    <t>RAKA</t>
  </si>
  <si>
    <t>Raka 36, 8274 Raka</t>
  </si>
  <si>
    <t>x=87307, y=529902</t>
  </si>
  <si>
    <t>26/0468</t>
  </si>
  <si>
    <t>x=106167, y=416551</t>
  </si>
  <si>
    <t>26/0469</t>
  </si>
  <si>
    <t>MISLINJSKA DOBRAVA</t>
  </si>
  <si>
    <t>Trgovina KGZ</t>
  </si>
  <si>
    <t>x=147811, y=510360</t>
  </si>
  <si>
    <t>26/0470</t>
  </si>
  <si>
    <t>PODGORJE - SG</t>
  </si>
  <si>
    <t>Vrtec Podgorje</t>
  </si>
  <si>
    <t>Podgorje 173, 2381 Podgorje pri Slovenj Gradcu</t>
  </si>
  <si>
    <t>x=147499, y=507073</t>
  </si>
  <si>
    <t>26/0471</t>
  </si>
  <si>
    <t>LEDINE</t>
  </si>
  <si>
    <t>Ledine 10, 5281 Spodnja Idrija</t>
  </si>
  <si>
    <t>x=100016, y=427396</t>
  </si>
  <si>
    <t>26/0472</t>
  </si>
  <si>
    <t>Povezava Ilirska Bistrica</t>
  </si>
  <si>
    <t>Javorje 13, Javorje, 6243 Obrov</t>
  </si>
  <si>
    <t>x=46007, y=430189</t>
  </si>
  <si>
    <t>26/0474</t>
  </si>
  <si>
    <t>MOKRONOG</t>
  </si>
  <si>
    <t xml:space="preserve">MOKRONOG </t>
  </si>
  <si>
    <t>Bencinski servis</t>
  </si>
  <si>
    <t>x=89213, y=511140</t>
  </si>
  <si>
    <t>26/0475</t>
  </si>
  <si>
    <t>Segrap</t>
  </si>
  <si>
    <t>Vodovod Bioterme Mala Nedelja</t>
  </si>
  <si>
    <t>Bioterme Mala Nedelja</t>
  </si>
  <si>
    <t>Moravci v Slov. Goricah 34, 9243 Mala Nedelja</t>
  </si>
  <si>
    <t>x=152831, y=581109</t>
  </si>
  <si>
    <t>26/0476</t>
  </si>
  <si>
    <t>x=165500, y=600820</t>
  </si>
  <si>
    <t>26/0477</t>
  </si>
  <si>
    <t>x=113241, y=467303</t>
  </si>
  <si>
    <t>26/0478</t>
  </si>
  <si>
    <t>IG</t>
  </si>
  <si>
    <t>x=90836, y=463833</t>
  </si>
  <si>
    <t>26/0479</t>
  </si>
  <si>
    <t>Vrtec Nova vas</t>
  </si>
  <si>
    <t>Nova vas 4b, 1385 Nova vas</t>
  </si>
  <si>
    <t>x=70069, y=462034</t>
  </si>
  <si>
    <t>26/0481</t>
  </si>
  <si>
    <t>x=115761, y=461492</t>
  </si>
  <si>
    <t>26/0482</t>
  </si>
  <si>
    <t>Zahodni del Trbovelj</t>
  </si>
  <si>
    <t>Bar Zvezda</t>
  </si>
  <si>
    <t>Pod ostrim vrhom 31, 1420 Trbovlje</t>
  </si>
  <si>
    <t>x=111638, y=503387</t>
  </si>
  <si>
    <t>26/0484</t>
  </si>
  <si>
    <t>x=136863, y=530343</t>
  </si>
  <si>
    <t>26/0486</t>
  </si>
  <si>
    <t>KS ZGORNJA POLSKAVA</t>
  </si>
  <si>
    <t>LV ZGORNJA POLSKAVA</t>
  </si>
  <si>
    <t>ZG.POLSKAVA</t>
  </si>
  <si>
    <t>Vrtec Zgornja Polskava</t>
  </si>
  <si>
    <t>x=142882, y=547351</t>
  </si>
  <si>
    <t>26/0487</t>
  </si>
  <si>
    <t>x=123918, y=465008</t>
  </si>
  <si>
    <t>26/0488</t>
  </si>
  <si>
    <t>Srednja vas</t>
  </si>
  <si>
    <t xml:space="preserve">VODOVOD SREDNJA VAS </t>
  </si>
  <si>
    <t>SREDNJA VAS</t>
  </si>
  <si>
    <t>Potok 9, Potok, 1219 Laze v Tuhinju</t>
  </si>
  <si>
    <t>x=119429, y=477195</t>
  </si>
  <si>
    <t>26/0489</t>
  </si>
  <si>
    <t>Tuhinj</t>
  </si>
  <si>
    <t>VODOVOD TUHINJ</t>
  </si>
  <si>
    <t>TUHINJ</t>
  </si>
  <si>
    <t>Zgornji Tuhinj 45, Zgornji Tuhinj, 1219 Laze v Tuhinju</t>
  </si>
  <si>
    <t>x=120235, y=482673</t>
  </si>
  <si>
    <t>26/0492</t>
  </si>
  <si>
    <t>BREGINJ - LOGJE</t>
  </si>
  <si>
    <t>Javna izlivka nasproti Breginj 116</t>
  </si>
  <si>
    <t>5223 Breginj</t>
  </si>
  <si>
    <t>x=129550, y=378881</t>
  </si>
  <si>
    <t>26/0493</t>
  </si>
  <si>
    <t>VODOKOMUNALNI SISTEMI, d.o.o.</t>
  </si>
  <si>
    <t>x=76579, y=471970</t>
  </si>
  <si>
    <t>26/0494</t>
  </si>
  <si>
    <t>SROMLJE</t>
  </si>
  <si>
    <t>Curnovec 6B</t>
  </si>
  <si>
    <t>x=91881, y=547210</t>
  </si>
  <si>
    <t>Curnovec 6</t>
  </si>
  <si>
    <t>26/0495</t>
  </si>
  <si>
    <t>DOVJE</t>
  </si>
  <si>
    <t>Dovje , Dovje, 4281 Mojstrana</t>
  </si>
  <si>
    <t>x=147305, y=419377</t>
  </si>
  <si>
    <t>26/0503</t>
  </si>
  <si>
    <t>JAVOROVICA</t>
  </si>
  <si>
    <t>26/0504</t>
  </si>
  <si>
    <t>x=103965, y=464507</t>
  </si>
  <si>
    <t>26/0506</t>
  </si>
  <si>
    <t>POLANA 1</t>
  </si>
  <si>
    <t>VRHI</t>
  </si>
  <si>
    <t>x=149036, y=547309</t>
  </si>
  <si>
    <t>26/0509</t>
  </si>
  <si>
    <t>Morje</t>
  </si>
  <si>
    <t>MORJE</t>
  </si>
  <si>
    <t>STRMA ULICA 10, 2313 Fram</t>
  </si>
  <si>
    <t>26/0513</t>
  </si>
  <si>
    <t>Severni del Trbovelj</t>
  </si>
  <si>
    <t>TRGOVINA TAPRO</t>
  </si>
  <si>
    <t>GABRSKO 12, 1420 Trbovlje</t>
  </si>
  <si>
    <t>26/0514</t>
  </si>
  <si>
    <t>BS PETROL</t>
  </si>
  <si>
    <t>VODENSKA CESTA 1B, 1420 Trbovlje</t>
  </si>
  <si>
    <t>26/0517</t>
  </si>
  <si>
    <t>26/0518</t>
  </si>
  <si>
    <t>PLANINA POD GOLICO - PRIHODI</t>
  </si>
  <si>
    <t>PLANINA POD GOLICO1</t>
  </si>
  <si>
    <t>PRIHODI 21, PRIHODI, 4270 Jesenice</t>
  </si>
  <si>
    <t>26/0519</t>
  </si>
  <si>
    <t>JAVORJE</t>
  </si>
  <si>
    <t>pipa ob vhodu</t>
  </si>
  <si>
    <t>26/0523</t>
  </si>
  <si>
    <t>MOL</t>
  </si>
  <si>
    <t>SADINJA VAS</t>
  </si>
  <si>
    <t>Bar 113</t>
  </si>
  <si>
    <t>Sadinja vas 113, Sadinja vas, 1000 Ljubljana</t>
  </si>
  <si>
    <t>x=97685, y=470255</t>
  </si>
  <si>
    <t>26/0526</t>
  </si>
  <si>
    <t>x=161423, y=580613</t>
  </si>
  <si>
    <t>26/0527</t>
  </si>
  <si>
    <t>x=187930, y=601519</t>
  </si>
  <si>
    <t>26/0530</t>
  </si>
  <si>
    <t>VELIKE LIPLJENE</t>
  </si>
  <si>
    <t>Male Lipljene 4, 1290 Grosuplje</t>
  </si>
  <si>
    <t>x=82904, y=471907</t>
  </si>
  <si>
    <t>26/0531</t>
  </si>
  <si>
    <t>x=88301, y=476920</t>
  </si>
  <si>
    <t>26/0533</t>
  </si>
  <si>
    <t>METNAJ</t>
  </si>
  <si>
    <t>Metnaj 12, Metnaj, 1290 Grosuplje</t>
  </si>
  <si>
    <t>x=92931, y=485327</t>
  </si>
  <si>
    <t>26/0534</t>
  </si>
  <si>
    <t>RAKITNA</t>
  </si>
  <si>
    <t>Rakitna 96, Rakitna, 1352 Preserje</t>
  </si>
  <si>
    <t>x=83053, y=457373</t>
  </si>
  <si>
    <t>26/0537</t>
  </si>
  <si>
    <t>JABLANICA</t>
  </si>
  <si>
    <t>JABLANICA #2</t>
  </si>
  <si>
    <t>JABLANICA 11, ILIRSKA BISTRICA - JABLANICA, 6250 Ilirska Bistrica</t>
  </si>
  <si>
    <t>x=44260, y=445632</t>
  </si>
  <si>
    <t>Jablanica 20</t>
  </si>
  <si>
    <t>26/0539</t>
  </si>
  <si>
    <t>SLIVJE</t>
  </si>
  <si>
    <t>SLIVJE 14, 6242 Materija</t>
  </si>
  <si>
    <t>x=47998, y=426077</t>
  </si>
  <si>
    <t>26/0540</t>
  </si>
  <si>
    <t>Kovod Postojna, d.o.o</t>
  </si>
  <si>
    <t>SUHORJE</t>
  </si>
  <si>
    <t>SUHORJE 7, VREMSKI BRITOF - SUHORJE, 6217 Vremski Britof</t>
  </si>
  <si>
    <t>x=55364, y=430456</t>
  </si>
  <si>
    <t>26/0541</t>
  </si>
  <si>
    <t>x=42856, y=447098</t>
  </si>
  <si>
    <t>26/0542</t>
  </si>
  <si>
    <t>VRBICA</t>
  </si>
  <si>
    <t>VRBICA 30, 6250 Ilirska Bistrica</t>
  </si>
  <si>
    <t>x=44815, y=444705</t>
  </si>
  <si>
    <t>26/0543</t>
  </si>
  <si>
    <t>x=72902, y=415311</t>
  </si>
  <si>
    <t>26/0544</t>
  </si>
  <si>
    <t>KS V. Ubeljsko</t>
  </si>
  <si>
    <t>VELIKO UBELJSKO</t>
  </si>
  <si>
    <t>TRGOVINA MI</t>
  </si>
  <si>
    <t>x=70124, y=428303</t>
  </si>
  <si>
    <t>26/0545</t>
  </si>
  <si>
    <t>x=102596, y=497359</t>
  </si>
  <si>
    <t>26/0547</t>
  </si>
  <si>
    <t>METLIKA - HRAST</t>
  </si>
  <si>
    <t>Hrast pri Jugorju 1, 8331 Suhor</t>
  </si>
  <si>
    <t>x=60933, y=520562</t>
  </si>
  <si>
    <t>26/0548</t>
  </si>
  <si>
    <t>TREBELNO</t>
  </si>
  <si>
    <t>Trebelno 43, 8231 Trebelno</t>
  </si>
  <si>
    <t>x=85259, y=511953</t>
  </si>
  <si>
    <t>26/0551</t>
  </si>
  <si>
    <t>x=131061, y=534967</t>
  </si>
  <si>
    <t>26/0552</t>
  </si>
  <si>
    <t>BREZOVICA</t>
  </si>
  <si>
    <t>BREZOVICA 10, MATERIJA - BREZOVICA, 6242 Materija</t>
  </si>
  <si>
    <t>x=51154, y=422474</t>
  </si>
  <si>
    <t>Brezovica 9a</t>
  </si>
  <si>
    <t>26/0555</t>
  </si>
  <si>
    <t>BREZNO</t>
  </si>
  <si>
    <t>BREZNO 78, PODVELKA, 2366 Muta</t>
  </si>
  <si>
    <t>x=161007, y=524769</t>
  </si>
  <si>
    <t>26/0557</t>
  </si>
  <si>
    <t>x=125922, y=540754</t>
  </si>
  <si>
    <t>26/0558</t>
  </si>
  <si>
    <t>x=125509, y=464279</t>
  </si>
  <si>
    <t>26/0559</t>
  </si>
  <si>
    <t>x=164646, y=523338</t>
  </si>
  <si>
    <t>26/0561</t>
  </si>
  <si>
    <t>VRSNO - SELCE</t>
  </si>
  <si>
    <t>x=120940, y=395793</t>
  </si>
  <si>
    <t>26/0562</t>
  </si>
  <si>
    <t>DOBROVA -POLHOV GRADEC</t>
  </si>
  <si>
    <t>BREZJE PRI DOBROVI</t>
  </si>
  <si>
    <t>Brezje pri Dobrovi 18, Brezje pri Dobrovi, 1356 Dobrova</t>
  </si>
  <si>
    <t>x=98363, y=449839</t>
  </si>
  <si>
    <t>26/0564</t>
  </si>
  <si>
    <t>GRAJSKA VAS - ST. TRG</t>
  </si>
  <si>
    <t>STARI TRG 279, 2380 Slovenj Gradec</t>
  </si>
  <si>
    <t>x=151700, y=505037</t>
  </si>
  <si>
    <t>26/0565</t>
  </si>
  <si>
    <t>PIJOVCI - PRELOGE</t>
  </si>
  <si>
    <t>x=120858, y=542787</t>
  </si>
  <si>
    <t>26/0566</t>
  </si>
  <si>
    <t>PONIKVA</t>
  </si>
  <si>
    <t>x=129627, y=511256</t>
  </si>
  <si>
    <t>26/0568</t>
  </si>
  <si>
    <t>Vodovodna zadruga ZIMERL z.o.o.</t>
  </si>
  <si>
    <t>PRISTAVA - PRELOGE</t>
  </si>
  <si>
    <t>Spodnje Preloge 24, 3210 Slovenske Konjice</t>
  </si>
  <si>
    <t>x=133522, y=531636</t>
  </si>
  <si>
    <t>26/0569</t>
  </si>
  <si>
    <t>ultrafiltracija</t>
  </si>
  <si>
    <t>x=98896, y=440534</t>
  </si>
  <si>
    <t>26/0570</t>
  </si>
  <si>
    <t>STRMA GORA</t>
  </si>
  <si>
    <t>LV STRMA GORA</t>
  </si>
  <si>
    <t>x=157291, y=562520</t>
  </si>
  <si>
    <t>&gt;80</t>
  </si>
  <si>
    <t>26/0571</t>
  </si>
  <si>
    <t>Vodovodna zadruga Selce</t>
  </si>
  <si>
    <t xml:space="preserve">SELCE </t>
  </si>
  <si>
    <t>SELCE</t>
  </si>
  <si>
    <t>GOSTILNA ORNIK</t>
  </si>
  <si>
    <t>x=153442, y=563415</t>
  </si>
  <si>
    <t>26/0572</t>
  </si>
  <si>
    <t>x=136135, y=448721</t>
  </si>
  <si>
    <t>26/0574</t>
  </si>
  <si>
    <t>x=102274, y=438141</t>
  </si>
  <si>
    <t>26/0576</t>
  </si>
  <si>
    <t>x=79700, y=492782</t>
  </si>
  <si>
    <t>26/0577</t>
  </si>
  <si>
    <t>x=87252, y=524910</t>
  </si>
  <si>
    <t>26/0578</t>
  </si>
  <si>
    <t>Slom Pihovec</t>
  </si>
  <si>
    <t>SLOM PIHOVEC</t>
  </si>
  <si>
    <t>SLOM ILOVEC</t>
  </si>
  <si>
    <t>Stolovnik 51, 8280 Brestanica</t>
  </si>
  <si>
    <t>x=94408, y=538387</t>
  </si>
  <si>
    <t>26/0579</t>
  </si>
  <si>
    <t>Radulje</t>
  </si>
  <si>
    <t>RADULJE</t>
  </si>
  <si>
    <t>x=88225, y=525638</t>
  </si>
  <si>
    <t>26/0581</t>
  </si>
  <si>
    <t>drugo sredstvo, redna dezinfekcija</t>
  </si>
  <si>
    <t>x=89879, y=545729</t>
  </si>
  <si>
    <t>26/0583</t>
  </si>
  <si>
    <t>DUO IMPOLJCA</t>
  </si>
  <si>
    <t>Arto 13, 8293 Studenec</t>
  </si>
  <si>
    <t>x=94230, y=527910</t>
  </si>
  <si>
    <t>26/0584</t>
  </si>
  <si>
    <t>Tirosek 50, 3342 Gornji Grad</t>
  </si>
  <si>
    <t>x=125181, y=480764</t>
  </si>
  <si>
    <t>26/0585</t>
  </si>
  <si>
    <t>PRESKA - BPT</t>
  </si>
  <si>
    <t>x=135437, y=446933</t>
  </si>
  <si>
    <t>26/0586</t>
  </si>
  <si>
    <t>x=83411, y=548586</t>
  </si>
  <si>
    <t>26/0587</t>
  </si>
  <si>
    <t>VOJSKO</t>
  </si>
  <si>
    <t>Vojsko 21, Vojsko, 5280 Idrija</t>
  </si>
  <si>
    <t>x=98362, y=415504</t>
  </si>
  <si>
    <t>26/0588</t>
  </si>
  <si>
    <t>PODVELKA</t>
  </si>
  <si>
    <t>PODVELKA - STARI</t>
  </si>
  <si>
    <t>BAR IRENA</t>
  </si>
  <si>
    <t>PODVELKA 19, 2363 Podvelka</t>
  </si>
  <si>
    <t>x=160635, y=525544</t>
  </si>
  <si>
    <t>26/0589</t>
  </si>
  <si>
    <t>Gostilna</t>
  </si>
  <si>
    <t>x=106495, y=410680</t>
  </si>
  <si>
    <t>26/0590</t>
  </si>
  <si>
    <t xml:space="preserve"> DOB- MIRNA</t>
  </si>
  <si>
    <t>POHORJE DOB</t>
  </si>
  <si>
    <t>kuhinja za zaposlene</t>
  </si>
  <si>
    <t>x=90101, y=507407</t>
  </si>
  <si>
    <t>26/0591</t>
  </si>
  <si>
    <t>PODVELKA - RADLJE</t>
  </si>
  <si>
    <t>Zdravstveni dom Podvelka</t>
  </si>
  <si>
    <t>Podvelka , 2363 Podvelka</t>
  </si>
  <si>
    <t>x=160868, y=525993</t>
  </si>
  <si>
    <t>26/0592</t>
  </si>
  <si>
    <t>KRAJEVNA SKUPNOST CERKLJE OB KRKI</t>
  </si>
  <si>
    <t>CERKLJE OB KRKI</t>
  </si>
  <si>
    <t>IZVIR</t>
  </si>
  <si>
    <t>x=80877, y=540665</t>
  </si>
  <si>
    <t>26/0593</t>
  </si>
  <si>
    <t>PODKRAJ</t>
  </si>
  <si>
    <t>Podkraj 17, 3320 Velenje</t>
  </si>
  <si>
    <t>x=134525, y=507874</t>
  </si>
  <si>
    <t>26/0594</t>
  </si>
  <si>
    <t>x=132198, y=447934</t>
  </si>
  <si>
    <t>pipa v mlekarni</t>
  </si>
  <si>
    <t>26/0595</t>
  </si>
  <si>
    <t>x=88962, y=462372</t>
  </si>
  <si>
    <t>&gt;300</t>
  </si>
  <si>
    <t>26/0596</t>
  </si>
  <si>
    <t>x=146357, y=431414</t>
  </si>
  <si>
    <t>26/0597</t>
  </si>
  <si>
    <t>RUDNO</t>
  </si>
  <si>
    <t>x=122823, y=436148</t>
  </si>
  <si>
    <t>26/0598</t>
  </si>
  <si>
    <t>LOG PRI SEVNICI</t>
  </si>
  <si>
    <t>Bife Kebrov Kevder</t>
  </si>
  <si>
    <t>x=95357, y=525266</t>
  </si>
  <si>
    <t>26/0600</t>
  </si>
  <si>
    <t>Stanovanjski objekt Draksler Stane</t>
  </si>
  <si>
    <t>x=100085, y=519524</t>
  </si>
  <si>
    <t>26/0601</t>
  </si>
  <si>
    <t>PLANINKA</t>
  </si>
  <si>
    <t>x=149990, y=544131</t>
  </si>
  <si>
    <t>26/0602</t>
  </si>
  <si>
    <t>LEDINA</t>
  </si>
  <si>
    <t>x=151144, y=544413</t>
  </si>
  <si>
    <t>26/0604</t>
  </si>
  <si>
    <t>BRUNK GORELJCE</t>
  </si>
  <si>
    <t>x=99263, y=514212</t>
  </si>
  <si>
    <t>26/0608</t>
  </si>
  <si>
    <t>VODOVOD DOLE</t>
  </si>
  <si>
    <t>Dole pri Litiji 28, 1273 Dole pri Litiji</t>
  </si>
  <si>
    <t>x=98265, y=501690</t>
  </si>
  <si>
    <t>26/0609</t>
  </si>
  <si>
    <t>DEBELI HRIB</t>
  </si>
  <si>
    <t>Stanovanjski objekt</t>
  </si>
  <si>
    <t>Mihelca 7, 1276 Primskovo</t>
  </si>
  <si>
    <t>x=92876, y=492280</t>
  </si>
  <si>
    <t>26/0610</t>
  </si>
  <si>
    <t>x=108451, y=487678</t>
  </si>
  <si>
    <t>26/0611</t>
  </si>
  <si>
    <t>TKK d.o.o.</t>
  </si>
  <si>
    <t>TKK SRPENICA</t>
  </si>
  <si>
    <t>Srpenica 1, 5224 Srpenica</t>
  </si>
  <si>
    <t>x=127748, y=386048</t>
  </si>
  <si>
    <t>26/0612</t>
  </si>
  <si>
    <t>x=141590, y=429660</t>
  </si>
  <si>
    <t>26/0614</t>
  </si>
  <si>
    <t>VO ZAVRSTNIK</t>
  </si>
  <si>
    <t>Zavrstnik</t>
  </si>
  <si>
    <t>x=100251, y=486371</t>
  </si>
  <si>
    <t>Zavrstnik 48</t>
  </si>
  <si>
    <t>26/0615</t>
  </si>
  <si>
    <t>DVOR - DOLENJA VAS</t>
  </si>
  <si>
    <t>Gostinski objekt Pr'Andrejc</t>
  </si>
  <si>
    <t>Dvor 1, 1355 Polhov Gradec</t>
  </si>
  <si>
    <t>x=102675, y=449934</t>
  </si>
  <si>
    <t>26/0616</t>
  </si>
  <si>
    <t>KAL NAD KANALOM - LEVPA</t>
  </si>
  <si>
    <t>KAL NAD KANALOM</t>
  </si>
  <si>
    <t>Kal nad Kanalom 119, 5214 Kal nad Kanalom</t>
  </si>
  <si>
    <t>x=105207, y=403089</t>
  </si>
  <si>
    <t>26/0618</t>
  </si>
  <si>
    <t>KAL KORITNICA</t>
  </si>
  <si>
    <t>Kal Koritnica 8, 5230 Bovec</t>
  </si>
  <si>
    <t>x=133587, y=390932</t>
  </si>
  <si>
    <t>26/0619</t>
  </si>
  <si>
    <t>LIVEK</t>
  </si>
  <si>
    <t>Javna izlivka Livek</t>
  </si>
  <si>
    <t>Livek  11a, 5222 Kobarid</t>
  </si>
  <si>
    <t>x=118500, y=392345</t>
  </si>
  <si>
    <t>26/0620</t>
  </si>
  <si>
    <t>LOG POD MANGARTOM</t>
  </si>
  <si>
    <t>Log pod Mangartom 34, 5231 Log pod Mangartom</t>
  </si>
  <si>
    <t>x=140592, y=392494</t>
  </si>
  <si>
    <t>26/0621</t>
  </si>
  <si>
    <t>SRPENICA</t>
  </si>
  <si>
    <t>Javna izlivka pred cerkvijo</t>
  </si>
  <si>
    <t>Srpenica 70, 5224 Srpenica</t>
  </si>
  <si>
    <t>x=128596, y=384700</t>
  </si>
  <si>
    <t>26/0622</t>
  </si>
  <si>
    <t>26/0623</t>
  </si>
  <si>
    <t>KOSTANJEVEC</t>
  </si>
  <si>
    <t xml:space="preserve">KOSTANJEVEC </t>
  </si>
  <si>
    <t>x=138714, y=540301</t>
  </si>
  <si>
    <t>26/0625</t>
  </si>
  <si>
    <t>REKA POHORJE</t>
  </si>
  <si>
    <t>REKA-POHORJE</t>
  </si>
  <si>
    <t>x=149794, y=547402</t>
  </si>
  <si>
    <t>26/0626</t>
  </si>
  <si>
    <t>x=147395, y=547074</t>
  </si>
  <si>
    <t>26/0627</t>
  </si>
  <si>
    <t>Velika Kostrevnica - Obla Gorica</t>
  </si>
  <si>
    <t>x=97746, y=491064</t>
  </si>
  <si>
    <t>26/0628</t>
  </si>
  <si>
    <t>Univ. kmetijski center</t>
  </si>
  <si>
    <t>x=151308, y=548313</t>
  </si>
  <si>
    <t>26/0629</t>
  </si>
  <si>
    <t>LAZE - JAKOVICA</t>
  </si>
  <si>
    <t>LAZE JAKOVICA</t>
  </si>
  <si>
    <t>Laze 57, 1370 Logatec</t>
  </si>
  <si>
    <t>x=79691, y=443472</t>
  </si>
  <si>
    <t>26/0631</t>
  </si>
  <si>
    <t>x=155371, y=575385</t>
  </si>
  <si>
    <t>26/0633</t>
  </si>
  <si>
    <t>JAVORNIK</t>
  </si>
  <si>
    <t>Javornik 10, 4000 Kranj</t>
  </si>
  <si>
    <t>x=121553, y=445959</t>
  </si>
  <si>
    <t>26/0634</t>
  </si>
  <si>
    <t>Hotavlje</t>
  </si>
  <si>
    <t>HOTAVLJE</t>
  </si>
  <si>
    <t>Hotavlje 38, 4224 Gorenja vas</t>
  </si>
  <si>
    <t>x=108187, y=432143</t>
  </si>
  <si>
    <t>mlekarna, pipa</t>
  </si>
  <si>
    <t>26/0635</t>
  </si>
  <si>
    <t>PODLIPA</t>
  </si>
  <si>
    <t>Gostilna Jurca</t>
  </si>
  <si>
    <t>Podlipa 44, 1360 Vrhnika</t>
  </si>
  <si>
    <t>x=96043, y=440189</t>
  </si>
  <si>
    <t>26/0637</t>
  </si>
  <si>
    <t>x=154451, y=506511</t>
  </si>
  <si>
    <t>26/0638</t>
  </si>
  <si>
    <t>Mali Kamen</t>
  </si>
  <si>
    <t>Mali Kamen 59, 8281 Senovo</t>
  </si>
  <si>
    <t>x=99416, y=538673</t>
  </si>
  <si>
    <t>26/0639</t>
  </si>
  <si>
    <t>x=90357, y=480456</t>
  </si>
  <si>
    <t>26/0640</t>
  </si>
  <si>
    <t>x=119099, y=525363</t>
  </si>
  <si>
    <t>26/0641</t>
  </si>
  <si>
    <t>Ligojna</t>
  </si>
  <si>
    <t>Mala Ligojna  13, Mala Ligojna, 1360 Vrhnika</t>
  </si>
  <si>
    <t>x=94635, y=446503</t>
  </si>
  <si>
    <t>26/0643</t>
  </si>
  <si>
    <t>NJIVICE</t>
  </si>
  <si>
    <t>x=102274, y=511338</t>
  </si>
  <si>
    <t>26/0644</t>
  </si>
  <si>
    <t>Restavracija</t>
  </si>
  <si>
    <t>x=134836, y=434911</t>
  </si>
  <si>
    <t>26/0645</t>
  </si>
  <si>
    <t>SVETINA</t>
  </si>
  <si>
    <t>x=116789, y=521619</t>
  </si>
  <si>
    <t>26/0648</t>
  </si>
  <si>
    <t>Bencinski servis Demol</t>
  </si>
  <si>
    <t>x=146158, y=510895</t>
  </si>
  <si>
    <t>26/0649</t>
  </si>
  <si>
    <t>x=124391, y=475023</t>
  </si>
  <si>
    <t>26/0650</t>
  </si>
  <si>
    <t>Sela pri Kamniku 5c, Sela pri Kamniku, 1241 Kamnik</t>
  </si>
  <si>
    <t>x=121508, y=476111</t>
  </si>
  <si>
    <t>26/0651</t>
  </si>
  <si>
    <t>Srednja vas, Pinocchio bar</t>
  </si>
  <si>
    <t>Srednja vas pri Kamniku 10, Srednja vas pri Kamniku, 1241 Kamnik</t>
  </si>
  <si>
    <t>x=120219, y=475828</t>
  </si>
  <si>
    <t>26/0652</t>
  </si>
  <si>
    <t>x=119736, y=479523</t>
  </si>
  <si>
    <t>26/0653</t>
  </si>
  <si>
    <t>ultrafiltracija, dezinfekcija z natrijevim hipokloritom</t>
  </si>
  <si>
    <t>x=107194, y=398607</t>
  </si>
  <si>
    <t>pipa</t>
  </si>
  <si>
    <t>26/0655</t>
  </si>
  <si>
    <t>ZALOKA</t>
  </si>
  <si>
    <t>x=93869, y=504735</t>
  </si>
  <si>
    <t>Okrog 54</t>
  </si>
  <si>
    <t>26/0656</t>
  </si>
  <si>
    <t>TURJAK</t>
  </si>
  <si>
    <t>Turjak 17, 1311 Turjak</t>
  </si>
  <si>
    <t>x=81449, y=470303</t>
  </si>
  <si>
    <t>26/0657</t>
  </si>
  <si>
    <t>VODOVODNA ZADRUGA POHORSKI IZVIRI</t>
  </si>
  <si>
    <t>Koritno 7, Koritno, 2317 Oplotnica</t>
  </si>
  <si>
    <t>x=139818, y=533910</t>
  </si>
  <si>
    <t>26/0658</t>
  </si>
  <si>
    <t>Marjan Dovnik</t>
  </si>
  <si>
    <t>x=139139, y=538199</t>
  </si>
  <si>
    <t>26/0659</t>
  </si>
  <si>
    <t>JEPIHOVEC</t>
  </si>
  <si>
    <t>Jepihovec</t>
  </si>
  <si>
    <t>Turje 74, 1431 Dol pri Hrastniku</t>
  </si>
  <si>
    <t>x=109153, y=511970</t>
  </si>
  <si>
    <t>26/0660</t>
  </si>
  <si>
    <t>RAKOVEC</t>
  </si>
  <si>
    <t>Rakovec</t>
  </si>
  <si>
    <t>Kovk 2, 1431 Dol pri Hrastniku</t>
  </si>
  <si>
    <t>x=109809, y=509778</t>
  </si>
  <si>
    <t>26/0663</t>
  </si>
  <si>
    <t>Gospodinjstvo Satler Darko</t>
  </si>
  <si>
    <t>x=135284, y=535743</t>
  </si>
  <si>
    <t>26/0664</t>
  </si>
  <si>
    <t>DOBJE</t>
  </si>
  <si>
    <t>Dobje pri Planini 20a, 3224 Dobje pri Planini</t>
  </si>
  <si>
    <t>x=110111, y=530434</t>
  </si>
  <si>
    <t>26/0665</t>
  </si>
  <si>
    <t>Kamna gora - Sojek</t>
  </si>
  <si>
    <t>po izbiri</t>
  </si>
  <si>
    <t>Kamna gora , 3213 Frankolovo</t>
  </si>
  <si>
    <t>26/0666</t>
  </si>
  <si>
    <t>OREHOVA - HOTINJA VAS</t>
  </si>
  <si>
    <t>HOTINJA VAS</t>
  </si>
  <si>
    <t>Cebe Ana</t>
  </si>
  <si>
    <t>Ulica talcev  31, 2312 Orehova vas</t>
  </si>
  <si>
    <t>x=146529, y=550344</t>
  </si>
  <si>
    <t>26/0667</t>
  </si>
  <si>
    <t>LIPOGLAV</t>
  </si>
  <si>
    <t>x=94344, y=472731</t>
  </si>
  <si>
    <t>26/0668</t>
  </si>
  <si>
    <t>DOBOVEC pri Rogatcu</t>
  </si>
  <si>
    <t>Dobovec pri Rogatcu 35, 3252 Rogatec</t>
  </si>
  <si>
    <t>x=118912, y=559107</t>
  </si>
  <si>
    <t>26/0670</t>
  </si>
  <si>
    <t>x=160108, y=530419</t>
  </si>
  <si>
    <t>26/0671</t>
  </si>
  <si>
    <t>VAS - KOZJI VRH</t>
  </si>
  <si>
    <t>Bife Pekarna Vas</t>
  </si>
  <si>
    <t>Vas 32, Vas, 2360 Radlje ob Dravi</t>
  </si>
  <si>
    <t>x=161831, y=520197</t>
  </si>
  <si>
    <t>26/0672</t>
  </si>
  <si>
    <t>x=163260, y=515666</t>
  </si>
  <si>
    <t>26/0673</t>
  </si>
  <si>
    <t>JASNA</t>
  </si>
  <si>
    <t>Jasna, Chalet Resorte</t>
  </si>
  <si>
    <t>x=148670, y=406949</t>
  </si>
  <si>
    <t>26/0675</t>
  </si>
  <si>
    <t>DESKLE</t>
  </si>
  <si>
    <t>26/0676</t>
  </si>
  <si>
    <t>PLAVE</t>
  </si>
  <si>
    <t>ULICA IVANA GRADNIKA 2, PLAVE, 5210 Deskle</t>
  </si>
  <si>
    <t>26/0678</t>
  </si>
  <si>
    <t>POLANA 3</t>
  </si>
  <si>
    <t>POLANA</t>
  </si>
  <si>
    <t>SATLER ANTON</t>
  </si>
  <si>
    <t>x=149072, y=547872</t>
  </si>
  <si>
    <t>26/0679</t>
  </si>
  <si>
    <t>26/0681</t>
  </si>
  <si>
    <t>x=132138, y=501387</t>
  </si>
  <si>
    <t>26/0682</t>
  </si>
  <si>
    <t>RADMIRJE</t>
  </si>
  <si>
    <t>Radmirje , 3333 Ljubno ob Savinji</t>
  </si>
  <si>
    <t>x=131922, y=488895</t>
  </si>
  <si>
    <t>26/0683</t>
  </si>
  <si>
    <t>x=126665, y=491758</t>
  </si>
  <si>
    <t>26/0684</t>
  </si>
  <si>
    <t>ZAKLANEC-PODOLNICA- LESNO BRDO</t>
  </si>
  <si>
    <t>ZAKLANEC - PODOLNICA- LESNO BRDO</t>
  </si>
  <si>
    <t>STANOVANJSKI OBJEKT (SMRTNIK IZIDOR)</t>
  </si>
  <si>
    <t>PODOLNICA 37, PODOLNICA, 1354 Horjul</t>
  </si>
  <si>
    <t>26/0685</t>
  </si>
  <si>
    <t>VODOVOD PODKUM</t>
  </si>
  <si>
    <t>PODKUM</t>
  </si>
  <si>
    <t>GORENJA VAS 1, 1414 Podkum</t>
  </si>
  <si>
    <t>26/0687</t>
  </si>
  <si>
    <t>VRHE</t>
  </si>
  <si>
    <t>26/0689</t>
  </si>
  <si>
    <t>ZAPLANA - ZGORNJA</t>
  </si>
  <si>
    <t>ZAPLANA STRMICA 5</t>
  </si>
  <si>
    <t>STRMICA 5, STRMICA, 1360 Vrhnika</t>
  </si>
  <si>
    <t>26/0691</t>
  </si>
  <si>
    <t xml:space="preserve">Polica </t>
  </si>
  <si>
    <t>POLICA 17, POLICA, 1290 Grosuplje</t>
  </si>
  <si>
    <t>26/0692</t>
  </si>
  <si>
    <t>26/0693</t>
  </si>
  <si>
    <t>LESKOVICA-STUDOR-DEBENI-SR. BRDO</t>
  </si>
  <si>
    <t>LESKOVICA-STUDOR-DEBENI-SR.BRDO</t>
  </si>
  <si>
    <t>LESKOVICA 8, LESKOVICA, 4224 Gorenja vas</t>
  </si>
  <si>
    <t>kurilnica, pipa</t>
  </si>
  <si>
    <t>26/0694</t>
  </si>
  <si>
    <t xml:space="preserve">pipa v kuhinji </t>
  </si>
  <si>
    <t>26/0695</t>
  </si>
  <si>
    <t>Trebeljevo</t>
  </si>
  <si>
    <t>x=97866, y=479331</t>
  </si>
  <si>
    <t>26/0696</t>
  </si>
  <si>
    <t>GORICA</t>
  </si>
  <si>
    <t>GORICA 4, GORICA, 9201 Puconci</t>
  </si>
  <si>
    <t>26/0697</t>
  </si>
  <si>
    <t>FRIZERSKI SALON TEA</t>
  </si>
  <si>
    <t>26/0699</t>
  </si>
  <si>
    <t>KLOPCE VRH</t>
  </si>
  <si>
    <t>KLOPCE VRH - ZAGORIC</t>
  </si>
  <si>
    <t>St. h. Klop. Vrh</t>
  </si>
  <si>
    <t>Klopce 5, 1262 Dol pri Ljubljani</t>
  </si>
  <si>
    <t>x=107027, y=476666</t>
  </si>
  <si>
    <t>St.h. Vrh 6A</t>
  </si>
  <si>
    <t>26/0701</t>
  </si>
  <si>
    <t>MALO UBELJSKO</t>
  </si>
  <si>
    <t>x=70229, y=428900</t>
  </si>
  <si>
    <t>26/0702</t>
  </si>
  <si>
    <t>SELA</t>
  </si>
  <si>
    <t>x=70241, y=417372</t>
  </si>
  <si>
    <t>26/0703</t>
  </si>
  <si>
    <t>x=125664, y=421538</t>
  </si>
  <si>
    <t>26/0704</t>
  </si>
  <si>
    <t>BOBOVO</t>
  </si>
  <si>
    <t>26/0706</t>
  </si>
  <si>
    <t>Fara 3, 1336 Kostel</t>
  </si>
  <si>
    <t>x=36872, y=491107</t>
  </si>
  <si>
    <t>26/0708</t>
  </si>
  <si>
    <t>SAJEVEC - DANE</t>
  </si>
  <si>
    <t>Sajevec 16, 1310 Ribnica</t>
  </si>
  <si>
    <t>x=66639, y=477235</t>
  </si>
  <si>
    <t>26/0709</t>
  </si>
  <si>
    <t>PODLIPOGLAV</t>
  </si>
  <si>
    <t>Podlipoglav 16, Podlipoglav, 1260 Ljubljana - Polje</t>
  </si>
  <si>
    <t>x=97008, y=471173</t>
  </si>
  <si>
    <t>26/0713</t>
  </si>
  <si>
    <t>DOM TISJE</t>
  </si>
  <si>
    <t>DSO Tisje</t>
  </si>
  <si>
    <t>x=97940, y=487927</t>
  </si>
  <si>
    <t>26/0715</t>
  </si>
  <si>
    <t>x=120223, y=443551</t>
  </si>
  <si>
    <t>26/0716</t>
  </si>
  <si>
    <t>x=116267, y=438243</t>
  </si>
  <si>
    <t>26/0718</t>
  </si>
  <si>
    <t xml:space="preserve">V.Z. Planinska vas - Planinski vrh </t>
  </si>
  <si>
    <t>Planinska vas - Planinski vrh</t>
  </si>
  <si>
    <t>PLANINSKA VAS - PLANINSKI VRH</t>
  </si>
  <si>
    <t>Podvine 11a, 3225 Planina pri Sevnici</t>
  </si>
  <si>
    <t>x=107362, y=534731</t>
  </si>
  <si>
    <t>26/0719</t>
  </si>
  <si>
    <t>x=151253, y=543572</t>
  </si>
  <si>
    <t>26/0720</t>
  </si>
  <si>
    <t>x=159703, y=575007</t>
  </si>
  <si>
    <t>26/0722</t>
  </si>
  <si>
    <t>x=105196, y=442932</t>
  </si>
  <si>
    <t>26/0723</t>
  </si>
  <si>
    <t>SLIVNICA</t>
  </si>
  <si>
    <t>GOSTILNA ZUPANC</t>
  </si>
  <si>
    <t>x=147988, y=550679</t>
  </si>
  <si>
    <t>26/0724</t>
  </si>
  <si>
    <t>x=118518, y=475008</t>
  </si>
  <si>
    <t>26/0725</t>
  </si>
  <si>
    <t>SOVODENJ</t>
  </si>
  <si>
    <t>Sovodenj 32, 4225 Sovodenj</t>
  </si>
  <si>
    <t>x=105137, y=425908</t>
  </si>
  <si>
    <t>26/0727</t>
  </si>
  <si>
    <t>BREZOVICA PRI BOROVNICI</t>
  </si>
  <si>
    <t>St. h. Brezovica 24</t>
  </si>
  <si>
    <t>Brezovica 24, 1353 Borovnica</t>
  </si>
  <si>
    <t>x=84194, y=453276</t>
  </si>
  <si>
    <t>26/0729</t>
  </si>
  <si>
    <t>Sv. Gregor</t>
  </si>
  <si>
    <t>SVETI GREGOR</t>
  </si>
  <si>
    <t>St.h. Sv. Gregor</t>
  </si>
  <si>
    <t>Grebenje 3, 1310 Ribnica</t>
  </si>
  <si>
    <t>x=72784, y=471604</t>
  </si>
  <si>
    <t>Grebenje 2</t>
  </si>
  <si>
    <t>26/0730</t>
  </si>
  <si>
    <t>x=96357, y=470891</t>
  </si>
  <si>
    <t>26/0731</t>
  </si>
  <si>
    <t>ni podatka</t>
  </si>
  <si>
    <t>x=69426, y=476492</t>
  </si>
  <si>
    <t>26/0732</t>
  </si>
  <si>
    <t>x=58634, y=508261</t>
  </si>
  <si>
    <t>26/0736</t>
  </si>
  <si>
    <t>SELO PRI MIRNI</t>
  </si>
  <si>
    <t>Selo pri Mirni, Kirm</t>
  </si>
  <si>
    <t>Selo  pri Mirni 3, 8233 Mirna</t>
  </si>
  <si>
    <t>x=92111, y=502541</t>
  </si>
  <si>
    <t>26/0737</t>
  </si>
  <si>
    <t>x=83693, y=511170</t>
  </si>
  <si>
    <t>26/0739</t>
  </si>
  <si>
    <t>Gorenji Leskovec</t>
  </si>
  <si>
    <t>Stanovanjski objekt (Dimc)</t>
  </si>
  <si>
    <t>Stranje 5, 8283 Blanca</t>
  </si>
  <si>
    <t>x=99415, y=532125</t>
  </si>
  <si>
    <t>26/0740</t>
  </si>
  <si>
    <t>x=93488, y=532661</t>
  </si>
  <si>
    <t>26/0741</t>
  </si>
  <si>
    <t>V. KAMEN</t>
  </si>
  <si>
    <t>V. Kamen 12, Senovo, 8282 Koprivnica</t>
  </si>
  <si>
    <t>x=91511, y=530946</t>
  </si>
  <si>
    <t xml:space="preserve">pipa zunaj </t>
  </si>
  <si>
    <t>26/0744</t>
  </si>
  <si>
    <t>LV CEZLAK</t>
  </si>
  <si>
    <t>CEZLAK</t>
  </si>
  <si>
    <t>LV  CEZLAK</t>
  </si>
  <si>
    <t>MINERAL,CEZLAK 14, CEZLAK, 2317 Oplotnica</t>
  </si>
  <si>
    <t>x=141554, y=534061</t>
  </si>
  <si>
    <t>26/0748</t>
  </si>
  <si>
    <t>ZABUKOVICA VAS</t>
  </si>
  <si>
    <t>x=118778, y=513266</t>
  </si>
  <si>
    <t>26/0750</t>
  </si>
  <si>
    <t>x=134037, y=397859</t>
  </si>
  <si>
    <t>26/0756</t>
  </si>
  <si>
    <t>RESNIK</t>
  </si>
  <si>
    <t>drugo sredstvo, redna dezinfekcija, dezinfekcija s kalcijevim hipokloritom</t>
  </si>
  <si>
    <t>x=143076, y=527804</t>
  </si>
  <si>
    <t>26/0758</t>
  </si>
  <si>
    <t>stanovanjski objekt Zupan</t>
  </si>
  <si>
    <t>x=140059, y=463187</t>
  </si>
  <si>
    <t>26/0759</t>
  </si>
  <si>
    <t>VO Draga</t>
  </si>
  <si>
    <t>DRAGA</t>
  </si>
  <si>
    <t>stanovanjski objekt Gaber, Draga</t>
  </si>
  <si>
    <t>x=111657, y=450733</t>
  </si>
  <si>
    <t>26/0761</t>
  </si>
  <si>
    <t>x=61482, y=506946</t>
  </si>
  <si>
    <t>26/0763</t>
  </si>
  <si>
    <t>Stanovanjski objekt (Lorber Vinko)</t>
  </si>
  <si>
    <t>x=130426, y=553636</t>
  </si>
  <si>
    <t>26/0764</t>
  </si>
  <si>
    <t>PREDGRAD - DOL</t>
  </si>
  <si>
    <t>Stari trg ob Kolpi 7, Satri trg ob Kolpi, 8342 Stari trg ob Kolpi</t>
  </si>
  <si>
    <t>x=38744, y=506386</t>
  </si>
  <si>
    <t>26/0765</t>
  </si>
  <si>
    <t>x=92860, y=497445</t>
  </si>
  <si>
    <t>26/0766</t>
  </si>
  <si>
    <t>Hotel Jakec</t>
  </si>
  <si>
    <t>Hotel  Jakec</t>
  </si>
  <si>
    <t>x=143808, y=535714</t>
  </si>
  <si>
    <t>26/0767</t>
  </si>
  <si>
    <t>Logar</t>
  </si>
  <si>
    <t>x=81256, y=439238</t>
  </si>
  <si>
    <t>26/0768</t>
  </si>
  <si>
    <t>x=99341, y=491936</t>
  </si>
  <si>
    <t>26/0769</t>
  </si>
  <si>
    <t>GABERNIK I</t>
  </si>
  <si>
    <t>Gabernik 79, 2314 Zgornja Polskava</t>
  </si>
  <si>
    <t>x=143032, y=545922</t>
  </si>
  <si>
    <t>26/0771</t>
  </si>
  <si>
    <t>x=113835, y=401725</t>
  </si>
  <si>
    <t>26/0773</t>
  </si>
  <si>
    <t>x=111523, y=401291</t>
  </si>
  <si>
    <t>26/0774</t>
  </si>
  <si>
    <t>JELENDOL</t>
  </si>
  <si>
    <t>Jelendol</t>
  </si>
  <si>
    <t>x=89224, y=522859</t>
  </si>
  <si>
    <t>26/0775</t>
  </si>
  <si>
    <t>VELIKO TINJE</t>
  </si>
  <si>
    <t>x=141243, y=538860</t>
  </si>
  <si>
    <t>26/0776</t>
  </si>
  <si>
    <t>PRIMSKOVO</t>
  </si>
  <si>
    <t>Primskovo</t>
  </si>
  <si>
    <t>x=93015, y=493738</t>
  </si>
  <si>
    <t>26/0777</t>
  </si>
  <si>
    <t>Szoks</t>
  </si>
  <si>
    <t>x=96748, y=527999</t>
  </si>
  <si>
    <t>26/0778</t>
  </si>
  <si>
    <t>MEDVEDJE BRDO</t>
  </si>
  <si>
    <t>x=91299, y=435890</t>
  </si>
  <si>
    <t>26/0779</t>
  </si>
  <si>
    <t>ZGORNJE RAVNE</t>
  </si>
  <si>
    <t>RAVNE PRI CERKNEM</t>
  </si>
  <si>
    <t>Zg. Ravne</t>
  </si>
  <si>
    <t>Ravne 9, 5282 Cerkno</t>
  </si>
  <si>
    <t>x=109297, y=419796</t>
  </si>
  <si>
    <t>pipa na vrtu</t>
  </si>
  <si>
    <t>26/0780</t>
  </si>
  <si>
    <t>NOMENJ</t>
  </si>
  <si>
    <t xml:space="preserve">Nomenj </t>
  </si>
  <si>
    <t>Nomenj 16, 4264 Bohinjska Bistrica</t>
  </si>
  <si>
    <t>x=128050, y=423727</t>
  </si>
  <si>
    <t>26/0781</t>
  </si>
  <si>
    <t>OSREDEK SV. VID</t>
  </si>
  <si>
    <t>Sv. Vid 28, 1380 Cerknica</t>
  </si>
  <si>
    <t>x=78766, y=458600</t>
  </si>
  <si>
    <t>26/0782</t>
  </si>
  <si>
    <t>x=98490, y=471322</t>
  </si>
  <si>
    <t>26/0783</t>
  </si>
  <si>
    <t>DOLNJE BREZOVO  - INPLET</t>
  </si>
  <si>
    <t>Chemcolor Sevnica</t>
  </si>
  <si>
    <t>Dolnje Brezovo 35, 8283 Blanca</t>
  </si>
  <si>
    <t>x=94626, y=528844</t>
  </si>
  <si>
    <t>26/0788</t>
  </si>
  <si>
    <t>Mali konec 1, 1290 Grosuplje</t>
  </si>
  <si>
    <t>x=95159, y=477235</t>
  </si>
  <si>
    <t>26/0789</t>
  </si>
  <si>
    <t>Cajnarje</t>
  </si>
  <si>
    <t>x=76754, y=457845</t>
  </si>
  <si>
    <t>26/0790</t>
  </si>
  <si>
    <t>x=107434, y=495355</t>
  </si>
  <si>
    <t>26/0791</t>
  </si>
  <si>
    <t>Tirna</t>
  </si>
  <si>
    <t>Planinski dom na Zasavski gori</t>
  </si>
  <si>
    <t>x=109303, y=492421</t>
  </si>
  <si>
    <t>26/0792</t>
  </si>
  <si>
    <t>KS Velika Dolina</t>
  </si>
  <si>
    <t xml:space="preserve">Brezje </t>
  </si>
  <si>
    <t>Brezje na Dolenjskem</t>
  </si>
  <si>
    <t>Brezje  b, 8261 Jesenice na Dolenjskem</t>
  </si>
  <si>
    <t>x=78196, y=551310</t>
  </si>
  <si>
    <t>Brezje 1</t>
  </si>
  <si>
    <t>26/0793</t>
  </si>
  <si>
    <t>Breg  1 c, 1434 Loka pri Zidanem Mostu</t>
  </si>
  <si>
    <t>x=100165, y=519042</t>
  </si>
  <si>
    <t>26/0794</t>
  </si>
  <si>
    <t>TISA</t>
  </si>
  <si>
    <t>Hotel Tisa</t>
  </si>
  <si>
    <t>x=150686, y=543869</t>
  </si>
  <si>
    <t>26/0795</t>
  </si>
  <si>
    <t>Petrol</t>
  </si>
  <si>
    <t>x=155577, y=496505</t>
  </si>
  <si>
    <t>26/0796</t>
  </si>
  <si>
    <t>Studor</t>
  </si>
  <si>
    <t>Studor , 4267 Srednja vas v Bohinju</t>
  </si>
  <si>
    <t>x=128450, y=416769</t>
  </si>
  <si>
    <t>26/0798</t>
  </si>
  <si>
    <t>Radulja</t>
  </si>
  <si>
    <t>Bitnja vas 7, 8231 Trebelno</t>
  </si>
  <si>
    <t>x=83900, y=509673</t>
  </si>
  <si>
    <t>26/0799</t>
  </si>
  <si>
    <t>KS Zavodnje</t>
  </si>
  <si>
    <t>Zavodnje - Vrhi</t>
  </si>
  <si>
    <t>Zavodnje - center</t>
  </si>
  <si>
    <t>x=142305, y=501524</t>
  </si>
  <si>
    <t>26/0800</t>
  </si>
  <si>
    <t>x=111333, y=513713</t>
  </si>
  <si>
    <t>26/0802</t>
  </si>
  <si>
    <t>x=127150, y=460464, z=670</t>
  </si>
  <si>
    <t>26/0803</t>
  </si>
  <si>
    <t>SORICA</t>
  </si>
  <si>
    <t>Spodnja Sorica 16, 4229 Sorica</t>
  </si>
  <si>
    <t>x=119870, y=425513</t>
  </si>
  <si>
    <t>26/0804</t>
  </si>
  <si>
    <t>ZALI LOG</t>
  </si>
  <si>
    <t>x=118614, y=431031</t>
  </si>
  <si>
    <t>26/0805</t>
  </si>
  <si>
    <t xml:space="preserve">TOPOL </t>
  </si>
  <si>
    <t>TOPOL</t>
  </si>
  <si>
    <t>Gostilna Dobnikar</t>
  </si>
  <si>
    <t>Topol pri Medvodah 1, Topol pri Medvodah, 1215 Medvode</t>
  </si>
  <si>
    <t>x=105532, y=451647</t>
  </si>
  <si>
    <t>26/0806</t>
  </si>
  <si>
    <t>VETRNO</t>
  </si>
  <si>
    <t>Objekt Rezar David</t>
  </si>
  <si>
    <t>x=133191, y=449098</t>
  </si>
  <si>
    <t>26/0807</t>
  </si>
  <si>
    <t>Stolnik - Zakal</t>
  </si>
  <si>
    <t>VODOVOD STOLNIK</t>
  </si>
  <si>
    <t>STOLNIK</t>
  </si>
  <si>
    <t>Stolnik 10a, Stolnik, 1242 Stahovica</t>
  </si>
  <si>
    <t>x=123025, y=468720</t>
  </si>
  <si>
    <t>26/0808</t>
  </si>
  <si>
    <t>x=119262, y=484070</t>
  </si>
  <si>
    <t>26/0809</t>
  </si>
  <si>
    <t>VODOVOD MOTNIK</t>
  </si>
  <si>
    <t>MOTNIK</t>
  </si>
  <si>
    <t>Motnik 8, 1221 Motnik</t>
  </si>
  <si>
    <t>x=119108, y=491466</t>
  </si>
  <si>
    <t>26/0810</t>
  </si>
  <si>
    <t>Podvrh - Zapreval</t>
  </si>
  <si>
    <t>x=113974, y=437512</t>
  </si>
  <si>
    <t>26/0811</t>
  </si>
  <si>
    <t>GORJE 2</t>
  </si>
  <si>
    <t>GORJE</t>
  </si>
  <si>
    <t>Gorje 1, Gorje, 5282 Cerkno</t>
  </si>
  <si>
    <t>x=112341, y=421225</t>
  </si>
  <si>
    <t>26/0813</t>
  </si>
  <si>
    <t>VISOKO ROGATEC</t>
  </si>
  <si>
    <t>VISOKO-ROGATEC</t>
  </si>
  <si>
    <t>Visoko 14, 1292 Ig</t>
  </si>
  <si>
    <t>x=82448, y=467425</t>
  </si>
  <si>
    <t>26/0816</t>
  </si>
  <si>
    <t>x=141739, y=528888</t>
  </si>
  <si>
    <t>26/0817</t>
  </si>
  <si>
    <t>x=123042, y=388613</t>
  </si>
  <si>
    <t>26/0819</t>
  </si>
  <si>
    <t>TINJSKA GORA 2</t>
  </si>
  <si>
    <t>x=139748, y=538905</t>
  </si>
  <si>
    <t>Sonja Verhovnik</t>
  </si>
  <si>
    <t>26/0820</t>
  </si>
  <si>
    <t>x=114230, y=506043</t>
  </si>
  <si>
    <t>26/0822</t>
  </si>
  <si>
    <t>LUKOVEC</t>
  </si>
  <si>
    <t>x=94845, y=523890</t>
  </si>
  <si>
    <t>26/0823</t>
  </si>
  <si>
    <t>x=111639, y=421811</t>
  </si>
  <si>
    <t>26/0824</t>
  </si>
  <si>
    <t>DOL PRI TREBNJEM</t>
  </si>
  <si>
    <t>Dol pri Trebnjem 8, 8210 Trebnje</t>
  </si>
  <si>
    <t>x=86876, y=502948</t>
  </si>
  <si>
    <t>26/0825</t>
  </si>
  <si>
    <t>ZLAKOVA</t>
  </si>
  <si>
    <t>Gostilna Hram Zimrajh</t>
  </si>
  <si>
    <t>x=137530, y=531090</t>
  </si>
  <si>
    <t>26/0826</t>
  </si>
  <si>
    <t>SKOMARJE</t>
  </si>
  <si>
    <t>x=141000, y=526682</t>
  </si>
  <si>
    <t>26/0827</t>
  </si>
  <si>
    <t>x=149281, y=548855</t>
  </si>
  <si>
    <t>26/0830</t>
  </si>
  <si>
    <t>LJUBINJ</t>
  </si>
  <si>
    <t>Ljubinj 40, Ljubinj, 5220 Tolmin</t>
  </si>
  <si>
    <t>x=114470, y=405569</t>
  </si>
  <si>
    <t>26/0831</t>
  </si>
  <si>
    <t>BUTAJNOVA</t>
  </si>
  <si>
    <t>Stanovanjski objekt Krek</t>
  </si>
  <si>
    <t>Butajnova 25, 1354 Horjul</t>
  </si>
  <si>
    <t>x=100662, y=440793</t>
  </si>
  <si>
    <t>26/0833</t>
  </si>
  <si>
    <t>VODOVOD GOZD</t>
  </si>
  <si>
    <t>Gozd 14, Gozd, 1242 Stahovica</t>
  </si>
  <si>
    <t>x=123510, y=474128</t>
  </si>
  <si>
    <t>26/0834</t>
  </si>
  <si>
    <t>MANDL HERMAN</t>
  </si>
  <si>
    <t>x=163667, y=543570</t>
  </si>
  <si>
    <t>26/0836</t>
  </si>
  <si>
    <t>VV Robidnica</t>
  </si>
  <si>
    <t>Janez Kokelj, Robidnica 4, 4224 Gorenja vas</t>
  </si>
  <si>
    <t>Robidnica  4, 4224 Gorenja vas</t>
  </si>
  <si>
    <t>26/0837</t>
  </si>
  <si>
    <t>Vodovod Kladje nad Blanco</t>
  </si>
  <si>
    <t>Kladje nad Blanco</t>
  </si>
  <si>
    <t>Vodohram (Vodovod Kladje nad Blanco 2B)</t>
  </si>
  <si>
    <t>Vodohram - Vodovod Kladje nad Blanco  2B, Blanca, 8290 Sevnica</t>
  </si>
  <si>
    <t>26/0839</t>
  </si>
  <si>
    <t>26/0840</t>
  </si>
  <si>
    <t>PLANINA</t>
  </si>
  <si>
    <t>PLANINA PRI CERKNEM</t>
  </si>
  <si>
    <t>PLANINA PRI CERKNEM - DELAVNICA</t>
  </si>
  <si>
    <t>PLANINA 53, 5282 Cerkno</t>
  </si>
  <si>
    <t>26/0842</t>
  </si>
  <si>
    <t>26/0843</t>
  </si>
  <si>
    <t>LOKAVEC-KOMPARI</t>
  </si>
  <si>
    <t>26/0844</t>
  </si>
  <si>
    <t>HOTEL BELLEWUE</t>
  </si>
  <si>
    <t>NA SLEMENU 35, 2208 Pohorje</t>
  </si>
  <si>
    <t>x=152574, y=544796</t>
  </si>
  <si>
    <t>26/0845</t>
  </si>
  <si>
    <t>26/0847</t>
  </si>
  <si>
    <t>26/0849</t>
  </si>
  <si>
    <t>VODOVOD DEBENEC</t>
  </si>
  <si>
    <t>DEBENEC - STAN</t>
  </si>
  <si>
    <t>DEBENEC 5</t>
  </si>
  <si>
    <t>DEBENEC 5, 8233 Mirna</t>
  </si>
  <si>
    <t>26/0850</t>
  </si>
  <si>
    <t>26/0851</t>
  </si>
  <si>
    <t>26/0852</t>
  </si>
  <si>
    <t>BELA 153, 4263 Bohinjska Bela</t>
  </si>
  <si>
    <t>26/0853</t>
  </si>
  <si>
    <t>KOPRIVNIK 2</t>
  </si>
  <si>
    <t>KOPRIVNIK</t>
  </si>
  <si>
    <t>KOPRIVNIK 59, BOHINJ, 4265 Bohinjsko jezero</t>
  </si>
  <si>
    <t>26/0855</t>
  </si>
  <si>
    <t>DOBNIKAR</t>
  </si>
  <si>
    <t>x=108944, y=453016</t>
  </si>
  <si>
    <t>26/0856</t>
  </si>
  <si>
    <t>26/0858</t>
  </si>
  <si>
    <t>Podslivnica</t>
  </si>
  <si>
    <t>filtri, dezinfekcija z natrijevim hipokloritom, dezinfekcija s klorovim dioksidom</t>
  </si>
  <si>
    <t>PODSLIVNICA 9, PODSLIVNICA, 1382 Begunje pri Cerknici</t>
  </si>
  <si>
    <t>26/0859</t>
  </si>
  <si>
    <t>26/0860</t>
  </si>
  <si>
    <t>KS Podblica</t>
  </si>
  <si>
    <t>PODBLICA</t>
  </si>
  <si>
    <t>PODBLICA 3, PODBLICA, 4201 Zgornja Besnica</t>
  </si>
  <si>
    <t>26/0861</t>
  </si>
  <si>
    <t>BREZJE PRI LIPOGLAVU</t>
  </si>
  <si>
    <t>St.h. Brez. pri Lip. 28</t>
  </si>
  <si>
    <t>Brezje pri Lipoglavu 28, Brezje pri Lipoglavu, 1260 Ljubljana - Polje</t>
  </si>
  <si>
    <t>x=95396, y=471504</t>
  </si>
  <si>
    <t>26/0863</t>
  </si>
  <si>
    <t>G. SUHADOL</t>
  </si>
  <si>
    <t>Gorenji Suhadol, Kosec Ivan</t>
  </si>
  <si>
    <t>Gorenji Suhadol 1, 8321 Brusnice</t>
  </si>
  <si>
    <t>x=72292, y=522444</t>
  </si>
  <si>
    <t>26/0864</t>
  </si>
  <si>
    <t>BEZOVJE</t>
  </si>
  <si>
    <t>x=119964, y=532702</t>
  </si>
  <si>
    <t>26/0865</t>
  </si>
  <si>
    <t>Kmetijska zadruga</t>
  </si>
  <si>
    <t>26/0866</t>
  </si>
  <si>
    <t>DOLGA GORA</t>
  </si>
  <si>
    <t>Dolga gora 15, 3232 Ponikva</t>
  </si>
  <si>
    <t>x=125788, y=538888</t>
  </si>
  <si>
    <t>26/0867</t>
  </si>
  <si>
    <t>x=101894, y=553339</t>
  </si>
  <si>
    <t>26/0868</t>
  </si>
  <si>
    <t>x=117847, y=480772</t>
  </si>
  <si>
    <t>26/0869</t>
  </si>
  <si>
    <t>x=130735, y=384009</t>
  </si>
  <si>
    <t>26/0870</t>
  </si>
  <si>
    <t>OKROG</t>
  </si>
  <si>
    <t>Okrog 10, 3232 Ponikva</t>
  </si>
  <si>
    <t>x=123483, y=536302</t>
  </si>
  <si>
    <t>26/0871</t>
  </si>
  <si>
    <t>Zagorje ob Savi</t>
  </si>
  <si>
    <t>x=111310, y=491088</t>
  </si>
  <si>
    <t>26/0872</t>
  </si>
  <si>
    <t>Vinje 5, 1262 Dol pri Ljubljani</t>
  </si>
  <si>
    <t>x=106857, y=474870</t>
  </si>
  <si>
    <t>26/0873</t>
  </si>
  <si>
    <t>BELCA</t>
  </si>
  <si>
    <t>stanovanjski objekt Kemperle Belca</t>
  </si>
  <si>
    <t>Belca 24, Belca, 4281 Mojstrana</t>
  </si>
  <si>
    <t>x=148574, y=416647</t>
  </si>
  <si>
    <t>26/0874</t>
  </si>
  <si>
    <t>BUKOVICA</t>
  </si>
  <si>
    <t>Bukovica 21, Bukovica, 4227 Selca</t>
  </si>
  <si>
    <t>x=117459, y=442067</t>
  </si>
  <si>
    <t>26/0875</t>
  </si>
  <si>
    <t>PEVNO</t>
  </si>
  <si>
    <t>x=116416, y=446403</t>
  </si>
  <si>
    <t>26/0878</t>
  </si>
  <si>
    <t>PIKOVNIK</t>
  </si>
  <si>
    <t>St. h. Pikov.</t>
  </si>
  <si>
    <t>Gorenje otave 2, Gornje Ozave, 1380 Cerknica</t>
  </si>
  <si>
    <t>x=78108, y=455128</t>
  </si>
  <si>
    <t>26/0879</t>
  </si>
  <si>
    <t>PODREBER</t>
  </si>
  <si>
    <t>stanovanjski objekt Dolinar, Podreber</t>
  </si>
  <si>
    <t>Podreber 17, Podreber, 1355 Polhov Gradec</t>
  </si>
  <si>
    <t>x=102046, y=448717</t>
  </si>
  <si>
    <t>26/0880</t>
  </si>
  <si>
    <t>MENINA KAMNIK</t>
  </si>
  <si>
    <t>Menina Kamnik - kuhinja</t>
  </si>
  <si>
    <t>x=116292, y=469234</t>
  </si>
  <si>
    <t>26/0881</t>
  </si>
  <si>
    <t>STRUGE</t>
  </si>
  <si>
    <t>Gostilna Struge</t>
  </si>
  <si>
    <t>x=135734, y=482894</t>
  </si>
  <si>
    <t>26/0882</t>
  </si>
  <si>
    <t>x=105627, y=526968</t>
  </si>
  <si>
    <t>26/0883</t>
  </si>
  <si>
    <t>MNZ</t>
  </si>
  <si>
    <t>GOTENICA</t>
  </si>
  <si>
    <t>Vadbeni center Gotenica</t>
  </si>
  <si>
    <t>x=51967, y=480674</t>
  </si>
  <si>
    <t>26/0885</t>
  </si>
  <si>
    <t>x=123405, y=496501</t>
  </si>
  <si>
    <t>26/0886</t>
  </si>
  <si>
    <t>GORENJE</t>
  </si>
  <si>
    <t>x=139972, y=530529</t>
  </si>
  <si>
    <t>26/0888</t>
  </si>
  <si>
    <t>BREZJE PRI TREBELNEM</t>
  </si>
  <si>
    <t>Brezje pri Trebelnem, Grivec</t>
  </si>
  <si>
    <t>Brezje pri Trebelnem 2, 8231 Trebelno</t>
  </si>
  <si>
    <t>x=82014, y=510393</t>
  </si>
  <si>
    <t>26/0889</t>
  </si>
  <si>
    <t>Kostanjek, Debelak</t>
  </si>
  <si>
    <t>Kostanjek 9, 8272 Zdole</t>
  </si>
  <si>
    <t>x=95427, y=543459</t>
  </si>
  <si>
    <t>26/0890</t>
  </si>
  <si>
    <t>Presladol</t>
  </si>
  <si>
    <t>PRESLADOL I.- KOZOLE</t>
  </si>
  <si>
    <t>PRESLADOL I.- KOZOLE #2</t>
  </si>
  <si>
    <t>Presadol, Jazbec</t>
  </si>
  <si>
    <t>Presadol 53, 8280 Brestanica</t>
  </si>
  <si>
    <t>x=97037, y=534523</t>
  </si>
  <si>
    <t>26/0891</t>
  </si>
  <si>
    <t>ZAGABER</t>
  </si>
  <si>
    <t>x=118443, y=527353</t>
  </si>
  <si>
    <t>26/0894</t>
  </si>
  <si>
    <t>Velika hosta</t>
  </si>
  <si>
    <t>VELIKA HOSTA</t>
  </si>
  <si>
    <t>x=120005, y=511719</t>
  </si>
  <si>
    <t>26/0896</t>
  </si>
  <si>
    <t>LOKAVEC-SLOKARJI</t>
  </si>
  <si>
    <t>x=86253, y=414357</t>
  </si>
  <si>
    <t>26/0901</t>
  </si>
  <si>
    <t>KRAJEVNA SKUPNOST POLENE</t>
  </si>
  <si>
    <t>POLENE</t>
  </si>
  <si>
    <t>Javna izlivka</t>
  </si>
  <si>
    <t>3210 Slovenske Konjice</t>
  </si>
  <si>
    <t>x=133540, y=530204</t>
  </si>
  <si>
    <t>26/0903</t>
  </si>
  <si>
    <t>x=110207, y=395997</t>
  </si>
  <si>
    <t>26/0905</t>
  </si>
  <si>
    <t>FRANC ARNOLJ</t>
  </si>
  <si>
    <t>Stanovanjski objekt Kokalj</t>
  </si>
  <si>
    <t>x=110350, y=436852</t>
  </si>
  <si>
    <t>26/0907</t>
  </si>
  <si>
    <t>KS Gabrovka</t>
  </si>
  <si>
    <t>BEZOVO</t>
  </si>
  <si>
    <t>BREZOVO</t>
  </si>
  <si>
    <t>Stanovanjski objekt (Brane Logar)</t>
  </si>
  <si>
    <t>Brezovo 17, 1274 Gabrovka</t>
  </si>
  <si>
    <t>x=96155, y=499942</t>
  </si>
  <si>
    <t>26/0912</t>
  </si>
  <si>
    <t>SVINO</t>
  </si>
  <si>
    <t>Svino 25, 5222 Kobarid</t>
  </si>
  <si>
    <t>x=122706, y=389800</t>
  </si>
  <si>
    <t>26/0913</t>
  </si>
  <si>
    <t>TRENTA</t>
  </si>
  <si>
    <t>x=138134, y=404310</t>
  </si>
  <si>
    <t>26/0914</t>
  </si>
  <si>
    <t>x=135259, y=445949</t>
  </si>
  <si>
    <t>26/0915</t>
  </si>
  <si>
    <t>Cirje - Ledina</t>
  </si>
  <si>
    <t>Ledina (Sevnica)</t>
  </si>
  <si>
    <t>Jazbec</t>
  </si>
  <si>
    <t>Ledina 79, 8290 Sevnica</t>
  </si>
  <si>
    <t>x=99886, y=522108</t>
  </si>
  <si>
    <t>26/0918</t>
  </si>
  <si>
    <t>Zahom</t>
  </si>
  <si>
    <t>ZAHOM</t>
  </si>
  <si>
    <t>Matke 49, 3312 Prebold</t>
  </si>
  <si>
    <t>x=118706, y=509911</t>
  </si>
  <si>
    <t>26/0920</t>
  </si>
  <si>
    <t>x=112120, y=501380</t>
  </si>
  <si>
    <t>26/0921</t>
  </si>
  <si>
    <t>Sinji vrh</t>
  </si>
  <si>
    <t>filtri, koagulacija, flokulacija, dezinfekcija z natrijevim hipokloritom</t>
  </si>
  <si>
    <t>Sinji Vrh 5, 8344 Vinica</t>
  </si>
  <si>
    <t>x=34096, y=513326</t>
  </si>
  <si>
    <t>26/0922</t>
  </si>
  <si>
    <t>Ponikve</t>
  </si>
  <si>
    <t>Ponikve 5, 8261 Jesenice na Dolenjskem</t>
  </si>
  <si>
    <t>x=78499, y=550333</t>
  </si>
  <si>
    <t>26/0923</t>
  </si>
  <si>
    <t>x=95189, y=533723</t>
  </si>
  <si>
    <t>26/0924</t>
  </si>
  <si>
    <t>VV ZGORNJE JESENOVO</t>
  </si>
  <si>
    <t>Zgornje Jesenovo</t>
  </si>
  <si>
    <t>st. hisa</t>
  </si>
  <si>
    <t>Zg. Jesenovo 47 a, 1410 Zagorje ob Savi</t>
  </si>
  <si>
    <t>x=115347, y=497896</t>
  </si>
  <si>
    <t>26/0925</t>
  </si>
  <si>
    <t>3312 Prebold</t>
  </si>
  <si>
    <t>x=121468, y=509893</t>
  </si>
  <si>
    <t>26/0926</t>
  </si>
  <si>
    <t>Vrhi</t>
  </si>
  <si>
    <t>stan. hisa Zavodnje</t>
  </si>
  <si>
    <t>x=143160, y=500122</t>
  </si>
  <si>
    <t>26/0928</t>
  </si>
  <si>
    <t>Trnovec - Govejek</t>
  </si>
  <si>
    <t>trnovec 15, 1215 Medvode</t>
  </si>
  <si>
    <t>x=106677, y=450317</t>
  </si>
  <si>
    <t>26/0929</t>
  </si>
  <si>
    <t>Dolanc</t>
  </si>
  <si>
    <t>x=106122, y=499139</t>
  </si>
  <si>
    <t>26/0930</t>
  </si>
  <si>
    <t>Gostilna pri Janezu</t>
  </si>
  <si>
    <t>x=100485, y=482077</t>
  </si>
  <si>
    <t>26/0931</t>
  </si>
  <si>
    <t>x=138739, y=529101</t>
  </si>
  <si>
    <t>26/0932</t>
  </si>
  <si>
    <t>Zabrdje Praprotnica</t>
  </si>
  <si>
    <t>Praprotnica  4, Praprotnica, 8233 Mirna</t>
  </si>
  <si>
    <t>x=87893, y=505911</t>
  </si>
  <si>
    <t>Praprotnica 1</t>
  </si>
  <si>
    <t>26/0933</t>
  </si>
  <si>
    <t>PODLONK</t>
  </si>
  <si>
    <t>Objekt Potes d.o.o., Podlonk</t>
  </si>
  <si>
    <t>x=121418, y=432766</t>
  </si>
  <si>
    <t>26/0934</t>
  </si>
  <si>
    <t>x=102325, y=430893</t>
  </si>
  <si>
    <t>26/0935</t>
  </si>
  <si>
    <t>Agrarna skupnost</t>
  </si>
  <si>
    <t>Planinski dom na Uskovnici</t>
  </si>
  <si>
    <t>Srednje vas v Bohinju 137, 4267 Srednja vas v Bohinju</t>
  </si>
  <si>
    <t>x=131289, y=416387</t>
  </si>
  <si>
    <t>26/0939</t>
  </si>
  <si>
    <t>DELNICE - PODPREVAL</t>
  </si>
  <si>
    <t>x=112501, y=438052</t>
  </si>
  <si>
    <t>kopalnica, pipa</t>
  </si>
  <si>
    <t>26/0940</t>
  </si>
  <si>
    <t>x=134826, y=442525</t>
  </si>
  <si>
    <t>26/0943</t>
  </si>
  <si>
    <t>Zemljemerska 7, Ljubljana - Poljane, 1000 Ljubljana</t>
  </si>
  <si>
    <t>x=100445, y=463008</t>
  </si>
  <si>
    <t>26/0945</t>
  </si>
  <si>
    <t>Vrtec Hansa Christiana Andersena, enota Marjetica</t>
  </si>
  <si>
    <t>x=103532, y=459887</t>
  </si>
  <si>
    <t>26/0948</t>
  </si>
  <si>
    <t>x=102425, y=462622</t>
  </si>
  <si>
    <t>26/0950</t>
  </si>
  <si>
    <t>x=104378, y=462967</t>
  </si>
  <si>
    <t>26/0953</t>
  </si>
  <si>
    <t>LEVPA</t>
  </si>
  <si>
    <t>Levpa 24, Levpa, 5214 Kal nad Kanalom</t>
  </si>
  <si>
    <t>pipa zunaj</t>
  </si>
  <si>
    <t>26/0954</t>
  </si>
  <si>
    <t>KRAJEVNA SKUPNOST SMOLDNO</t>
  </si>
  <si>
    <t>VODOVODNI SISTEM SMOLDNO</t>
  </si>
  <si>
    <t>MLEKARNA SMOLDNO</t>
  </si>
  <si>
    <t>26/0955</t>
  </si>
  <si>
    <t>LIG</t>
  </si>
  <si>
    <t>LIG 23, 5213 Kanal</t>
  </si>
  <si>
    <t>26/0958</t>
  </si>
  <si>
    <t>x=126501, y=490759</t>
  </si>
  <si>
    <t>26/0960</t>
  </si>
  <si>
    <t>26/0961</t>
  </si>
  <si>
    <t>G. Laknice</t>
  </si>
  <si>
    <t>G. LAKNICE</t>
  </si>
  <si>
    <t>GORENJE LAKNICE (KOS)</t>
  </si>
  <si>
    <t>GORENJE LAKNICE 41, 8230 Mokronog</t>
  </si>
  <si>
    <t>26/0963</t>
  </si>
  <si>
    <t>26/0964</t>
  </si>
  <si>
    <t>LESMONT PLUS D.O.O.</t>
  </si>
  <si>
    <t>26/0965</t>
  </si>
  <si>
    <t>26/0966</t>
  </si>
  <si>
    <t>RON</t>
  </si>
  <si>
    <t>Spodnja Sorica 20A, Spodnja Sorica, 4229 Sorica</t>
  </si>
  <si>
    <t>26/0967</t>
  </si>
  <si>
    <t>RAKULK</t>
  </si>
  <si>
    <t>pralnica, pipa</t>
  </si>
  <si>
    <t>26/0968</t>
  </si>
  <si>
    <t>KREK</t>
  </si>
  <si>
    <t xml:space="preserve">BRODE </t>
  </si>
  <si>
    <t>DNEVNI BAR ABS</t>
  </si>
  <si>
    <t>26/0969</t>
  </si>
  <si>
    <t>LOM-ZAKOBILJEK</t>
  </si>
  <si>
    <t>LOM - ZAKOBILJEK</t>
  </si>
  <si>
    <t>26/0970</t>
  </si>
  <si>
    <t>26/0971</t>
  </si>
  <si>
    <t>BREZOVICA - VIMOLJ</t>
  </si>
  <si>
    <t>26/0972</t>
  </si>
  <si>
    <t>GORA</t>
  </si>
  <si>
    <t>26/0973</t>
  </si>
  <si>
    <t>Smrekovina</t>
  </si>
  <si>
    <t>MARIJA REKA 91, MARIJA REKA, 1420 Trbovlje</t>
  </si>
  <si>
    <t>26/0974</t>
  </si>
  <si>
    <t>26/0975</t>
  </si>
  <si>
    <t>NEMILJE</t>
  </si>
  <si>
    <t>GOSTILNA RAZPOKE NEMILJE</t>
  </si>
  <si>
    <t>NEMILJE 9, NEMILJE, 4201 Zgornja Besnica</t>
  </si>
  <si>
    <t>26/0976</t>
  </si>
  <si>
    <t>26/0978</t>
  </si>
  <si>
    <t>OBRNE</t>
  </si>
  <si>
    <t>Obrne 1, Obrne, 4263 Bohinjska Bela</t>
  </si>
  <si>
    <t>x=131970, y=427886</t>
  </si>
  <si>
    <t>26/0979</t>
  </si>
  <si>
    <t>x=104518, y=513950</t>
  </si>
  <si>
    <t>26/0980</t>
  </si>
  <si>
    <t>KOPRIVNIK_</t>
  </si>
  <si>
    <t>x=50926, y=502752</t>
  </si>
  <si>
    <t>26/0981</t>
  </si>
  <si>
    <t>TRAVA - SREDNJA VAS</t>
  </si>
  <si>
    <t>Trava 23</t>
  </si>
  <si>
    <t>x=51049, y=474762</t>
  </si>
  <si>
    <t>26/0982</t>
  </si>
  <si>
    <t>Crngrob</t>
  </si>
  <si>
    <t>CRNGROB</t>
  </si>
  <si>
    <t>26/0983</t>
  </si>
  <si>
    <t>Ogrevanje Starman</t>
  </si>
  <si>
    <t>GABRK</t>
  </si>
  <si>
    <t>stanovanjski objekt Pustovrh, Gabrk</t>
  </si>
  <si>
    <t>x=110668, y=442142</t>
  </si>
  <si>
    <t>26/0986</t>
  </si>
  <si>
    <t>x=84793, y=453133</t>
  </si>
  <si>
    <t>26/0987</t>
  </si>
  <si>
    <t>x=82465, y=450263</t>
  </si>
  <si>
    <t>26/0988</t>
  </si>
  <si>
    <t>x=84908, y=453558</t>
  </si>
  <si>
    <t>26/0989</t>
  </si>
  <si>
    <t>UNIOR d.d. - Program Turizem</t>
  </si>
  <si>
    <t>HOTEL PLANJA ROGLA</t>
  </si>
  <si>
    <t>Hotel Planja - kuhinja hotela</t>
  </si>
  <si>
    <t>x=145460, y=526014</t>
  </si>
  <si>
    <t>26/0990</t>
  </si>
  <si>
    <t>Gostilna Gobec</t>
  </si>
  <si>
    <t>x=117496, y=525743</t>
  </si>
  <si>
    <t>26/0995</t>
  </si>
  <si>
    <t>KRSINJI VRH</t>
  </si>
  <si>
    <t>x=88446, y=517825</t>
  </si>
  <si>
    <t>26/0999</t>
  </si>
  <si>
    <t>Vodovod DIMNK</t>
  </si>
  <si>
    <t>DIMNK TRENTA</t>
  </si>
  <si>
    <t>x=137588, y=403650</t>
  </si>
  <si>
    <t>26/1000</t>
  </si>
  <si>
    <t>MLEKARNA PLANIKA</t>
  </si>
  <si>
    <t>Mlekarna Planika</t>
  </si>
  <si>
    <t>x=123346, y=391239</t>
  </si>
  <si>
    <t>26/1002</t>
  </si>
  <si>
    <t>x=99319, y=483845</t>
  </si>
  <si>
    <t>26/1003</t>
  </si>
  <si>
    <t>OSREDEK PRI DOBROVI</t>
  </si>
  <si>
    <t>Stan. objekt Kralj</t>
  </si>
  <si>
    <t>Osredek pri Dobrovi 38, 1356 Dobrova</t>
  </si>
  <si>
    <t>x=105091, y=451652</t>
  </si>
  <si>
    <t>26/1004</t>
  </si>
  <si>
    <t>ZG. RADOVNA</t>
  </si>
  <si>
    <t>Zg. Radovna 20, Zg. Radovna, 4281 Mojstrana</t>
  </si>
  <si>
    <t>x=143635, y=419898</t>
  </si>
  <si>
    <t>26/1005</t>
  </si>
  <si>
    <t>x=133530, y=386393</t>
  </si>
  <si>
    <t>26/1006</t>
  </si>
  <si>
    <t>Vine</t>
  </si>
  <si>
    <t>VINE</t>
  </si>
  <si>
    <t xml:space="preserve">VINE </t>
  </si>
  <si>
    <t>20, Lemberg, 3203 Nova Cerkev</t>
  </si>
  <si>
    <t>x=130916, y=519230</t>
  </si>
  <si>
    <t>26/1007</t>
  </si>
  <si>
    <t>Landek</t>
  </si>
  <si>
    <t>LANDEK</t>
  </si>
  <si>
    <t>Landek 9, 3212 Vojnik</t>
  </si>
  <si>
    <t>x=132372, y=519719</t>
  </si>
  <si>
    <t>26/1008</t>
  </si>
  <si>
    <t>KAPLANOVO</t>
  </si>
  <si>
    <t>x=75811, y=469133</t>
  </si>
  <si>
    <t>26/1009</t>
  </si>
  <si>
    <t>x=71620, y=473298</t>
  </si>
  <si>
    <t>26/1010</t>
  </si>
  <si>
    <t>Skrovnik</t>
  </si>
  <si>
    <t>x=90792, y=513414</t>
  </si>
  <si>
    <t>26/1011</t>
  </si>
  <si>
    <t>Kalan</t>
  </si>
  <si>
    <t>x=117314, y=444440</t>
  </si>
  <si>
    <t>26/1012</t>
  </si>
  <si>
    <t>JAVOR VAS</t>
  </si>
  <si>
    <t>Javor 15</t>
  </si>
  <si>
    <t>Javor 15, 1260 Ljubljana - Polje</t>
  </si>
  <si>
    <t>x=97437, y=475505</t>
  </si>
  <si>
    <t>26/1013</t>
  </si>
  <si>
    <t>x=111227, y=488243</t>
  </si>
  <si>
    <t>26/1014</t>
  </si>
  <si>
    <t>x=93547, y=490737</t>
  </si>
  <si>
    <t>26/1015</t>
  </si>
  <si>
    <t>Spodnje Krnice</t>
  </si>
  <si>
    <t>Krnice 15A, Krnice, 1430 Hrastnik</t>
  </si>
  <si>
    <t>x=108017, y=509077</t>
  </si>
  <si>
    <t>26/1016</t>
  </si>
  <si>
    <t>TIRNA II</t>
  </si>
  <si>
    <t>Zdravko Molka</t>
  </si>
  <si>
    <t>Tirna  23, 1282 Sava</t>
  </si>
  <si>
    <t>x=106710, y=493290</t>
  </si>
  <si>
    <t>26/1018</t>
  </si>
  <si>
    <t>BREZJE - Zagorje</t>
  </si>
  <si>
    <t>Rado Pirnat</t>
  </si>
  <si>
    <t>x=114975, y=494535</t>
  </si>
  <si>
    <t>26/1019</t>
  </si>
  <si>
    <t>x=95601, y=550533</t>
  </si>
  <si>
    <t>26/1021</t>
  </si>
  <si>
    <t>KURJA VAS</t>
  </si>
  <si>
    <t>Tominc</t>
  </si>
  <si>
    <t>x=99651, y=440155</t>
  </si>
  <si>
    <t>26/1022</t>
  </si>
  <si>
    <t>Sr. Vrh - Rovt</t>
  </si>
  <si>
    <t>Sr. vrh - Rovt</t>
  </si>
  <si>
    <t>Mrzlikar</t>
  </si>
  <si>
    <t>Srednji vrh 10, 1355 Polhov Gradec</t>
  </si>
  <si>
    <t>x=103835, y=441559</t>
  </si>
  <si>
    <t>Srednji vrh 21a</t>
  </si>
  <si>
    <t>26/1023</t>
  </si>
  <si>
    <t>Mala Goba</t>
  </si>
  <si>
    <t>Odlazek</t>
  </si>
  <si>
    <t>Mala Goba 6, 1273 Dole pri Litiji</t>
  </si>
  <si>
    <t>x=99464, y=498817</t>
  </si>
  <si>
    <t>26/1024</t>
  </si>
  <si>
    <t>SPODNJE DANJE</t>
  </si>
  <si>
    <t xml:space="preserve">SPODNJE DANJE </t>
  </si>
  <si>
    <t>x=120841, y=426674</t>
  </si>
  <si>
    <t>26/1025</t>
  </si>
  <si>
    <t>Zasebni vodovod Ernest Pinter Zabukovica</t>
  </si>
  <si>
    <t>Podbukovica</t>
  </si>
  <si>
    <t>Pipa na pomivalnem koritu v kuhinji</t>
  </si>
  <si>
    <t>x=119153, y=512906</t>
  </si>
  <si>
    <t>26/1026</t>
  </si>
  <si>
    <t>x=119117, y=478912</t>
  </si>
  <si>
    <t>26/1027</t>
  </si>
  <si>
    <t>VODOVOD RAKITOVEC</t>
  </si>
  <si>
    <t>RAKITOVEC</t>
  </si>
  <si>
    <t>Veliki Rakitovec 3, Veliki Rakitovec, 1223 Blagovica</t>
  </si>
  <si>
    <t>x=117302, y=483453</t>
  </si>
  <si>
    <t>26/1028</t>
  </si>
  <si>
    <t>x=101467, y=432072</t>
  </si>
  <si>
    <t>26/1031</t>
  </si>
  <si>
    <t>x=105512, y=430472</t>
  </si>
  <si>
    <t>26/1032</t>
  </si>
  <si>
    <t>KS Spodnji Log</t>
  </si>
  <si>
    <t>SPODNJI LOG 2</t>
  </si>
  <si>
    <t>SPODNJI LOG</t>
  </si>
  <si>
    <t>Spodnji Log 26, Spodnji Log, 1282 Sava</t>
  </si>
  <si>
    <t>x=104383, y=491912</t>
  </si>
  <si>
    <t>26/1033</t>
  </si>
  <si>
    <t>x=121249, y=437254</t>
  </si>
  <si>
    <t>26/1034</t>
  </si>
  <si>
    <t>BELO</t>
  </si>
  <si>
    <t>JAKA FĂśRST S.P.</t>
  </si>
  <si>
    <t>BELO 8, 1215 Medvode</t>
  </si>
  <si>
    <t>26/1035</t>
  </si>
  <si>
    <t>x=78067, y=467655, z=499</t>
  </si>
  <si>
    <t>26/1036</t>
  </si>
  <si>
    <t>PLEST LOGARSKA DOLINA</t>
  </si>
  <si>
    <t>LOGARSKA DOLINA</t>
  </si>
  <si>
    <t>x=139403, y=472020</t>
  </si>
  <si>
    <t>26/1038</t>
  </si>
  <si>
    <t>PRILESJE</t>
  </si>
  <si>
    <t>PRILESJE 7, 5210 Deskle</t>
  </si>
  <si>
    <t>x=99853, y=391649</t>
  </si>
  <si>
    <t>26/1039</t>
  </si>
  <si>
    <t>PLANICA</t>
  </si>
  <si>
    <t>KMETIJA ODPRTIH VRAT HRIBERNIK</t>
  </si>
  <si>
    <t>PLANICA 2, PLANICA, 4000 Kranj</t>
  </si>
  <si>
    <t>26/1041</t>
  </si>
  <si>
    <t>Vodovod Trojane</t>
  </si>
  <si>
    <t>Trojane</t>
  </si>
  <si>
    <t>TRGOVINA ANDREJ</t>
  </si>
  <si>
    <t>TROJANE 6, 1222 Trojane</t>
  </si>
  <si>
    <t>26/1042</t>
  </si>
  <si>
    <t>GOROPEKE</t>
  </si>
  <si>
    <t>26/1043</t>
  </si>
  <si>
    <t>ROVE - TESEN</t>
  </si>
  <si>
    <t>ROVE 24A, ROVE, 1410 Zagorje ob Savi</t>
  </si>
  <si>
    <t>26/1045</t>
  </si>
  <si>
    <t>VIDRGA</t>
  </si>
  <si>
    <t>STRIPS</t>
  </si>
  <si>
    <t>26/1046</t>
  </si>
  <si>
    <t>DOBRLJEVO</t>
  </si>
  <si>
    <t>Dobrljevo</t>
  </si>
  <si>
    <t>26/1047</t>
  </si>
  <si>
    <t>SPODNJE JESENOVO</t>
  </si>
  <si>
    <t>Spodnje Jesenovo, Spodnje Znojile</t>
  </si>
  <si>
    <t>26/1048</t>
  </si>
  <si>
    <t>LEDINICA</t>
  </si>
  <si>
    <t>26/1049</t>
  </si>
  <si>
    <t>VZ PRAPROTNO II Z.O.O.</t>
  </si>
  <si>
    <t xml:space="preserve">PRAPROTNO </t>
  </si>
  <si>
    <t>PRAPROTNO 1, PRAPROTNO, 4227 Selca</t>
  </si>
  <si>
    <t>26/1052</t>
  </si>
  <si>
    <t>SNOVIK 3, SNOVIK, 1219 Laze v Tuhinju</t>
  </si>
  <si>
    <t>26/1053</t>
  </si>
  <si>
    <t>KUPLJENIK</t>
  </si>
  <si>
    <t>KUPLJENIK 15, KUPLJENIK, 4263 Bohinjska Bela</t>
  </si>
  <si>
    <t>26/1054</t>
  </si>
  <si>
    <t>GOLO BRDO</t>
  </si>
  <si>
    <t>GOLO BRDO 90, 1215 Medvode</t>
  </si>
  <si>
    <t>x=107540, y=455169</t>
  </si>
  <si>
    <t>26/1059</t>
  </si>
  <si>
    <t>Poljska ulica  2, Bakovci, 9000 Murska Sobota</t>
  </si>
  <si>
    <t>x=164315, y=588358</t>
  </si>
  <si>
    <t>26/1061</t>
  </si>
  <si>
    <t>Dom upokojencev Vrhn.</t>
  </si>
  <si>
    <t>Idrijska c. 13, 1360 Vrhnika</t>
  </si>
  <si>
    <t>x=91294, y=445245</t>
  </si>
  <si>
    <t>26/1062</t>
  </si>
  <si>
    <t>26/1063</t>
  </si>
  <si>
    <t>VVO Borovnica</t>
  </si>
  <si>
    <t>Paplerjeva ul. 5, Borovnica, 1360 Vrhnika</t>
  </si>
  <si>
    <t>x=86082, y=451178</t>
  </si>
  <si>
    <t>26/1064</t>
  </si>
  <si>
    <t>VRTEC ROZMANOVA</t>
  </si>
  <si>
    <t>x=44564, y=400624</t>
  </si>
  <si>
    <t>26/1065</t>
  </si>
  <si>
    <t>VRTEC PRISOJE</t>
  </si>
  <si>
    <t>x=40027, y=400540</t>
  </si>
  <si>
    <t>26/1069</t>
  </si>
  <si>
    <t>HOTEL PIRAN</t>
  </si>
  <si>
    <t>x=43619, y=388457</t>
  </si>
  <si>
    <t>26/1075</t>
  </si>
  <si>
    <t>Oblakova 5, 3000 Celje</t>
  </si>
  <si>
    <t>x=121202, y=520621</t>
  </si>
  <si>
    <t>26/1076</t>
  </si>
  <si>
    <t>Vegova 1, 3000 Celje</t>
  </si>
  <si>
    <t>x=119064, y=520555</t>
  </si>
  <si>
    <t>26/1077</t>
  </si>
  <si>
    <t>Konovska cesta 21, 3320 Velenje</t>
  </si>
  <si>
    <t>x=136148, y=509735</t>
  </si>
  <si>
    <t>26/1083</t>
  </si>
  <si>
    <t>Seidlova cesta 40, 8000 Novo mesto</t>
  </si>
  <si>
    <t>x=74217, y=513862</t>
  </si>
  <si>
    <t>26/1084</t>
  </si>
  <si>
    <t>Novo mesto, NLZOH</t>
  </si>
  <si>
    <t>Mej vrti 5, 8000 Novo mesto</t>
  </si>
  <si>
    <t>x=73168, y=513394</t>
  </si>
  <si>
    <t>26/1086</t>
  </si>
  <si>
    <t>Mali Slatnik 7, 8000 Novo mesto</t>
  </si>
  <si>
    <t>x=73896, y=516320</t>
  </si>
  <si>
    <t>26/1087</t>
  </si>
  <si>
    <t>Podgrad 2, 8000 Novo mesto</t>
  </si>
  <si>
    <t>x=65715, y=516127</t>
  </si>
  <si>
    <t>26/1088</t>
  </si>
  <si>
    <t>x=71035, y=506136</t>
  </si>
  <si>
    <t>26/1089</t>
  </si>
  <si>
    <t>POSTOJNA - PIVKA</t>
  </si>
  <si>
    <t>Osrednji del VS Postojna-Pivka</t>
  </si>
  <si>
    <t>VRTEC POSTOJNA</t>
  </si>
  <si>
    <t>x=70239, y=439435</t>
  </si>
  <si>
    <t>26/1090</t>
  </si>
  <si>
    <t>VRTEC PIVKA</t>
  </si>
  <si>
    <t>POT NA ORLEK 2, 6257 Pivka</t>
  </si>
  <si>
    <t>x=60160, y=437704</t>
  </si>
  <si>
    <t>26/1093</t>
  </si>
  <si>
    <t>x=133801, y=436819</t>
  </si>
  <si>
    <t>26/1095</t>
  </si>
  <si>
    <t>ZAJETJE OTOK</t>
  </si>
  <si>
    <t>redna dezinfekcija, dezinfekcija s plinskim klorom, dezinfekcija z ozonom</t>
  </si>
  <si>
    <t>x=149560, y=583052</t>
  </si>
  <si>
    <t>26/1099</t>
  </si>
  <si>
    <t>x=144018, y=428278</t>
  </si>
  <si>
    <t>26/1100</t>
  </si>
  <si>
    <t>x=142972, y=431043</t>
  </si>
  <si>
    <t>26/1102</t>
  </si>
  <si>
    <t>x=119752, y=470140</t>
  </si>
  <si>
    <t>26/1104</t>
  </si>
  <si>
    <t>Ljubljanska cesta 16 A, Kamnik - Duplica, 1241 Kamnik</t>
  </si>
  <si>
    <t>x=118100, y=469190</t>
  </si>
  <si>
    <t>26/1107</t>
  </si>
  <si>
    <t>Glavna cesta 47, 4202 Naklo</t>
  </si>
  <si>
    <t>x=125637, y=447876</t>
  </si>
  <si>
    <t>26/1108</t>
  </si>
  <si>
    <t>x=117270, y=448870</t>
  </si>
  <si>
    <t>26/1109</t>
  </si>
  <si>
    <t>26/1110</t>
  </si>
  <si>
    <t>x=121236, y=449950</t>
  </si>
  <si>
    <t>26/1111</t>
  </si>
  <si>
    <t>x=113750, y=467035</t>
  </si>
  <si>
    <t>26/1112</t>
  </si>
  <si>
    <t>x=110679, y=469180</t>
  </si>
  <si>
    <t>26/1113</t>
  </si>
  <si>
    <t>x=106857, y=468981</t>
  </si>
  <si>
    <t>26/1114</t>
  </si>
  <si>
    <t>x=111805, y=471269</t>
  </si>
  <si>
    <t>26/1115</t>
  </si>
  <si>
    <t>x=108413, y=469345</t>
  </si>
  <si>
    <t>26/1117</t>
  </si>
  <si>
    <t>Vrtec Najdihojca</t>
  </si>
  <si>
    <t>x=114188, y=446135</t>
  </si>
  <si>
    <t>26/1118</t>
  </si>
  <si>
    <t>x=122884, y=455562</t>
  </si>
  <si>
    <t>26/1119</t>
  </si>
  <si>
    <t>x=119310, y=455602</t>
  </si>
  <si>
    <t>26/1120</t>
  </si>
  <si>
    <t>x=123379, y=513069</t>
  </si>
  <si>
    <t>26/1121</t>
  </si>
  <si>
    <t>x=122303, y=514787</t>
  </si>
  <si>
    <t>26/1125</t>
  </si>
  <si>
    <t>Spodnja Hajdina 24, SP. HAJDINA, 2288 Hajdina</t>
  </si>
  <si>
    <t>x=141684, y=564519</t>
  </si>
  <si>
    <t>26/1127</t>
  </si>
  <si>
    <t>Vrtec Mestinje</t>
  </si>
  <si>
    <t>Mestinje 43, 3241 Podplat</t>
  </si>
  <si>
    <t>x=121513, y=543568</t>
  </si>
  <si>
    <t>26/1128</t>
  </si>
  <si>
    <t>x=80105, y=544932</t>
  </si>
  <si>
    <t xml:space="preserve">pipa zunaj  </t>
  </si>
  <si>
    <t>26/1130</t>
  </si>
  <si>
    <t>Vrtec Zarja Celje - Enota Iskrica</t>
  </si>
  <si>
    <t>Pucova 3, 3000 Celje</t>
  </si>
  <si>
    <t>x=122203, y=519531</t>
  </si>
  <si>
    <t>26/1134</t>
  </si>
  <si>
    <t>Stara cerkev 21,  , 1332 Stara Cerkev</t>
  </si>
  <si>
    <t>x=58385, y=487960</t>
  </si>
  <si>
    <t>26/1136</t>
  </si>
  <si>
    <t>x=157083, y=553607</t>
  </si>
  <si>
    <t>26/1137</t>
  </si>
  <si>
    <t>26/1138</t>
  </si>
  <si>
    <t>BETNAVSKA 100, 2000 Maribor</t>
  </si>
  <si>
    <t>x=155768, y=549351</t>
  </si>
  <si>
    <t>26/1139</t>
  </si>
  <si>
    <t>26/1140</t>
  </si>
  <si>
    <t>26/1141</t>
  </si>
  <si>
    <t>Mariborska cesta 4, 2312 Orehova vas</t>
  </si>
  <si>
    <t>x=148448, y=550516</t>
  </si>
  <si>
    <t>26/1146</t>
  </si>
  <si>
    <t>26/1147</t>
  </si>
  <si>
    <t>26/1151</t>
  </si>
  <si>
    <t>VVO DOBROVCE</t>
  </si>
  <si>
    <t>x=148828, y=554361</t>
  </si>
  <si>
    <t>26/1152</t>
  </si>
  <si>
    <t>VVO ENOTA RAZVANJE</t>
  </si>
  <si>
    <t>x=152345, y=549087</t>
  </si>
  <si>
    <t>26/1155</t>
  </si>
  <si>
    <t>Mariborska 43a, 3000 Celje</t>
  </si>
  <si>
    <t>x=122144, y=520977</t>
  </si>
  <si>
    <t>&lt;0,004</t>
  </si>
  <si>
    <t>26/1156</t>
  </si>
  <si>
    <t>Prehrana Tuli d.o.o.</t>
  </si>
  <si>
    <t>x=119767, y=525391</t>
  </si>
  <si>
    <t>26/1158</t>
  </si>
  <si>
    <t>x=83936, y=406611</t>
  </si>
  <si>
    <t>26/1161</t>
  </si>
  <si>
    <t>Cerklje ob Krki 3, 8263 Cerklje ob Krki</t>
  </si>
  <si>
    <t>x=82394, y=540946</t>
  </si>
  <si>
    <t>26/1165</t>
  </si>
  <si>
    <t>Sirarstvo Orel</t>
  </si>
  <si>
    <t>x=78937, y=411056</t>
  </si>
  <si>
    <t>26/1166</t>
  </si>
  <si>
    <t>Kuzma 20, 9263 Kuzma</t>
  </si>
  <si>
    <t>x=188052, y=582878</t>
  </si>
  <si>
    <t>26/1167</t>
  </si>
  <si>
    <t>Visoko 67, 4212 Visoko</t>
  </si>
  <si>
    <t>x=125594, y=455543</t>
  </si>
  <si>
    <t>26/1168</t>
  </si>
  <si>
    <t>x=100332, y=429844</t>
  </si>
  <si>
    <t>26/1169</t>
  </si>
  <si>
    <t>x=178791, y=578818</t>
  </si>
  <si>
    <t>26/1170</t>
  </si>
  <si>
    <t>x=88971, y=537945</t>
  </si>
  <si>
    <t>26/1171</t>
  </si>
  <si>
    <t>26/1172</t>
  </si>
  <si>
    <t>x=183065, y=578995</t>
  </si>
  <si>
    <t>26/1173</t>
  </si>
  <si>
    <t>Jordan, prodaja in servis vodomerov d.o.o.</t>
  </si>
  <si>
    <t>x=80517, y=522384</t>
  </si>
  <si>
    <t>26/1174</t>
  </si>
  <si>
    <t>x=127923, y=457902</t>
  </si>
  <si>
    <t>26/1175</t>
  </si>
  <si>
    <t>Izvir pod Golico</t>
  </si>
  <si>
    <t xml:space="preserve">Izvir pod Golico </t>
  </si>
  <si>
    <t>Planina pod Golico 39, 4270 Jesenice</t>
  </si>
  <si>
    <t>26/1176</t>
  </si>
  <si>
    <t>Fine Culinar</t>
  </si>
  <si>
    <t>x=116981, y=448199</t>
  </si>
  <si>
    <t>26/1177</t>
  </si>
  <si>
    <t>x=103374, y=465090</t>
  </si>
  <si>
    <t>26/1178</t>
  </si>
  <si>
    <t>Hotel Medno</t>
  </si>
  <si>
    <t>Medno 54, Ljubljana Medno, 1000 Ljubljana</t>
  </si>
  <si>
    <t>x=109444, y=456232</t>
  </si>
  <si>
    <t>26/1181</t>
  </si>
  <si>
    <t>Mercator, market Krivec</t>
  </si>
  <si>
    <t>Krivec 5, 1000 Ljubljana</t>
  </si>
  <si>
    <t>x=103914, y=458146</t>
  </si>
  <si>
    <t>26/1182</t>
  </si>
  <si>
    <t>x=97131, y=454844</t>
  </si>
  <si>
    <t>26/1184</t>
  </si>
  <si>
    <t>Hacetova 13, Ljubljana Kozarje, 1000 Ljubljana</t>
  </si>
  <si>
    <t>x=99048, y=457763</t>
  </si>
  <si>
    <t>26/1185</t>
  </si>
  <si>
    <t>Vrtec Kolezija- Enota Murgle</t>
  </si>
  <si>
    <t>Pod bukvami 11, Ljubljana Murgle, 1000 Ljubljana</t>
  </si>
  <si>
    <t>x=99066, y=460852</t>
  </si>
  <si>
    <t>26/1186</t>
  </si>
  <si>
    <t>x=100979, y=465947</t>
  </si>
  <si>
    <t>26/1187</t>
  </si>
  <si>
    <t>x=100998, y=469166</t>
  </si>
  <si>
    <t>26/1188</t>
  </si>
  <si>
    <t>x=102011, y=468243</t>
  </si>
  <si>
    <t>26/1192</t>
  </si>
  <si>
    <t>Delpinova ulica 16, 5000 Nova Gorica</t>
  </si>
  <si>
    <t>26/1194</t>
  </si>
  <si>
    <t>26/1196</t>
  </si>
  <si>
    <t>26/1197</t>
  </si>
  <si>
    <t>PONIKVA 29A, 3232 Ponikva</t>
  </si>
  <si>
    <t>26/1198</t>
  </si>
  <si>
    <t>GOSTILNA ERJAVEC</t>
  </si>
  <si>
    <t>KALOBJE 17, 3233 Kalobje</t>
  </si>
  <si>
    <t>26/1200</t>
  </si>
  <si>
    <t>x=182449, y=576727</t>
  </si>
  <si>
    <t>26/1201</t>
  </si>
  <si>
    <t>Vrtec Filovci</t>
  </si>
  <si>
    <t>Filovci 13, Filovci, 9222 Bogojina</t>
  </si>
  <si>
    <t>x=170182, y=599712</t>
  </si>
  <si>
    <t>26/1202</t>
  </si>
  <si>
    <t>x=182356, y=578321</t>
  </si>
  <si>
    <t>26/1204</t>
  </si>
  <si>
    <t>Zatrnik</t>
  </si>
  <si>
    <t>GOSTILNA PR LOVCU</t>
  </si>
  <si>
    <t>ZATRNIK 75, ZATRNIK, 4247 Zgornje Gorje</t>
  </si>
  <si>
    <t>26/1205</t>
  </si>
  <si>
    <t>x=105789, y=459250</t>
  </si>
  <si>
    <t>26/1206</t>
  </si>
  <si>
    <t>PIZZERIA ITALIA</t>
  </si>
  <si>
    <t>26/1207</t>
  </si>
  <si>
    <t>x=157701, y=612401</t>
  </si>
  <si>
    <t>26/1208</t>
  </si>
  <si>
    <t>Cesta na Krko 7, 1290 Grosuplje</t>
  </si>
  <si>
    <t>x=89989, y=474182</t>
  </si>
  <si>
    <t>26/1210</t>
  </si>
  <si>
    <t>26/1217</t>
  </si>
  <si>
    <t>LOGATEC</t>
  </si>
  <si>
    <t>Logatec</t>
  </si>
  <si>
    <t>VVZ Tabor</t>
  </si>
  <si>
    <t>Gorenjska c. 1a, 1370 Logatec</t>
  </si>
  <si>
    <t>x=85329, y=438389</t>
  </si>
  <si>
    <t>26/1218</t>
  </si>
  <si>
    <t>x=60420, y=420060</t>
  </si>
  <si>
    <t>26/1221</t>
  </si>
  <si>
    <t>x=81306, y=498614</t>
  </si>
  <si>
    <t>26/1224</t>
  </si>
  <si>
    <t>x=132746, y=532681</t>
  </si>
  <si>
    <t>26/1225</t>
  </si>
  <si>
    <t>x=128767, y=538771</t>
  </si>
  <si>
    <t>26/1230</t>
  </si>
  <si>
    <t>Mali Nerajec, gostilna Moravec</t>
  </si>
  <si>
    <t>x=39725, y=515225</t>
  </si>
  <si>
    <t>26/1232</t>
  </si>
  <si>
    <t>Komunalno podjetje Logatec</t>
  </si>
  <si>
    <t>x=86107, y=440051</t>
  </si>
  <si>
    <t>26/1235</t>
  </si>
  <si>
    <t>x=147191, y=559399</t>
  </si>
  <si>
    <t>26/1239</t>
  </si>
  <si>
    <t>Vzgojni zavod Planina</t>
  </si>
  <si>
    <t>Planina 211, 6232 Planina</t>
  </si>
  <si>
    <t>x=75800, y=441300</t>
  </si>
  <si>
    <t>26/1240</t>
  </si>
  <si>
    <t>26/1241</t>
  </si>
  <si>
    <t>Spodnja Polskava 240, Spodnja Polskava, 2331 Pragersko</t>
  </si>
  <si>
    <t>x=141230, y=549284</t>
  </si>
  <si>
    <t>26/1243</t>
  </si>
  <si>
    <t>x=110928, y=456595</t>
  </si>
  <si>
    <t>26/1246</t>
  </si>
  <si>
    <t>x=100005, y=459486</t>
  </si>
  <si>
    <t>26/1251</t>
  </si>
  <si>
    <t>VRTEC LJUTOMER</t>
  </si>
  <si>
    <t>x=153301, y=592449</t>
  </si>
  <si>
    <t>26/1256</t>
  </si>
  <si>
    <t>&lt;0</t>
  </si>
  <si>
    <t>26/1262</t>
  </si>
  <si>
    <t>IDRIJA SISTEM</t>
  </si>
  <si>
    <t>x=95619, y=424319</t>
  </si>
  <si>
    <t>26/1263</t>
  </si>
  <si>
    <t>VVZ Ilke Devetak-Bignami</t>
  </si>
  <si>
    <t>Ulica Prekomorskih brigad 1, 5220 Tolmin</t>
  </si>
  <si>
    <t>x=116379, y=402698</t>
  </si>
  <si>
    <t>26/1264</t>
  </si>
  <si>
    <t>26/1268</t>
  </si>
  <si>
    <t>Vrtec pod Gradom, enota Stara Ljubljana</t>
  </si>
  <si>
    <t>Ulica na grad 2a, Stara Ljubljana, 1000 Ljubljana</t>
  </si>
  <si>
    <t>x=100349, y=462391</t>
  </si>
  <si>
    <t>26/1269</t>
  </si>
  <si>
    <t>26/1270</t>
  </si>
  <si>
    <t>26/1277</t>
  </si>
  <si>
    <t>26/1278</t>
  </si>
  <si>
    <t>PREDMEJA, OTLICA, COL</t>
  </si>
  <si>
    <t>SKUK</t>
  </si>
  <si>
    <t>PODKRAJ 9, 5273 Col</t>
  </si>
  <si>
    <t>x=80625, y=427267</t>
  </si>
  <si>
    <t>26/1279</t>
  </si>
  <si>
    <t>26/1283</t>
  </si>
  <si>
    <t>x=110560, y=499344</t>
  </si>
  <si>
    <t>26/1289</t>
  </si>
  <si>
    <t>C.4 maja 92, 1380 Cerknica</t>
  </si>
  <si>
    <t>x=72659, y=450374</t>
  </si>
  <si>
    <t>26/1295</t>
  </si>
  <si>
    <t>x=79324, y=507024</t>
  </si>
  <si>
    <t>26/1297</t>
  </si>
  <si>
    <t>DOLENJSKE TOPLICE</t>
  </si>
  <si>
    <t>Dolenjske Toplice, Illy Pab</t>
  </si>
  <si>
    <t>Pionirska cesta1 , 8350 Dolenjske Toplice</t>
  </si>
  <si>
    <t>x=67945, y=504964</t>
  </si>
  <si>
    <t>26/1299</t>
  </si>
  <si>
    <t>ZAPOTOK-GOLO</t>
  </si>
  <si>
    <t>GOLO-ZAPOTOK</t>
  </si>
  <si>
    <t>Golo 37, 1292 Ig</t>
  </si>
  <si>
    <t>x=85152, y=465626</t>
  </si>
  <si>
    <t>26/1300</t>
  </si>
  <si>
    <t>HRASTJE _NM</t>
  </si>
  <si>
    <t>HRASTJE</t>
  </si>
  <si>
    <t>x=74659, y=524075</t>
  </si>
  <si>
    <t>26/1302</t>
  </si>
  <si>
    <t>VODOVOD NANOS</t>
  </si>
  <si>
    <t>x=64194, y=425469</t>
  </si>
  <si>
    <t>26/1303</t>
  </si>
  <si>
    <t>dezinfekcija s plinskim klorom, dezinfekcija s klorovim dioksidom</t>
  </si>
  <si>
    <t>x=56427, y=514710</t>
  </si>
  <si>
    <t>26/1304</t>
  </si>
  <si>
    <t>KROPA - KAMNA GORICA</t>
  </si>
  <si>
    <t>Kropa 98 a, 4245 Kropa</t>
  </si>
  <si>
    <t>x=127822, y=439020</t>
  </si>
  <si>
    <t>26/1305</t>
  </si>
  <si>
    <t>26/1306</t>
  </si>
  <si>
    <t>GOSPOSVETSKA CESTA 3, 2380 Slovenj Gradec</t>
  </si>
  <si>
    <t>x=151480, y=506514</t>
  </si>
  <si>
    <t>26/1307</t>
  </si>
  <si>
    <t>BOHINJSKA BISTRICA</t>
  </si>
  <si>
    <t>BOHINJSKA BISTRICA #2</t>
  </si>
  <si>
    <t>Savska ulica 10, 4264 Bohinjska Bistrica</t>
  </si>
  <si>
    <t>x=126252, y=419672</t>
  </si>
  <si>
    <t>26/1311</t>
  </si>
  <si>
    <t>DVORJANE 15, DVORJANE, 2241 Spodnji Duplek</t>
  </si>
  <si>
    <t>x=150429, y=559602</t>
  </si>
  <si>
    <t>26/1312</t>
  </si>
  <si>
    <t>Metlika VVO</t>
  </si>
  <si>
    <t>x=56748, y=524869</t>
  </si>
  <si>
    <t>26/1314</t>
  </si>
  <si>
    <t>METLIKA - JAMNIKI</t>
  </si>
  <si>
    <t>Radovica 11, Radovica, 8330 Metlika</t>
  </si>
  <si>
    <t>x=60905, y=527644</t>
  </si>
  <si>
    <t>26/1315</t>
  </si>
  <si>
    <t>Dana d.o.o.</t>
  </si>
  <si>
    <t>MIRNA</t>
  </si>
  <si>
    <t>x=89719, y=505081</t>
  </si>
  <si>
    <t>26/1321</t>
  </si>
  <si>
    <t>26/1325</t>
  </si>
  <si>
    <t>x=133190, y=446097</t>
  </si>
  <si>
    <t>26/1326</t>
  </si>
  <si>
    <t>x=61903, y=468536</t>
  </si>
  <si>
    <t>26/1327</t>
  </si>
  <si>
    <t>26/1329</t>
  </si>
  <si>
    <t>KOMENDA</t>
  </si>
  <si>
    <t>Glavarjeva cesta 37, 1218 Komenda</t>
  </si>
  <si>
    <t>x=117615, y=465040</t>
  </si>
  <si>
    <t>26/1333</t>
  </si>
  <si>
    <t>Trgovina, Radomlje</t>
  </si>
  <si>
    <t>x=114413, y=470250</t>
  </si>
  <si>
    <t>26/1338</t>
  </si>
  <si>
    <t>DOBROVA</t>
  </si>
  <si>
    <t>Cesta 7. maja 20, 1356 Dobrova</t>
  </si>
  <si>
    <t>x=101557, y=454871</t>
  </si>
  <si>
    <t>26/1340</t>
  </si>
  <si>
    <t>VZ Preddvor</t>
  </si>
  <si>
    <t>PREDDVOR</t>
  </si>
  <si>
    <t>x=129097, y=455695</t>
  </si>
  <si>
    <t>26/1341</t>
  </si>
  <si>
    <t>KRANJSKA GORA</t>
  </si>
  <si>
    <t>KRANJSKA GORA, LOG, GOZD MARTULJEK</t>
  </si>
  <si>
    <t>x=149849, y=406974</t>
  </si>
  <si>
    <t>26/1343</t>
  </si>
  <si>
    <t>FRAM</t>
  </si>
  <si>
    <t>FRAM 56, 2313 Fram</t>
  </si>
  <si>
    <t>x=145986, y=548547</t>
  </si>
  <si>
    <t>26/1344</t>
  </si>
  <si>
    <t>LV LOVRENC NA POHORJU</t>
  </si>
  <si>
    <t>LOVRENC NA POHORJU</t>
  </si>
  <si>
    <t>x=155282, y=530100</t>
  </si>
  <si>
    <t>26/1345</t>
  </si>
  <si>
    <t>GOLNIK</t>
  </si>
  <si>
    <t>OO GOLNIK</t>
  </si>
  <si>
    <t>Golnik 54, 4204 Golnik</t>
  </si>
  <si>
    <t>x=131325, y=448741</t>
  </si>
  <si>
    <t>26/1349</t>
  </si>
  <si>
    <t>PREBOLD</t>
  </si>
  <si>
    <t>Vrtec Prebold</t>
  </si>
  <si>
    <t>Na bazen 1, 3312 Prebold</t>
  </si>
  <si>
    <t>x=121203, y=507520</t>
  </si>
  <si>
    <t>26/1351</t>
  </si>
  <si>
    <t>VRANSKO - POLZELA</t>
  </si>
  <si>
    <t>Dom upokojencev Polzela</t>
  </si>
  <si>
    <t>Polzela 18, 3313 Polzela</t>
  </si>
  <si>
    <t>x=126659, y=506127</t>
  </si>
  <si>
    <t>26/1352</t>
  </si>
  <si>
    <t>x=112061, y=518657</t>
  </si>
  <si>
    <t>26/1362</t>
  </si>
  <si>
    <t>HRASTNIK</t>
  </si>
  <si>
    <t>filtri, dezinfekcija s plinskim klorom, dezinfekcija z natrijevim hipokloritom</t>
  </si>
  <si>
    <t>Novi Log 4a, 1430 Hrastnik</t>
  </si>
  <si>
    <t>x=110839, y=506718</t>
  </si>
  <si>
    <t>26/1364</t>
  </si>
  <si>
    <t>filtri, ultrafiltracija, redna dezinfekcija, dezinfekcija z natrijevim hipokloritom</t>
  </si>
  <si>
    <t>x=139219, y=502590</t>
  </si>
  <si>
    <t>26/1365</t>
  </si>
  <si>
    <t>x=95658, y=550535</t>
  </si>
  <si>
    <t>26/1367</t>
  </si>
  <si>
    <t>x=87292, y=426270</t>
  </si>
  <si>
    <t>26/1371</t>
  </si>
  <si>
    <t>VRTEC SLADKI VRH</t>
  </si>
  <si>
    <t>SLADKI VRH 8/A, 2214 Sladki Vrh</t>
  </si>
  <si>
    <t>x=172865, y=556972</t>
  </si>
  <si>
    <t>26/1372</t>
  </si>
  <si>
    <t>PRIHOVA</t>
  </si>
  <si>
    <t>TRGOVINA IN KAVA BAR FURMAN VIDA</t>
  </si>
  <si>
    <t>PRELOGE 10/A, 2310 Slovenska Bistrica</t>
  </si>
  <si>
    <t>x=135905, y=539082</t>
  </si>
  <si>
    <t>26/1374</t>
  </si>
  <si>
    <t>SEDLO - STARO SELO</t>
  </si>
  <si>
    <t>IZC Aurora</t>
  </si>
  <si>
    <t>Staro selo 60a, 5222 Kobarid</t>
  </si>
  <si>
    <t>x=123657, y=386794</t>
  </si>
  <si>
    <t>26/1379</t>
  </si>
  <si>
    <t>Trnovo 41, Trnovo, 5252 Trnovo pri Gorici</t>
  </si>
  <si>
    <t>x=92857, y=402844</t>
  </si>
  <si>
    <t>26/1389</t>
  </si>
  <si>
    <t>VVZ Ptuj, enota Trobentica</t>
  </si>
  <si>
    <t>x=143500, y=568790</t>
  </si>
  <si>
    <t>26/1390</t>
  </si>
  <si>
    <t>Grajena  60, 2250 Ptuj</t>
  </si>
  <si>
    <t>x=146412, y=564943</t>
  </si>
  <si>
    <t>26/1392</t>
  </si>
  <si>
    <t>26/1394</t>
  </si>
  <si>
    <t>Rabzelj</t>
  </si>
  <si>
    <t>x=85007, y=522970</t>
  </si>
  <si>
    <t>26/1410</t>
  </si>
  <si>
    <t>Vrtec Bovec</t>
  </si>
  <si>
    <t>Mala vas  121, 5230 Bovec</t>
  </si>
  <si>
    <t>x=133595, y=389207</t>
  </si>
  <si>
    <t>26/1414</t>
  </si>
  <si>
    <t>Vrtec Cerkvenjak</t>
  </si>
  <si>
    <t>2236 Cerkvenjak</t>
  </si>
  <si>
    <t>x=158616, y=572766</t>
  </si>
  <si>
    <t>26/1421</t>
  </si>
  <si>
    <t>RADLJE OB DRAVI</t>
  </si>
  <si>
    <t>x=163566, y=516509</t>
  </si>
  <si>
    <t>26/1423</t>
  </si>
  <si>
    <t>RADIZEL</t>
  </si>
  <si>
    <t>Unicar d.o.o.</t>
  </si>
  <si>
    <t>Ulica Milke volk 1, Radizel, 2312 Orehova vas</t>
  </si>
  <si>
    <t>x=146762, y=550654</t>
  </si>
  <si>
    <t>26/1427</t>
  </si>
  <si>
    <t>MOKRICE</t>
  </si>
  <si>
    <t>Gaj 1, Gaj, 8261 Jesenice na Dolenjskem</t>
  </si>
  <si>
    <t>x=79904, y=551687</t>
  </si>
  <si>
    <t>Gaj 5b</t>
  </si>
  <si>
    <t>26/1434</t>
  </si>
  <si>
    <t>VODOVOD SMLEDNIK</t>
  </si>
  <si>
    <t>SMLEDNIK</t>
  </si>
  <si>
    <t>SMLEDNIK 73, 1216 Smlednik</t>
  </si>
  <si>
    <t>26/1435</t>
  </si>
  <si>
    <t>26/1436</t>
  </si>
  <si>
    <t>Komunala Radgona d.o.o.</t>
  </si>
  <si>
    <t>VODOVOD SISTEM C</t>
  </si>
  <si>
    <t>RADGONSKA CESTA 10, 9252 Radenci</t>
  </si>
  <si>
    <t>26/1441</t>
  </si>
  <si>
    <t>26/1442</t>
  </si>
  <si>
    <t>MOJSTRANA</t>
  </si>
  <si>
    <t>VRTEC MOJSTRANA</t>
  </si>
  <si>
    <t>26/1445</t>
  </si>
  <si>
    <t>x=92412, y=455581</t>
  </si>
  <si>
    <t>26/1447</t>
  </si>
  <si>
    <t>MISLINJA</t>
  </si>
  <si>
    <t>x=144880, y=515121</t>
  </si>
  <si>
    <t>26/1451</t>
  </si>
  <si>
    <t>Toplica</t>
  </si>
  <si>
    <t>ultrafiltracija, adsorpcija z aktivnim ogljem, redna dezinfekcija, dezinfekcija z natrijevim hipokloritom</t>
  </si>
  <si>
    <t>x=123910, y=525195</t>
  </si>
  <si>
    <t>26/1452</t>
  </si>
  <si>
    <t>Vel. Brusnice 101, Vel. Brusnice, 8321 Brusnice</t>
  </si>
  <si>
    <t>x=74189, y=520318</t>
  </si>
  <si>
    <t>26/1457</t>
  </si>
  <si>
    <t>x=92523, y=507142</t>
  </si>
  <si>
    <t>26/1458</t>
  </si>
  <si>
    <t>GORNJI GRAD</t>
  </si>
  <si>
    <t>Kocbekova cesta 21, 3342 Gornji Grad</t>
  </si>
  <si>
    <t>x=128157, y=485735</t>
  </si>
  <si>
    <t>26/1459</t>
  </si>
  <si>
    <t>JAVNI VODOVODNI SISTEM VISOLE</t>
  </si>
  <si>
    <t>VISOLE</t>
  </si>
  <si>
    <t>LOVSKI DOM ZG. BISTRICA</t>
  </si>
  <si>
    <t>ZG. BISTRICA 25, 2310 Slovenska Bistrica</t>
  </si>
  <si>
    <t>x=139282, y=542027</t>
  </si>
  <si>
    <t>26/1472</t>
  </si>
  <si>
    <t>x=129867, y=545136</t>
  </si>
  <si>
    <t>26/1473</t>
  </si>
  <si>
    <t>KRESNICE</t>
  </si>
  <si>
    <t>Kresnice 26a, Kresnice, 1270 Litija</t>
  </si>
  <si>
    <t>x=106451, y=483935</t>
  </si>
  <si>
    <t>26/1481</t>
  </si>
  <si>
    <t>BISTRICA OB SOTLI</t>
  </si>
  <si>
    <t>Bistrica ob Sotli 63 a, 3256 Bistrica ob Sotli</t>
  </si>
  <si>
    <t>x=101483, y=551753</t>
  </si>
  <si>
    <t>26/1486</t>
  </si>
  <si>
    <t>Trbovlje</t>
  </si>
  <si>
    <t>Dobovec</t>
  </si>
  <si>
    <t>Dobovec 19, Dobovec, 1420 Trbovlje</t>
  </si>
  <si>
    <t>x=107558, y=504954</t>
  </si>
  <si>
    <t>26/1492</t>
  </si>
  <si>
    <t>x=130723, y=450134</t>
  </si>
  <si>
    <t>26/1497</t>
  </si>
  <si>
    <t>NOVA GORA</t>
  </si>
  <si>
    <t>x=90712, y=520314</t>
  </si>
  <si>
    <t>26/1499</t>
  </si>
  <si>
    <t>VODOVOD GABROVKA</t>
  </si>
  <si>
    <t>GABROVKA</t>
  </si>
  <si>
    <t>Gabrovka 30, 1274 Gabrovka</t>
  </si>
  <si>
    <t>x=95132, y=499457</t>
  </si>
  <si>
    <t>26/1500</t>
  </si>
  <si>
    <t>x=105461, y=485916</t>
  </si>
  <si>
    <t>26/1511</t>
  </si>
  <si>
    <t>Vrzdenec 22, Vrzdenec, 1354 Horjul</t>
  </si>
  <si>
    <t>x=97465, y=443775</t>
  </si>
  <si>
    <t>26/1513</t>
  </si>
  <si>
    <t>26/1519</t>
  </si>
  <si>
    <t>Begunje</t>
  </si>
  <si>
    <t>Begunje 26, Begunje, 1382 Begunje pri Cerknici</t>
  </si>
  <si>
    <t>x=74902, y=452381</t>
  </si>
  <si>
    <t>26/1525</t>
  </si>
  <si>
    <t>KS Jevnica</t>
  </si>
  <si>
    <t>JEVNICA</t>
  </si>
  <si>
    <t>Jevnica 33, Jevnica, 1281 Kresnice</t>
  </si>
  <si>
    <t>x=104388, y=480020</t>
  </si>
  <si>
    <t>26/1526</t>
  </si>
  <si>
    <t>Ambrus 33, Ambrus, 1303 Zagradec</t>
  </si>
  <si>
    <t>x=76145, y=486195</t>
  </si>
  <si>
    <t>26/1533</t>
  </si>
  <si>
    <t>VODARNA TERBEGOVCI</t>
  </si>
  <si>
    <t>26/1535</t>
  </si>
  <si>
    <t>IZLAKE</t>
  </si>
  <si>
    <t>VRTEC ZAGORJE, ENOTA KEKEC</t>
  </si>
  <si>
    <t>IZLAKE 6, 1411 Izlake</t>
  </si>
  <si>
    <t>26/1536</t>
  </si>
  <si>
    <t>BAR HILMAN</t>
  </si>
  <si>
    <t>CESTA 9. AVGUSTA 94A, ZAGORJE, 1410 Zagorje ob Savi</t>
  </si>
  <si>
    <t>26/1538</t>
  </si>
  <si>
    <t>MLINOTEST TRGOVINA</t>
  </si>
  <si>
    <t>LAZE 4A, 1219 Laze v Tuhinju</t>
  </si>
  <si>
    <t>pipa v trgovini</t>
  </si>
  <si>
    <t>26/1546</t>
  </si>
  <si>
    <t>VRTEC KORTE</t>
  </si>
  <si>
    <t>KORTE 14, IZOLA - KORTE, 6310 Izola - Isola</t>
  </si>
  <si>
    <t>x=39181, y=395039</t>
  </si>
  <si>
    <t>26/1573</t>
  </si>
  <si>
    <t>26/1576</t>
  </si>
  <si>
    <t>26/1579</t>
  </si>
  <si>
    <t>26/1600</t>
  </si>
  <si>
    <t>26/1604</t>
  </si>
  <si>
    <t>26/1614</t>
  </si>
  <si>
    <t>x=154017, y=552201</t>
  </si>
  <si>
    <t>26/1618</t>
  </si>
  <si>
    <t>26/1624</t>
  </si>
  <si>
    <t>26/1633</t>
  </si>
  <si>
    <t>26/1649</t>
  </si>
  <si>
    <t>26/1671</t>
  </si>
  <si>
    <t>26/1672</t>
  </si>
  <si>
    <t>VRTEC HRPELJE</t>
  </si>
  <si>
    <t>x=51718, y=418155</t>
  </si>
  <si>
    <t>26/1673</t>
  </si>
  <si>
    <t>26/1679</t>
  </si>
  <si>
    <t>Trg revolucije 18, 1420 Trbovlje</t>
  </si>
  <si>
    <t>x=111379, y=503642</t>
  </si>
  <si>
    <t>26/1683</t>
  </si>
  <si>
    <t>x=140102, y=598071</t>
  </si>
  <si>
    <t>26/1686</t>
  </si>
  <si>
    <t>Stoperce  12, 2289 Stoperce</t>
  </si>
  <si>
    <t>x=127511, y=555557</t>
  </si>
  <si>
    <t>26/1696</t>
  </si>
  <si>
    <t>Vrtec pod Gradom, enota Prule</t>
  </si>
  <si>
    <t>Praprotnikova 2, Ljubljana - Prule, 1000 Ljubljana</t>
  </si>
  <si>
    <t>x=100013, y=462481</t>
  </si>
  <si>
    <t>26/1701</t>
  </si>
  <si>
    <t>26/1710</t>
  </si>
  <si>
    <t>x=172950, y=569836</t>
  </si>
  <si>
    <t>26/1715</t>
  </si>
  <si>
    <t>BENCINSKI SERVIS SHELL</t>
  </si>
  <si>
    <t>x=104986, y=478469</t>
  </si>
  <si>
    <t>26/1736</t>
  </si>
  <si>
    <t>x=137360, y=503996</t>
  </si>
  <si>
    <t>26/1748</t>
  </si>
  <si>
    <t>Hotel Ribno, Bled</t>
  </si>
  <si>
    <t>x=133922, y=432852</t>
  </si>
  <si>
    <t>26/1750</t>
  </si>
  <si>
    <t>26/1753</t>
  </si>
  <si>
    <t>26/1757</t>
  </si>
  <si>
    <t>x=123483, y=460931</t>
  </si>
  <si>
    <t>26/1807</t>
  </si>
  <si>
    <t>26/1831</t>
  </si>
  <si>
    <t>BRDA</t>
  </si>
  <si>
    <t>BAR MIRKA - PULT</t>
  </si>
  <si>
    <t>TRG 25. MAJA 3, DOBROVO, 5212 Dobrovo v Brdih</t>
  </si>
  <si>
    <t>26/1838</t>
  </si>
  <si>
    <t>Preserje 60, 1352 Preserje</t>
  </si>
  <si>
    <t>x=90174, y=455012</t>
  </si>
  <si>
    <t>26/1859</t>
  </si>
  <si>
    <t>DOBREPOLJE - ROB</t>
  </si>
  <si>
    <t>Kompolje 78, 1312 Videm - Dobrepolje</t>
  </si>
  <si>
    <t>x=74500, y=478427</t>
  </si>
  <si>
    <t>26/1860</t>
  </si>
  <si>
    <t>Cesta notranjskega odreda 32, Stari trg, 1380 Cerknica</t>
  </si>
  <si>
    <t>x=63296, y=459333</t>
  </si>
  <si>
    <t>26/1863</t>
  </si>
  <si>
    <t>x=149569, y=575015</t>
  </si>
  <si>
    <t>26/1864</t>
  </si>
  <si>
    <t>26/1873</t>
  </si>
  <si>
    <t>26/1879</t>
  </si>
  <si>
    <t>26/1884</t>
  </si>
  <si>
    <t>DESKLE - ANHOVO</t>
  </si>
  <si>
    <t>Petra Skalarja 2, Anhovo , 5210 Deskle</t>
  </si>
  <si>
    <t>x=101835, y=393203</t>
  </si>
  <si>
    <t>26/1891</t>
  </si>
  <si>
    <t>26/1910</t>
  </si>
  <si>
    <t>Trata 40, 4224 Gorenja vas</t>
  </si>
  <si>
    <t>x=106676, y=433975</t>
  </si>
  <si>
    <t>26/1927</t>
  </si>
  <si>
    <t>26/1934</t>
  </si>
  <si>
    <t>JAVNI VODOVODNI SISTEM OPLOTNICA-KEBELJ</t>
  </si>
  <si>
    <t>OPLOTNICA- KEBELJ</t>
  </si>
  <si>
    <t>UL. POHORSKEGA BATALJONA 23, 2317 Oplotnica</t>
  </si>
  <si>
    <t>x=138253, y=535104</t>
  </si>
  <si>
    <t>26/1936</t>
  </si>
  <si>
    <t>26/1940</t>
  </si>
  <si>
    <t>ZATOLMIN - DOLJE</t>
  </si>
  <si>
    <t>Zatolmin 1, 5220 Tolmin</t>
  </si>
  <si>
    <t>x=117423, y=402168</t>
  </si>
  <si>
    <t>26/1945</t>
  </si>
  <si>
    <t>AJDNA</t>
  </si>
  <si>
    <t>x=139221, y=433145</t>
  </si>
  <si>
    <t>26/1946</t>
  </si>
  <si>
    <t>x=108632, y=413467</t>
  </si>
  <si>
    <t>26/1947</t>
  </si>
  <si>
    <t>VRHPOLJE</t>
  </si>
  <si>
    <t>x=75926, y=526885</t>
  </si>
  <si>
    <t>26/1948</t>
  </si>
  <si>
    <t>Club Tinca bar</t>
  </si>
  <si>
    <t>x=96374, y=522152</t>
  </si>
  <si>
    <t>26/1968</t>
  </si>
  <si>
    <t xml:space="preserve">CENTER </t>
  </si>
  <si>
    <t>x=147372, y=488746</t>
  </si>
  <si>
    <t>26/1973</t>
  </si>
  <si>
    <t>Hotel Park, pipa v kuhinji, desno od pomivalnega stroja</t>
  </si>
  <si>
    <t>Dobrna 52, 3204 Dobrna</t>
  </si>
  <si>
    <t>x=132955, y=517557</t>
  </si>
  <si>
    <t>26/1976</t>
  </si>
  <si>
    <t>KOBARID</t>
  </si>
  <si>
    <t>Vrtec Kobarid</t>
  </si>
  <si>
    <t>x=123285, y=391089</t>
  </si>
  <si>
    <t>26/1980</t>
  </si>
  <si>
    <t>MUTA - GORTINA</t>
  </si>
  <si>
    <t>MUTA</t>
  </si>
  <si>
    <t>x=162722, y=512819</t>
  </si>
  <si>
    <t>26/1982</t>
  </si>
  <si>
    <t>26/1984</t>
  </si>
  <si>
    <t>CERKNO</t>
  </si>
  <si>
    <t>Bevkova ulica 9, 5282 Cerkno</t>
  </si>
  <si>
    <t>26/1985</t>
  </si>
  <si>
    <t>x=105123, y=479748</t>
  </si>
  <si>
    <t>26/1987</t>
  </si>
  <si>
    <t>KROMBERK</t>
  </si>
  <si>
    <t>JAVNA PIPA ZA CERKVIJO</t>
  </si>
  <si>
    <t>MED TRTAMI , KROMBERK, 5000 Nova Gorica</t>
  </si>
  <si>
    <t>26/1994</t>
  </si>
  <si>
    <t>26/1996</t>
  </si>
  <si>
    <t>26/1998</t>
  </si>
  <si>
    <t>INDUSTRIJSKA CONA ANHOVO</t>
  </si>
  <si>
    <t>filtri, koagulacija, flokulacija, ultrafiltracija, dezinfekcija s plinskim klorom</t>
  </si>
  <si>
    <t>ALPACEM CEMENT D.D.</t>
  </si>
  <si>
    <t>ANHOVO 1, ANHOVO, 5210 Deskle</t>
  </si>
  <si>
    <t>26/2002</t>
  </si>
  <si>
    <t>ZGORNJE STRANJE 22, ZGORNJE STRANJE, 1242 Stahovica</t>
  </si>
  <si>
    <t>26/2004</t>
  </si>
  <si>
    <t>26/2006</t>
  </si>
  <si>
    <t>x=162517, y=590417</t>
  </si>
  <si>
    <t>26/2012</t>
  </si>
  <si>
    <t>x=69140, y=431969</t>
  </si>
  <si>
    <t>26/2015</t>
  </si>
  <si>
    <t>DOLENJA VAS 2</t>
  </si>
  <si>
    <t>Dolenja vas, VVO</t>
  </si>
  <si>
    <t>x=89443, y=542746</t>
  </si>
  <si>
    <t>26/2016</t>
  </si>
  <si>
    <t>BESNICA</t>
  </si>
  <si>
    <t>Videmce 12, Zg.Besnica, 4201 Zgornja Besnica</t>
  </si>
  <si>
    <t>x=124348, y=446005</t>
  </si>
  <si>
    <t>26/2017</t>
  </si>
  <si>
    <t>POLHOV GRADEC</t>
  </si>
  <si>
    <t>Polhov Gradec 95, 1355 Polhov Gradec</t>
  </si>
  <si>
    <t>x=102474, y=447160</t>
  </si>
  <si>
    <t>26/2018</t>
  </si>
  <si>
    <t>HORJUL - LJUBGOJNA</t>
  </si>
  <si>
    <t>HORJUL- LJUBGOJNA</t>
  </si>
  <si>
    <t>x=97971, y=445983</t>
  </si>
  <si>
    <t>26/2023</t>
  </si>
  <si>
    <t>BREZJE</t>
  </si>
  <si>
    <t>x=135038, y=444610</t>
  </si>
  <si>
    <t>26/2026</t>
  </si>
  <si>
    <t>Elektroelement</t>
  </si>
  <si>
    <t>ELEKTROELEMENT</t>
  </si>
  <si>
    <t>Kuhinja Elektroelem.</t>
  </si>
  <si>
    <t>Obrezija 5, Zagorje ob Savi, 1411 Izlake</t>
  </si>
  <si>
    <t>x=111738, y=494975</t>
  </si>
  <si>
    <t>26/2028</t>
  </si>
  <si>
    <t>POLJE - KAMNJE - SAVICA</t>
  </si>
  <si>
    <t>Savica - Polja</t>
  </si>
  <si>
    <t>Pekarna Lapajne Mirko</t>
  </si>
  <si>
    <t>Kamnje 34, 4264 Bohinjska Bistrica</t>
  </si>
  <si>
    <t>x=125785, y=416615</t>
  </si>
  <si>
    <t>26/2033</t>
  </si>
  <si>
    <t>x=53674, y=441507</t>
  </si>
  <si>
    <t>26/2035</t>
  </si>
  <si>
    <t>x=121039, y=540259</t>
  </si>
  <si>
    <t>26/2036</t>
  </si>
  <si>
    <t>x=87306, y=433898</t>
  </si>
  <si>
    <t>26/2041</t>
  </si>
  <si>
    <t>x=119145, y=518527</t>
  </si>
  <si>
    <t>26/2046</t>
  </si>
  <si>
    <t>Prevole 32, Prevole, 8362 Hinje</t>
  </si>
  <si>
    <t>x=69919, y=489697</t>
  </si>
  <si>
    <t>26/2047</t>
  </si>
  <si>
    <t>PLANINA PRI SEVNICI</t>
  </si>
  <si>
    <t>KAVA BAR AS</t>
  </si>
  <si>
    <t>PLANINA PRI SEVNICI 35, 3225 Planina pri Sevnici</t>
  </si>
  <si>
    <t>26/2200</t>
  </si>
  <si>
    <t>Dom upokojencev dr. Franceta Bergelja</t>
  </si>
  <si>
    <t>Ulica Staneta Bokala 4, 4270 Jesenice</t>
  </si>
  <si>
    <t>x=144762, y=426591</t>
  </si>
  <si>
    <t>26/2258</t>
  </si>
  <si>
    <t>26/2315</t>
  </si>
  <si>
    <t>ZIDANI MOST</t>
  </si>
  <si>
    <t>Vrtec Zidani Most</t>
  </si>
  <si>
    <t>Zidani Most 34, 1432 Zidani Most</t>
  </si>
  <si>
    <t>x=105153, y=514964</t>
  </si>
  <si>
    <t>26/2333</t>
  </si>
  <si>
    <t>OSILNICA - SELA</t>
  </si>
  <si>
    <t>Sela 5, 1337 Osilnica</t>
  </si>
  <si>
    <t>x=42744, y=476419</t>
  </si>
  <si>
    <t>26/2336</t>
  </si>
  <si>
    <t>x=138945, y=539454</t>
  </si>
  <si>
    <t>26/2339</t>
  </si>
  <si>
    <t>Spodnje Vodale</t>
  </si>
  <si>
    <t>Caffe Mlin</t>
  </si>
  <si>
    <t>x=90932, y=515618</t>
  </si>
  <si>
    <t>26/2356</t>
  </si>
  <si>
    <t>POSTAJA 2</t>
  </si>
  <si>
    <t>POSTAJA</t>
  </si>
  <si>
    <t>Postaja 10, 5220 Tolmin</t>
  </si>
  <si>
    <t>x=112128, y=404540</t>
  </si>
  <si>
    <t>26/2453</t>
  </si>
  <si>
    <t>x=108001, y=454127</t>
  </si>
  <si>
    <t>26/2473</t>
  </si>
  <si>
    <t>SANABOR</t>
  </si>
  <si>
    <t>x=81562, y=421835</t>
  </si>
  <si>
    <t>26/2475</t>
  </si>
  <si>
    <t>Apartmaji Kranjc</t>
  </si>
  <si>
    <t>x=123926, y=394144</t>
  </si>
  <si>
    <t>26/2477</t>
  </si>
  <si>
    <t>TRNOVEC</t>
  </si>
  <si>
    <t>Trnovec 12, 8292 Zabukovje</t>
  </si>
  <si>
    <t>x=98659, y=529838</t>
  </si>
  <si>
    <t>26/2478</t>
  </si>
  <si>
    <t>DOLNJE BREZOVO</t>
  </si>
  <si>
    <t>Dolnje Brezovo 33, 8283 Blanca</t>
  </si>
  <si>
    <t>x=94556, y=528705</t>
  </si>
  <si>
    <t>26/2480</t>
  </si>
  <si>
    <t>x=95693, y=520448</t>
  </si>
  <si>
    <t>26/2482</t>
  </si>
  <si>
    <t>Razbor - Lisce</t>
  </si>
  <si>
    <t>RAZBOR - LISCE</t>
  </si>
  <si>
    <t>Razbor 15, 1434 Loka pri Zidanem Mostu</t>
  </si>
  <si>
    <t>x=101708, y=520226</t>
  </si>
  <si>
    <t>26/2490</t>
  </si>
  <si>
    <t>KANALSKI VRH</t>
  </si>
  <si>
    <t>Kanalski vrh 8, 5213 Kanal</t>
  </si>
  <si>
    <t>x=104591, y=397018</t>
  </si>
  <si>
    <t>26/2498</t>
  </si>
  <si>
    <t>VODICE 2</t>
  </si>
  <si>
    <t>VODICE (Litija)</t>
  </si>
  <si>
    <t>Vodice pri Gabrovki 18, Vodice pri Gabrovki, 1274 Gabrovka</t>
  </si>
  <si>
    <t>x=96926, y=498525</t>
  </si>
  <si>
    <t>26/2510</t>
  </si>
  <si>
    <t>x=96685, y=543719</t>
  </si>
  <si>
    <t>26/2534</t>
  </si>
  <si>
    <t>SLIVNA - MALA SELA</t>
  </si>
  <si>
    <t>SLIVNA</t>
  </si>
  <si>
    <t>GOSTILNA VRABEC</t>
  </si>
  <si>
    <t>26/2539</t>
  </si>
  <si>
    <t>26/2555</t>
  </si>
  <si>
    <t>PREGARJE 18, PREGARJE, 6243 Obrov</t>
  </si>
  <si>
    <t>x=48697, y=432607</t>
  </si>
  <si>
    <t>26/2573</t>
  </si>
  <si>
    <t>x=102151, y=445509</t>
  </si>
  <si>
    <t>26/2584</t>
  </si>
  <si>
    <t>KOMUNALA VITANJE, d.o.o.</t>
  </si>
  <si>
    <t>ZGORNJI BREZEN</t>
  </si>
  <si>
    <t>Brezen 21, 3205 Vitanje</t>
  </si>
  <si>
    <t>x=137169, y=520666</t>
  </si>
  <si>
    <t>26/2586</t>
  </si>
  <si>
    <t>STAGONCE - KANCIJAN</t>
  </si>
  <si>
    <t>Kladje 31, 8283 Blanca</t>
  </si>
  <si>
    <t>x=95252, y=532656</t>
  </si>
  <si>
    <t>26/2588</t>
  </si>
  <si>
    <t>INDUSTRIJA VITANJE</t>
  </si>
  <si>
    <t>Brezen 2, 3205 Vitanje</t>
  </si>
  <si>
    <t>x=136020, y=521964</t>
  </si>
  <si>
    <t>26/2611</t>
  </si>
  <si>
    <t>Mrzlavski Gaj Vitovec Stankovo</t>
  </si>
  <si>
    <t>x=80955, y=544213</t>
  </si>
  <si>
    <t>26/2644</t>
  </si>
  <si>
    <t>DOLGA GORA 2</t>
  </si>
  <si>
    <t>FIDLER LIDIJA</t>
  </si>
  <si>
    <t>DOLGA GORA 51C, 3232 Ponikva</t>
  </si>
  <si>
    <t>26/2650</t>
  </si>
  <si>
    <t>PRVINE</t>
  </si>
  <si>
    <t>DOBRLJEVO 22, DOBRLJEVO, 1410 Zagorje ob Savi</t>
  </si>
  <si>
    <t>26/2656</t>
  </si>
  <si>
    <t>26/2661</t>
  </si>
  <si>
    <t>x=107259, y=478339</t>
  </si>
  <si>
    <t>26/2665</t>
  </si>
  <si>
    <t>Gostilna Ledinek</t>
  </si>
  <si>
    <t>x=109627, y=458934</t>
  </si>
  <si>
    <t>26/2675</t>
  </si>
  <si>
    <t>x=103059, y=452798</t>
  </si>
  <si>
    <t>26/2714</t>
  </si>
  <si>
    <t>x=133205, y=445319</t>
  </si>
  <si>
    <t>26/2715</t>
  </si>
  <si>
    <t>x=135875, y=447381</t>
  </si>
  <si>
    <t>26/2726</t>
  </si>
  <si>
    <t>RONKOVA 4A, 2380 Slovenj Gradec</t>
  </si>
  <si>
    <t>x=151264, y=507127</t>
  </si>
  <si>
    <t>26/2739</t>
  </si>
  <si>
    <t>x=112885, y=518316</t>
  </si>
  <si>
    <t>26/2753</t>
  </si>
  <si>
    <t>GOSTILNA LESJAK</t>
  </si>
  <si>
    <t>MAKOLE 36, 2321 Makole</t>
  </si>
  <si>
    <t>x=130592, y=551736</t>
  </si>
  <si>
    <t>26/2759</t>
  </si>
  <si>
    <t>VVO SELNICA</t>
  </si>
  <si>
    <t>x=156426, y=537884</t>
  </si>
  <si>
    <t>26/2772</t>
  </si>
  <si>
    <t>x=120695, y=512537</t>
  </si>
  <si>
    <t>26/2794</t>
  </si>
  <si>
    <t>26/2795</t>
  </si>
  <si>
    <t>26/2837</t>
  </si>
  <si>
    <t>Vrtec Litija, Enota Kekec</t>
  </si>
  <si>
    <t>Sava 21, 1282 Sava</t>
  </si>
  <si>
    <t>x=104276, y=492412</t>
  </si>
  <si>
    <t>26/2870</t>
  </si>
  <si>
    <t>Besnica 21, Besnica, 1260 Ljubljana - Polje</t>
  </si>
  <si>
    <t>x=99097, y=473932</t>
  </si>
  <si>
    <t>26/2874</t>
  </si>
  <si>
    <t>KOPRIVNICA</t>
  </si>
  <si>
    <t>Koprivnica 2, 8282 Koprivnica</t>
  </si>
  <si>
    <t>x=99166, y=542215</t>
  </si>
  <si>
    <t>26/2878</t>
  </si>
  <si>
    <t>x=117393, y=393741</t>
  </si>
  <si>
    <t>26/2893</t>
  </si>
  <si>
    <t>26/2894</t>
  </si>
  <si>
    <t>PLANINA NAD HORJULOM</t>
  </si>
  <si>
    <t>stanovanjski objekt Raztresen, Planina nad Horjulom</t>
  </si>
  <si>
    <t>Planina nad Horjulom 9, Planina nad Horjulom, 4224 Gorenja vas</t>
  </si>
  <si>
    <t>26/2901</t>
  </si>
  <si>
    <t>CIRNIK - RAVNE</t>
  </si>
  <si>
    <t>Cirnik 5, 8233 Mirna</t>
  </si>
  <si>
    <t>x=90844, y=501064</t>
  </si>
  <si>
    <t>26/2942</t>
  </si>
  <si>
    <t>x=115535, y=425707</t>
  </si>
  <si>
    <t>26/2954</t>
  </si>
  <si>
    <t>LV LOBNICA</t>
  </si>
  <si>
    <t>x=152883, y=540361</t>
  </si>
  <si>
    <t>26/2956</t>
  </si>
  <si>
    <t>Vrh Svetih Treh Kraljev</t>
  </si>
  <si>
    <t>Vrh Svetih Treh Kraljev 19, Vrh Svetih Treh Kraljev, 1373 Rovte</t>
  </si>
  <si>
    <t>x=96723, y=436439, z=810</t>
  </si>
  <si>
    <t>26/2957</t>
  </si>
  <si>
    <t>x=120265, y=378062</t>
  </si>
  <si>
    <t>26/2960</t>
  </si>
  <si>
    <t>Golte</t>
  </si>
  <si>
    <t>HOTEL MONTIS IN VODOHRAM GOLTE</t>
  </si>
  <si>
    <t>RADEGUNDA 58, 3330 Mozirje</t>
  </si>
  <si>
    <t>x=136073, y=492291</t>
  </si>
  <si>
    <t>26/2976</t>
  </si>
  <si>
    <t>VODOVODNI SISTEM LJUBELJ</t>
  </si>
  <si>
    <t>LJUBELJ</t>
  </si>
  <si>
    <t>26/2977</t>
  </si>
  <si>
    <t>VODOVODNI SISTEM DOLINA</t>
  </si>
  <si>
    <t>DOLINA</t>
  </si>
  <si>
    <t>NA NASLOVU DOLINA 15</t>
  </si>
  <si>
    <t>26/2980</t>
  </si>
  <si>
    <t>MIHA SMOLEJ</t>
  </si>
  <si>
    <t>LASTNI VODNI VIR SMOLEJ</t>
  </si>
  <si>
    <t>PLANINA POD GOLICO</t>
  </si>
  <si>
    <t>PLANINA POD GOLICO 4A, 4270 Jesenice</t>
  </si>
  <si>
    <t>26/2984</t>
  </si>
  <si>
    <t>26/3000</t>
  </si>
  <si>
    <t>BILPA</t>
  </si>
  <si>
    <t>BILPA , BILPA, 8342 Stari trg ob Kolpi</t>
  </si>
  <si>
    <t>26/3002</t>
  </si>
  <si>
    <t>MENINA</t>
  </si>
  <si>
    <t>MENINA D.O.O.</t>
  </si>
  <si>
    <t>VODOVOD MENINA</t>
  </si>
  <si>
    <t>26/3005</t>
  </si>
  <si>
    <t>26/3022</t>
  </si>
  <si>
    <t>KOLOVEC 12, 1235 Radomlje</t>
  </si>
  <si>
    <t>26/3034</t>
  </si>
  <si>
    <t>26/3040</t>
  </si>
  <si>
    <t>IK PR'POSILNC</t>
  </si>
  <si>
    <t>LAZE PRI GOBNIKU 2, 1274 Gabrovka</t>
  </si>
  <si>
    <t>26/3049</t>
  </si>
  <si>
    <t>VODOVOD HOTEL ZARJA</t>
  </si>
  <si>
    <t>HOTEL ZARJA</t>
  </si>
  <si>
    <t>FRAJHAJM 34, FRAJHAJM, 2208 Pohorje</t>
  </si>
  <si>
    <t>p/p 19</t>
  </si>
  <si>
    <t>26/3062</t>
  </si>
  <si>
    <t>LESKOVICA - VRATA</t>
  </si>
  <si>
    <t>KS LITIJA - LESKOVICA</t>
  </si>
  <si>
    <t>VODOHRAM LESKOVICA</t>
  </si>
  <si>
    <t>Leskovica 3</t>
  </si>
  <si>
    <t>26/3069</t>
  </si>
  <si>
    <t>VODOVOD KORENSKO SEDLO</t>
  </si>
  <si>
    <t>KORENSKO SEDLO</t>
  </si>
  <si>
    <t>KOMPAS SHOP KORENSKO SEDLO</t>
  </si>
  <si>
    <t>PODKOREN 50A, PODKOREN, 4280 Kranjska Gora</t>
  </si>
  <si>
    <t>26/3077</t>
  </si>
  <si>
    <t>26/3080</t>
  </si>
  <si>
    <t>GOSTILNA PR'BIRT</t>
  </si>
  <si>
    <t>GOSTILNA PR'BIRT - PIPA V GOSTINSKI KUHINJI</t>
  </si>
  <si>
    <t>PRAPROTNO 17, 4227 Selca</t>
  </si>
  <si>
    <t>26/3087</t>
  </si>
  <si>
    <t>26/3096</t>
  </si>
  <si>
    <t>VODOVOD DOBRAVICA</t>
  </si>
  <si>
    <t>NASELJE DOBRAVICA</t>
  </si>
  <si>
    <t>DOBRAVICA 3</t>
  </si>
  <si>
    <t>DOBRAVICA 3, DOBRAVICA, 4244 Podnart</t>
  </si>
  <si>
    <t>26/3098</t>
  </si>
  <si>
    <t>VODOVOD POT V SKALE</t>
  </si>
  <si>
    <t>POT V SKALE</t>
  </si>
  <si>
    <t>26/3104</t>
  </si>
  <si>
    <t>VODOVOD DOM NA MIRNI GORI</t>
  </si>
  <si>
    <t>DOM NA MIRNI GORI</t>
  </si>
  <si>
    <t>26/3105</t>
  </si>
  <si>
    <t>VODOVOD MALENSKI VRH - JAZBINE</t>
  </si>
  <si>
    <t>MALENSKI VRH - JAZBINE</t>
  </si>
  <si>
    <t>MALENSKI VRH</t>
  </si>
  <si>
    <t>26/3108</t>
  </si>
  <si>
    <t>VODOVOD PLANINSKI DOM NA RESEVNI</t>
  </si>
  <si>
    <t>PLANINSKI DOM NA RESEVNI</t>
  </si>
  <si>
    <t>26/3112</t>
  </si>
  <si>
    <t>26/3114</t>
  </si>
  <si>
    <t>26/3118</t>
  </si>
  <si>
    <t>KO KOKRA</t>
  </si>
  <si>
    <t>VODOVOD PSTOTNEK</t>
  </si>
  <si>
    <t>ZASELEK KOKRA CENTER</t>
  </si>
  <si>
    <t>KOKRA 23, KOKRA, 4205 Preddvor</t>
  </si>
  <si>
    <t>26/3120</t>
  </si>
  <si>
    <t>VODOVODNI SISTEM SLAMNIKI</t>
  </si>
  <si>
    <t>Bohinjska Bela - VAS - Slamniki</t>
  </si>
  <si>
    <t>SLAMNIKI 3, SLAMNIKI, 4263 Bohinjska Bela</t>
  </si>
  <si>
    <t>26/3133</t>
  </si>
  <si>
    <t>TOLMINSKE RAVNE</t>
  </si>
  <si>
    <t>26/3139</t>
  </si>
  <si>
    <t>26/3143</t>
  </si>
  <si>
    <t>VODARNA MOTA</t>
  </si>
  <si>
    <t>VRTEC CVEN</t>
  </si>
  <si>
    <t>CVEN 3C, CVEN, 9240 Ljutomer</t>
  </si>
  <si>
    <t>x=156873, y=593274</t>
  </si>
  <si>
    <t>26/3152</t>
  </si>
  <si>
    <t>DOM NA TRAVNI GORI STORITVE IN TRGOVINA D. O. O.</t>
  </si>
  <si>
    <t>VS PLANINSKI DOM NA TRAVNI GORI</t>
  </si>
  <si>
    <t>PLANINSKI DOM NA TRAVNI GORI</t>
  </si>
  <si>
    <t>26/3153</t>
  </si>
  <si>
    <t>26/3155</t>
  </si>
  <si>
    <t>GORENJE NEKOVO</t>
  </si>
  <si>
    <t>KORITO NA VASI</t>
  </si>
  <si>
    <t>GORENJE NEKOVO , GORENJE NEKOVO, 5213 Kanal</t>
  </si>
  <si>
    <t>26/3179</t>
  </si>
  <si>
    <t>BRDCE</t>
  </si>
  <si>
    <t>PIPA NA UMIVALNIKU V MLEKARNICI</t>
  </si>
  <si>
    <t>BRDCE NAD DOBRNO 17, BRDCE NAD DOBRNO, 3204 Dobrna</t>
  </si>
  <si>
    <t>x=136247, y=519435</t>
  </si>
  <si>
    <t>26/3181</t>
  </si>
  <si>
    <t>Osolnik</t>
  </si>
  <si>
    <t>Osolnik 2, Osolnik, 1215 Medvode</t>
  </si>
  <si>
    <t>Vzorčenje</t>
  </si>
  <si>
    <t>Območje</t>
  </si>
  <si>
    <t>Clostridium perfringens (vključno s sporami)</t>
  </si>
  <si>
    <t>občasna dezinfekcija, dezinfekcija s plinskim klorom</t>
  </si>
  <si>
    <t>Celje  - osrednje območje</t>
  </si>
  <si>
    <t>območje 1-MARIBOR</t>
  </si>
  <si>
    <t>območje 5-SLOVENSKE GORICE</t>
  </si>
  <si>
    <t>Korčetova ulica 18, 2000 Maribor</t>
  </si>
  <si>
    <t>ZD Most na Soči</t>
  </si>
  <si>
    <t>Most na Soči 52, 5216 Most na Soči</t>
  </si>
  <si>
    <t>Mačkovci 35, 9202 Mačkovci</t>
  </si>
  <si>
    <t>Erjavčeva cesta 29, Ljubljana Center, 1000 Ljubljana</t>
  </si>
  <si>
    <t>Ulica bratov Učakar 64, Ljubljana Koseze, 1000 Ljubljana</t>
  </si>
  <si>
    <t>Klopčičeva 1, Ljubljana Dravlje, 1000 Ljubljana</t>
  </si>
  <si>
    <t>Ulica Malči Beličeve 20, 1000 Ljubljana</t>
  </si>
  <si>
    <t>Prvačina 48a, 5297 Prvačina</t>
  </si>
  <si>
    <t>Gregorčičeva ulica 30a, 5294 Dornberk</t>
  </si>
  <si>
    <t>Občina Miren - kuhinja</t>
  </si>
  <si>
    <t>Stična 24, 1295 Ivančna Gorica</t>
  </si>
  <si>
    <t>Zagradec 33, 1295 Ivančna Gorica</t>
  </si>
  <si>
    <t>Ribčev Laz 51, Bohinj, 4265 Bohinjsko jezero</t>
  </si>
  <si>
    <t>Podzemelj, Gostilna Veselič</t>
  </si>
  <si>
    <t>Vrtec Zreče</t>
  </si>
  <si>
    <t>Cesta na Roglo 13, 3214 Zreče</t>
  </si>
  <si>
    <t>občasna dezinfekcija, dezinfekcija z natrijevim hipokloritom</t>
  </si>
  <si>
    <t>Vrtec Radeče - Enota 1</t>
  </si>
  <si>
    <t>IMP KLima Godovič</t>
  </si>
  <si>
    <t>Godovič 150, 5280 Idrija</t>
  </si>
  <si>
    <t>območje 7 - KAMNICA -BRESTERNICA</t>
  </si>
  <si>
    <t>VVO Borisa Pečeta,  ENOTA BRESTERNICA</t>
  </si>
  <si>
    <t>Mesarija Mlinarič d.o.o., Lesce</t>
  </si>
  <si>
    <t>Na peči 20, 1000 Ljubljana</t>
  </si>
  <si>
    <t>Vrtec Pedenjped - enota Učenjak</t>
  </si>
  <si>
    <t>Občina Kanal ob Soči</t>
  </si>
  <si>
    <t>Vrtec Rečica ob Savinji</t>
  </si>
  <si>
    <t>Rečica ob Savinji 55, 3332 Rečica ob Savinji</t>
  </si>
  <si>
    <t>Občina Velika Polana</t>
  </si>
  <si>
    <t>Zabiče 59a</t>
  </si>
  <si>
    <t>Podbočje 82, 8312 Podbočje</t>
  </si>
  <si>
    <t>Vrtec Luče</t>
  </si>
  <si>
    <t>Luče 77, 3334 Luče</t>
  </si>
  <si>
    <t>Vegova ulica 38, 1251 Moravče</t>
  </si>
  <si>
    <t>Volče 96c, 5220 Tolmin</t>
  </si>
  <si>
    <t>Vrtec Rateče</t>
  </si>
  <si>
    <t>Rateče 18, Rateče, 4283 Rateče - Planica</t>
  </si>
  <si>
    <t>drugo sredstvo, občasna dezinfekcija</t>
  </si>
  <si>
    <t>Vrtec Podčetrtek</t>
  </si>
  <si>
    <t>Bočna 63, 3342 Gornji Grad</t>
  </si>
  <si>
    <t>Občina Cerkno</t>
  </si>
  <si>
    <t>Gubčeva cesta 23, 8230 Mokronog</t>
  </si>
  <si>
    <t>Občina Bloke</t>
  </si>
  <si>
    <t>Dravinjska cesta 1, 3214 Zreče</t>
  </si>
  <si>
    <t>občasna dezinfekcija</t>
  </si>
  <si>
    <t>Ingoličeva  7, 2314 Zgornja Polskava</t>
  </si>
  <si>
    <t>Kmečki turizem Pavlin</t>
  </si>
  <si>
    <t>nedoločeno</t>
  </si>
  <si>
    <t>Curnovec 6B, Curnovec, 8253 Artiče</t>
  </si>
  <si>
    <t>Kmečki hram</t>
  </si>
  <si>
    <t>Tomačevska cesta 50, 1000 Ljubljana</t>
  </si>
  <si>
    <t>Občina Hoče - Slivnica</t>
  </si>
  <si>
    <t>POLANA 35, POLANA, 2311 Hoče</t>
  </si>
  <si>
    <t>Kmečki turizem Metnaj</t>
  </si>
  <si>
    <t>Pečica 45, 3241 Podplat</t>
  </si>
  <si>
    <t>SELCE 72, SELCE, 2232 Voličina</t>
  </si>
  <si>
    <t>Lučine 11, Lučine, 4224 Gorenja vas</t>
  </si>
  <si>
    <t>Bučka, vrtec</t>
  </si>
  <si>
    <t>Stanovanjski objekt (Marjetič)</t>
  </si>
  <si>
    <t>Artiče</t>
  </si>
  <si>
    <t>Vrtec Artiče</t>
  </si>
  <si>
    <t>Artiče 39, 8253 Artiče</t>
  </si>
  <si>
    <t>DUO Impoljca - 1. nad. Desno, C stan.odd.,čajna kuh.</t>
  </si>
  <si>
    <t>Avtomehanika Jagodič Peter</t>
  </si>
  <si>
    <t>VZ Senično</t>
  </si>
  <si>
    <t>Knaflič Drago</t>
  </si>
  <si>
    <t>Hočko Pohorje 43, 2311 Hoče</t>
  </si>
  <si>
    <t>Vače 24, 1252 Vače</t>
  </si>
  <si>
    <t>Varstrug Kočna d.o.o.</t>
  </si>
  <si>
    <t>Kočna 25A, Kočna, 4270 Jesenice</t>
  </si>
  <si>
    <t>Lastnič 82, Lastnič, 3255 Buče</t>
  </si>
  <si>
    <t>Avtoservis Rečnik Egon</t>
  </si>
  <si>
    <t>Pivola 74, 2311 Hoče</t>
  </si>
  <si>
    <t>Ranče 175, 2313 Fram</t>
  </si>
  <si>
    <t>območje 9 - PIVOLA - POHORSKI DVOR</t>
  </si>
  <si>
    <t>Pivola  11, Pivola, 2311 Hoče</t>
  </si>
  <si>
    <t>Račnik Anica</t>
  </si>
  <si>
    <t>Pameče 93a, 2380 Slovenj Gradec</t>
  </si>
  <si>
    <t>Radeče papir</t>
  </si>
  <si>
    <t>Njivice 17, 1433 Radeče</t>
  </si>
  <si>
    <t>Hotel Celjska koča</t>
  </si>
  <si>
    <t>Pečovnik 31, 3000 Celje</t>
  </si>
  <si>
    <t>Občina Kamnik</t>
  </si>
  <si>
    <t>Krivčevo 2, Krivčevo, 1242 Stahovica</t>
  </si>
  <si>
    <t>Avče  59, 5213 Kanal</t>
  </si>
  <si>
    <t>POLANA 12, 2311 Hoče</t>
  </si>
  <si>
    <t>Občina Puconci</t>
  </si>
  <si>
    <t>Občina Dol pri Ljubljani</t>
  </si>
  <si>
    <t>Sajevec, Jaklič Martina</t>
  </si>
  <si>
    <t>MARIBORSKA 40, OREHOVA VAS, 2311 Hoče</t>
  </si>
  <si>
    <t>Vranja Peč 3, Vranja Peč, 1241 Kamnik</t>
  </si>
  <si>
    <t>Občina Borovnica</t>
  </si>
  <si>
    <t>Občina Ribnica</t>
  </si>
  <si>
    <t>Soča  28, 5232 Soča</t>
  </si>
  <si>
    <t>Resnik 22, 3214 Zreče</t>
  </si>
  <si>
    <t>Planinski dom in okrepčevalnica Jakec</t>
  </si>
  <si>
    <t>Grčarevec</t>
  </si>
  <si>
    <t>Grčarevec 9, Grčarevec, 1370 Logatec</t>
  </si>
  <si>
    <t>Sela pri Volčah 22, 5220 Tolmin</t>
  </si>
  <si>
    <t>Bečaje 9, Bečaje, 1380 Cerknica</t>
  </si>
  <si>
    <t>Hočko Pohorje 40, 2208 Pohorje</t>
  </si>
  <si>
    <t>Turistična kmetija Nemec</t>
  </si>
  <si>
    <t>Kmečki turizem-Dolenc Frenk</t>
  </si>
  <si>
    <t>Vinotoč Sodček</t>
  </si>
  <si>
    <t>Trebenče 1, Trebenče, 5282 Cerkno</t>
  </si>
  <si>
    <t>Brezje pri Oplotnici 13, Brezje pri Oplotnici, 3214 Zreče</t>
  </si>
  <si>
    <t>Skomarje 32, Skomarje, 3214 Zreče</t>
  </si>
  <si>
    <t>območje 11 - GAJ</t>
  </si>
  <si>
    <t>Vrenska Gorca 6, Vrenska Gorca, 3255 Buče</t>
  </si>
  <si>
    <t>stanovanjski objekt Mohorič- mizarstvo, Pevno</t>
  </si>
  <si>
    <t>dezinfekcija z Dizosan klor tabletami, občasna dezinfekcija</t>
  </si>
  <si>
    <t>Raduha 1, 3334 Luče</t>
  </si>
  <si>
    <t>Gotenica 1, Gotenica, 1330 Kočevje</t>
  </si>
  <si>
    <t>Vrtec Gorenje pri Zrečah</t>
  </si>
  <si>
    <t>Gorenje pri Zrečah 19, 3214 Zreče</t>
  </si>
  <si>
    <t>Trenta  29a, 5232 Soča</t>
  </si>
  <si>
    <t>Občina Prebold</t>
  </si>
  <si>
    <t>Občina Medvode</t>
  </si>
  <si>
    <t>Bozovičar</t>
  </si>
  <si>
    <t>Hotel pod Roglo, gostinsko, proizvodno in turistično podjetje d.o.o.</t>
  </si>
  <si>
    <t>Boharina 2, 3214 Zreče</t>
  </si>
  <si>
    <t>Vodovod Paloviče</t>
  </si>
  <si>
    <t>Paloviče</t>
  </si>
  <si>
    <t>Vrtec Mladi rod, enota Kostanjčkov vrtec</t>
  </si>
  <si>
    <t>Vrtec Ciciban, enota Mehurčki</t>
  </si>
  <si>
    <t>BREZOVICA PRI PREDGRADU 8, BREZOVICA PRI PREDGRADU, 1330 Kočevje</t>
  </si>
  <si>
    <t>Koprivnik, Marinč Bojan</t>
  </si>
  <si>
    <t>Koprivnik 15, 1330 Kočevje</t>
  </si>
  <si>
    <t>Turistična kmetija pri Marku""</t>
  </si>
  <si>
    <t>St. h. Zabočevo 1</t>
  </si>
  <si>
    <t>Zabočevo 1, 1353 Borovnica</t>
  </si>
  <si>
    <t>Rogla 15, 3214 Zreče</t>
  </si>
  <si>
    <t>Trenta 19 A, 5232 Soča</t>
  </si>
  <si>
    <t>Gregorčičeva ulica 32, 5222 Kobarid</t>
  </si>
  <si>
    <t>Arnič Mirko</t>
  </si>
  <si>
    <t>Ovčar Ernest</t>
  </si>
  <si>
    <t>KS Sobrače</t>
  </si>
  <si>
    <t>Buč 19, Buč, 1219 Laze v Tuhinju</t>
  </si>
  <si>
    <t>LOGARSKA DOLINA 13A, 3335 Solčava</t>
  </si>
  <si>
    <t>Občina Lukovica</t>
  </si>
  <si>
    <t>Novo mesto, VVO Ločna</t>
  </si>
  <si>
    <t>Petrovče 97, 3301 Petrovče</t>
  </si>
  <si>
    <t>Razvanjska c. 64, 2311 Hoče</t>
  </si>
  <si>
    <t>Vrtec Janček Visoko</t>
  </si>
  <si>
    <t>Kmečki turizem pri Betel</t>
  </si>
  <si>
    <t>Kidričeva ulica 36, 5000 Nova Gorica</t>
  </si>
  <si>
    <t>KOSOVELOVA 9, 6215 Divača</t>
  </si>
  <si>
    <t>Dobrnič 4/a, 8211 Dobrnič</t>
  </si>
  <si>
    <t>Vrtec Loče</t>
  </si>
  <si>
    <t>Vrtec Medvode, enota Pirniče</t>
  </si>
  <si>
    <t>Zgornje Pirniče 37C, Zgornje Pirniče, 1215 Medvode</t>
  </si>
  <si>
    <t>Abramova ulica 26, Ljubljana Vič, 1000 Ljubljana</t>
  </si>
  <si>
    <t>Prelovčeva 11, 5280 Idrija</t>
  </si>
  <si>
    <t>Trg 8, 8216 Mirna Peč</t>
  </si>
  <si>
    <t>Semič VVO</t>
  </si>
  <si>
    <t>območje 4-DUPLEK</t>
  </si>
  <si>
    <t>Bar Studenček</t>
  </si>
  <si>
    <t>DRAVINJSKA C.26, 2319 Poljčane</t>
  </si>
  <si>
    <t>KS Vodovodni odbor Goriče</t>
  </si>
  <si>
    <t>Srednja vas - Goriče 1, Srednja vas - Goriče, 4204 Golnik</t>
  </si>
  <si>
    <t>Zgornji Hotič 6, 1270 Litija</t>
  </si>
  <si>
    <t>Apače 38, 9253 Apače</t>
  </si>
  <si>
    <t>Golobinjek ob Sotli 10, Golobinjek ob Sotli, 3254 Podčetrtek</t>
  </si>
  <si>
    <t>Gregorčičeva 18a, 5222 Kobarid</t>
  </si>
  <si>
    <t xml:space="preserve">Občina Cerkno </t>
  </si>
  <si>
    <t>Občina Osilnica</t>
  </si>
  <si>
    <t>Gostilna in hotel Kovač</t>
  </si>
  <si>
    <t>SLIVNA 18, SLIVNA, 1252 Vače</t>
  </si>
  <si>
    <t>Praproče 10, 1355 Polhov Gradec</t>
  </si>
  <si>
    <t>Unior Zreče, Obrat Vitanje</t>
  </si>
  <si>
    <t>Bife pri Mačku</t>
  </si>
  <si>
    <t>DOL SUHA 38, 3332 Rečica ob Savinji</t>
  </si>
  <si>
    <t>LOGARSKA DOLINA 18, 3335 Solčava</t>
  </si>
  <si>
    <t>LOGARSKA DOLINA 27, LOGARSKA DOLINA, 3335 Solčava</t>
  </si>
  <si>
    <t>PLANINA 6, 8333 Semič</t>
  </si>
  <si>
    <t>Brunarica Osolnik - deluje čez vikend</t>
  </si>
  <si>
    <t>Električna prevodnost pri 20 °C</t>
  </si>
  <si>
    <t>°C</t>
  </si>
  <si>
    <t>µS/cm</t>
  </si>
  <si>
    <t>µg/L</t>
  </si>
  <si>
    <t>26/0003, Osnovn€¦</t>
  </si>
  <si>
    <t>kuhinja, pipa n€¦</t>
  </si>
  <si>
    <t>Vrtec Jakec Pes€¦</t>
  </si>
  <si>
    <t>pomivalnica, pi€¦</t>
  </si>
  <si>
    <t>namenska pipa z€¦</t>
  </si>
  <si>
    <t>pipa za točilni€¦</t>
  </si>
  <si>
    <t>Bar pri Petrolu€¦</t>
  </si>
  <si>
    <t>Gostilna Plus -€¦</t>
  </si>
  <si>
    <t>26/0355, Vrtec €¦</t>
  </si>
  <si>
    <t>stanovanjska hi€¦</t>
  </si>
  <si>
    <t>javna pipa na f€¦</t>
  </si>
  <si>
    <t>pipa na kamnite€¦</t>
  </si>
  <si>
    <t>hidrant pri gas€¦</t>
  </si>
  <si>
    <t>pritličje, pipa€¦</t>
  </si>
  <si>
    <t>26/0476, VVZ Tu€¦</t>
  </si>
  <si>
    <t>Dovje 21, pipa €¦</t>
  </si>
  <si>
    <t>pipa v kopalnic€¦</t>
  </si>
  <si>
    <t>V Karlovce 44, €¦</t>
  </si>
  <si>
    <t>veliko Ubeljsko€¦</t>
  </si>
  <si>
    <t>Hrast pri Jugor€¦</t>
  </si>
  <si>
    <t>Stanovanjska hi€¦</t>
  </si>
  <si>
    <t>Stolovnik 54a, €¦</t>
  </si>
  <si>
    <t>Bar Janc, Log 9€¦</t>
  </si>
  <si>
    <t>Stanovanjski ob€¦</t>
  </si>
  <si>
    <t>pipa v sanitari€¦</t>
  </si>
  <si>
    <t>Stanovanjski bl€¦</t>
  </si>
  <si>
    <t>Hidrant na nasl€¦</t>
  </si>
  <si>
    <t>Okrepčevalnica€¦</t>
  </si>
  <si>
    <t>26/0696, STANOV€¦</t>
  </si>
  <si>
    <t>Vrtec Rečica ob€¦</t>
  </si>
  <si>
    <t>Malo Ubeljsko 2€¦</t>
  </si>
  <si>
    <t>Selo pri Mirni €¦</t>
  </si>
  <si>
    <t>Draga 1b, pipa €¦</t>
  </si>
  <si>
    <t>Bečaje 5, korit€¦</t>
  </si>
  <si>
    <t>Bitja vas 3,  v€¦</t>
  </si>
  <si>
    <t>Gozd 15, pipa v€¦</t>
  </si>
  <si>
    <t>Visoko 10, kori€¦</t>
  </si>
  <si>
    <t>pipa zunaj za h€¦</t>
  </si>
  <si>
    <t>hidrant pri avt€¦</t>
  </si>
  <si>
    <t>Kladje nad Blan€¦</t>
  </si>
  <si>
    <t>Hala, pipa na u€¦</t>
  </si>
  <si>
    <t>sanitarije, pip€¦</t>
  </si>
  <si>
    <t>Debenec 15,  pi€¦</t>
  </si>
  <si>
    <t>pipa v drvarnic€¦</t>
  </si>
  <si>
    <t>St.h.Brez. pri €¦</t>
  </si>
  <si>
    <t>Brezovo 13, kor€¦</t>
  </si>
  <si>
    <t>Trnovec 28 A, p€¦</t>
  </si>
  <si>
    <t>Bar Makarena, B€¦</t>
  </si>
  <si>
    <t>Selo 88, kuhinj€¦</t>
  </si>
  <si>
    <t>stanovanjski ob€¦</t>
  </si>
  <si>
    <t>točilni pult, p€¦</t>
  </si>
  <si>
    <t>zunanja pipa ob€¦</t>
  </si>
  <si>
    <t>Hotel Planja - €¦</t>
  </si>
  <si>
    <t>dostava, rampa,€¦</t>
  </si>
  <si>
    <t>Javor 16, korit€¦</t>
  </si>
  <si>
    <t>Sobrače 12a, um€¦</t>
  </si>
  <si>
    <t>pipa v točilnem€¦</t>
  </si>
  <si>
    <t>pipa zunaj na v€¦</t>
  </si>
  <si>
    <t>Brezje 33 B, zu€¦</t>
  </si>
  <si>
    <t>26/1059, Osnovn€¦</t>
  </si>
  <si>
    <t>pipa v urgentni€¦</t>
  </si>
  <si>
    <t>pipa v pomivaln€¦</t>
  </si>
  <si>
    <t>VH Kalobje - KA€¦</t>
  </si>
  <si>
    <t>26/1200, Posest€¦</t>
  </si>
  <si>
    <t>Restavracija Ba€¦</t>
  </si>
  <si>
    <t>Trg 1.maja, fon€¦</t>
  </si>
  <si>
    <t>Center bar Dole€¦</t>
  </si>
  <si>
    <t>Pipa pri pokopa€¦</t>
  </si>
  <si>
    <t>pipa na koritu €¦</t>
  </si>
  <si>
    <t>pipa na delikat€¦</t>
  </si>
  <si>
    <t>Dom upokojencev€¦</t>
  </si>
  <si>
    <t>pipa na dvojnem€¦</t>
  </si>
  <si>
    <t>Vodohran Ilovca€¦</t>
  </si>
  <si>
    <t>26/1710, Osnovn€¦</t>
  </si>
  <si>
    <t>Hotel Dolenjske€¦</t>
  </si>
  <si>
    <t>Radovica, pipa €¦</t>
  </si>
  <si>
    <t>čajna kuhinja, €¦</t>
  </si>
  <si>
    <t>26/1994, Osnovn€¦</t>
  </si>
  <si>
    <t>laboratorij, pi€¦</t>
  </si>
  <si>
    <t>Mrzlavski Gaj €“ Vitovec €“ Stankovo</t>
  </si>
  <si>
    <t>Igralnica 07, r€¦</t>
  </si>
  <si>
    <t>hidrant pri sta€¦</t>
  </si>
  <si>
    <t>pipa v garderob€¦</t>
  </si>
  <si>
    <t>Kopačnica 8a, p€¦</t>
  </si>
  <si>
    <t>pipa v čajni ku€¦</t>
  </si>
  <si>
    <t>Vrtina Brdce na€¦</t>
  </si>
  <si>
    <t>dezinfekcija z natrijevim hipokloritom, dezinfekcija z UV žarki</t>
  </si>
  <si>
    <t>Rižanski vodovod Koper</t>
  </si>
  <si>
    <t>Komunalno stanovanjska družba d.o.o.</t>
  </si>
  <si>
    <t>filtri, redna dezinfekcija, dezinfekcija z natrijevim hipokloritom, dezinfekcija z UV žarki</t>
  </si>
  <si>
    <t>Vavta vas 1, 8351 Straža</t>
  </si>
  <si>
    <t>ultrafiltracija, redna dezinfekcija, dezinfekcija z UV žarki</t>
  </si>
  <si>
    <t>Ljubljanska cesta 58 A, 1230 Domžale</t>
  </si>
  <si>
    <t>CESTA V DOBROVCE 23, 2204 Miklavž na Dravskem polju</t>
  </si>
  <si>
    <t>dezinfekcija s plinskim klorom, dezinfekcija z natrijevim hipokloritom, dezinfekcija z UV žarki</t>
  </si>
  <si>
    <t>dezinfekcija s plinskim klorom, dezinfekcija z UV žarki</t>
  </si>
  <si>
    <t>Ulica prvoborcev 16, Ljubljana Bežigrad, 1000 Ljubljana</t>
  </si>
  <si>
    <t>Vrtec Mojca, enota Rožle</t>
  </si>
  <si>
    <t>filtri, koagulacija, flokulacija, dezinfekcija s plinskim klorom, dezinfekcija z ozonom, dezinfekcija z UV žarki</t>
  </si>
  <si>
    <t>redna dezinfekcija, dezinfekcija z UV žarki</t>
  </si>
  <si>
    <t>dezinfekcija z UV žarki</t>
  </si>
  <si>
    <t>pipa v ženskih €¦</t>
  </si>
  <si>
    <t>Vrtec Sežana</t>
  </si>
  <si>
    <t>Regentova ulica 1, 6210 Sežana</t>
  </si>
  <si>
    <t>Janežovski vrh 45, 2253 Destrnik</t>
  </si>
  <si>
    <t>Ob dolenjski železnici 10, Ljubljana Galjevica, 1000 Ljubljana</t>
  </si>
  <si>
    <t>Gostilna Repovž€¦</t>
  </si>
  <si>
    <t>občasna dezinfekcija, redna dezinfekcija, dezinfekcija s plinskim klorom, dezinfekcija z UV žarki</t>
  </si>
  <si>
    <t>Pelechova cesta 83, Domžale, 1235 Radomlje</t>
  </si>
  <si>
    <t>Vinotoč Janžič</t>
  </si>
  <si>
    <t>Tinjska gora 88, 2316 Zgornja Ložnica</t>
  </si>
  <si>
    <t>filtri, dezinfekcija z natrijevim hipokloritom, dezinfekcija z UV žarki</t>
  </si>
  <si>
    <t>Komunala Brežice</t>
  </si>
  <si>
    <t>Aljažev hram</t>
  </si>
  <si>
    <t>Smolko Jožefa</t>
  </si>
  <si>
    <t>Gostilna Slatnar, Ambrož pod Krvavcem</t>
  </si>
  <si>
    <t>Ambrož 6, Ambrož pod Krvavcem, 4207 Cerklje na Gorenjskem</t>
  </si>
  <si>
    <t>Vodovodna zadruga Lom pod Storžičem</t>
  </si>
  <si>
    <t>Lom pod Storžičem 12, Lom pod Storžičem, 4290 Tržič</t>
  </si>
  <si>
    <t>filtri, dezinfekcija z UV žarki</t>
  </si>
  <si>
    <t>Gornji Križ, Kuhelj</t>
  </si>
  <si>
    <t>Gornji Križ,  -€¦</t>
  </si>
  <si>
    <t>redna dezinfekcija, dezinfekcija z natrijevim hipokloritom, dezinfekcija z UV žarki</t>
  </si>
  <si>
    <t>Komunala Tržič d.o.o.</t>
  </si>
  <si>
    <t>Casa latina Sas bar, Matjaž Mlakar s.p.</t>
  </si>
  <si>
    <t>Senično 15, Senično, 4294 Križe</t>
  </si>
  <si>
    <t>filtri, dezinfekcija s plinskim klorom, dezinfekcija z UV žarki</t>
  </si>
  <si>
    <t>Janžič</t>
  </si>
  <si>
    <t>Kostanjevec 68, 2316 Zgornja Ložnica</t>
  </si>
  <si>
    <t>Občina Sv. Andraž v Slovenskih goricah</t>
  </si>
  <si>
    <t>Vrtec Polžek</t>
  </si>
  <si>
    <t>Sovinja peč - Rožično</t>
  </si>
  <si>
    <t>Pobrež 2, Pobrež, 3210 Slovenske Konjice</t>
  </si>
  <si>
    <t>Vrtec Ožbalt</t>
  </si>
  <si>
    <t>Ožbalt 10, 2361 Ožbalt</t>
  </si>
  <si>
    <t>Zgornja Vižinga, 2360 Radlje ob Dravi</t>
  </si>
  <si>
    <t>filtri, koagulacija, flokulacija, redna dezinfekcija, dezinfekcija s plinskim klorom, dezinfekcija z natrijevim hipokloritom, dezinfekcija z UV žarki</t>
  </si>
  <si>
    <t>Stanovanjski objekt (Klavžar)</t>
  </si>
  <si>
    <t>Zabukovica 72, 3302 Griže</t>
  </si>
  <si>
    <t>Stare žage 13, 8350 Dolenjske Toplice</t>
  </si>
  <si>
    <t>Dežno pri Makolah 66, 2321 Makole</t>
  </si>
  <si>
    <t>VELIKO TINJE 29, 2316 Zgornja Ložnica</t>
  </si>
  <si>
    <t>pipa v garaži</t>
  </si>
  <si>
    <t>Gozd 9, Gozd, 4294 Križe</t>
  </si>
  <si>
    <t>Sužid 8, Sužid, 5222 Kobarid</t>
  </si>
  <si>
    <t>Tinjska gora  10, 2316 Zgornja Ložnica</t>
  </si>
  <si>
    <t>Križna cesta 31 b, Spodnje Hoče, 2311 Hoče</t>
  </si>
  <si>
    <t>garaža, pipa na€¦</t>
  </si>
  <si>
    <t>VO Zagaber - Straža</t>
  </si>
  <si>
    <t>Pongrac 71 a, 3302 Griže</t>
  </si>
  <si>
    <t>filtri, koagulacija, flokulacija, dezinfekcija z natrijevim hipokloritom, dezinfekcija z UV žarki</t>
  </si>
  <si>
    <t>VO Bistrica pri Tržiču</t>
  </si>
  <si>
    <t>Pod Gradom 2, Bistrica pri Tržiču, 4290 Tržič</t>
  </si>
  <si>
    <t>Vodovod Rožno</t>
  </si>
  <si>
    <t>Rožno</t>
  </si>
  <si>
    <t>Rožno 34, 8280 Brestanica</t>
  </si>
  <si>
    <t>Rožno 36, Abram</t>
  </si>
  <si>
    <t>stanovanjski objekt Peternel Jože, Delnice</t>
  </si>
  <si>
    <t>Paloviče 9, Paloviče, 4290 Tržič</t>
  </si>
  <si>
    <t>Peričeva ulica 6, Ljubljana Bežigrad, 1000 Ljubljana</t>
  </si>
  <si>
    <t>Reboljeva 18, Ljubljana - Bežigrad, 1000 Ljubljana</t>
  </si>
  <si>
    <t>PETRINCI 2, PETRINCI, 1317 Sodražica</t>
  </si>
  <si>
    <t>JELENDOL 6, JELENDOL, 4290 Tržič</t>
  </si>
  <si>
    <t>stanovanjski objekt Obrne, Križaj Andrej</t>
  </si>
  <si>
    <t>St. h. Niževec 1</t>
  </si>
  <si>
    <t>Niževec 1, 1353 Borovnica</t>
  </si>
  <si>
    <t>Padež 2, Vrhnika - Padež, 1360 Vrhnika</t>
  </si>
  <si>
    <t>St. h. Padež 1A€¦</t>
  </si>
  <si>
    <t>Plužna  33, 5230 Bovec</t>
  </si>
  <si>
    <t>Janežič</t>
  </si>
  <si>
    <t>Zabukovica 24, 3302 Griže</t>
  </si>
  <si>
    <t>Kozmetični studio Oranža</t>
  </si>
  <si>
    <t>Fužine 3A, Fužine, 4224 Gorenja vas</t>
  </si>
  <si>
    <t>Fužine 32, kopa€¦</t>
  </si>
  <si>
    <t>filtri, koagulacija, flokulacija, dezinfekcija s plinskim klorom, dezinfekcija z natrijevim hipokloritom, dezinfekcija z UV žarki</t>
  </si>
  <si>
    <t>Straža, Bife Zamorček</t>
  </si>
  <si>
    <t>Pod Srobotnikom 3, 8351 Straža</t>
  </si>
  <si>
    <t>koagulacija, flokulacija, ultrafiltracija, dezinfekcija s plinskim klorom, dezinfekcija z UV žarki</t>
  </si>
  <si>
    <t>Komunala Ormož d.o.o.</t>
  </si>
  <si>
    <t>Zdravstveni dom Domžale</t>
  </si>
  <si>
    <t>Mestni trg 2, 1230 Domžale</t>
  </si>
  <si>
    <t>Dragomelj 180, 1230 Domžale</t>
  </si>
  <si>
    <t>Kidričeva 55, DRAVSKI DVOR, 2204 Miklavž na Dravskem polju</t>
  </si>
  <si>
    <t>Možjanca 4, 4205 Preddvor</t>
  </si>
  <si>
    <t>Vrtec Pedenjped - enota Radovednež</t>
  </si>
  <si>
    <t>Centralna tržnica Nova Gorica</t>
  </si>
  <si>
    <t>Cesta na Fužine 1, 8233 Mirna</t>
  </si>
  <si>
    <t>redna dezinfekcija, dezinfekcija s plinskim klorom, dezinfekcija z UV žarki</t>
  </si>
  <si>
    <t>ultrafiltracija, dezinfekcija z UV žarki</t>
  </si>
  <si>
    <t>ultrafiltracija, dezinfekcija z natrijevim hipokloritom, dezinfekcija z UV žarki</t>
  </si>
  <si>
    <t>filtri, koagulacija, flokulacija, redna dezinfekcija, dezinfekcija s plinskim klorom, dezinfekcija z ozonom, dezinfekcija z UV žarki</t>
  </si>
  <si>
    <t>ultrafiltracija, dezinfekcija z natrijevim hipokloritom, dezinfekcija s klorovim dioksidom, dezinfekcija z UV žarki</t>
  </si>
  <si>
    <t>Trgovina in gostinstvo Gregor Zdravka Blažič s.p., Bar Gregor</t>
  </si>
  <si>
    <t>ženske sanitari€¦</t>
  </si>
  <si>
    <t>Senožeti 53, Senožeti, 1262 Dol pri Ljubljani</t>
  </si>
  <si>
    <t>CESTA NOTRANJSKEGA ODREDA 10, 1317 Sodražica</t>
  </si>
  <si>
    <t>Vrtec Dokležovje</t>
  </si>
  <si>
    <t>Glavna ulica 15, Dokležovje, 9231 Beltinci</t>
  </si>
  <si>
    <t>koagulacija, flokulacija, ultrafiltracija, dezinfekcija s plinskim klorom, dezinfekcija z natrijevim hipokloritom, dezinfekcija z UV žarki</t>
  </si>
  <si>
    <t>Bife Gasilski dom, Brezje pri Tržiču</t>
  </si>
  <si>
    <t>Brezje pri Tržiču 55, Brezje pri Tržiču, 4290 Tržič</t>
  </si>
  <si>
    <t>Zgornja Ložnica 43, 2316 Zgornja Ložnica</t>
  </si>
  <si>
    <t>Križe 21, 8282 Koprivnica</t>
  </si>
  <si>
    <t>stanovanjski objekt (Založnik)</t>
  </si>
  <si>
    <t>Križevska vas</t>
  </si>
  <si>
    <t>Križevska vas 1, Križevska vas, 1262 Dol pri Ljubljani</t>
  </si>
  <si>
    <t>Migojnice 6a, 3302 Griže</t>
  </si>
  <si>
    <t>Omrežje, hidrant pri Podljubelj 317</t>
  </si>
  <si>
    <t>Podljubelj 317, Podljubelj, 4290 Tržič</t>
  </si>
  <si>
    <t>Dolina 15, Dolina, 4290 Tržič</t>
  </si>
  <si>
    <t>Kmetija Ložekar</t>
  </si>
  <si>
    <t>garaža, pipa</t>
  </si>
  <si>
    <t>TRAVNA GORA 42, TRAVNA GORA, 1317 Sodražica</t>
  </si>
  <si>
    <t>Železo</t>
  </si>
  <si>
    <t>Živo srebro</t>
  </si>
  <si>
    <t>RIŽANSKI VODOVOD</t>
  </si>
  <si>
    <t>FAZANSKA UL 3, PORTOROŽ - LUCIJA, 6320 Portorož - Portorose</t>
  </si>
  <si>
    <t>Zabreznica 4, 4274 Žirovnica</t>
  </si>
  <si>
    <t>JKP Žalec, d.o.o.</t>
  </si>
  <si>
    <t>ŽALEC</t>
  </si>
  <si>
    <t>Galicija 18 e, 3310 Žalec</t>
  </si>
  <si>
    <t>Kostanjevica, gostilna Žolnir</t>
  </si>
  <si>
    <t>ŽIRI</t>
  </si>
  <si>
    <t>Jobstova cesta 22, 4226 Žiri</t>
  </si>
  <si>
    <t>Občina Železniki</t>
  </si>
  <si>
    <t>ŽELEZNIKI</t>
  </si>
  <si>
    <t>Otoki 13, 4228 Železniki</t>
  </si>
  <si>
    <t>Kava bar Žika</t>
  </si>
  <si>
    <t>VS ŽBK NC ViV</t>
  </si>
  <si>
    <t>ŽUŽEMBERK NIZKA CONA VINKOV VRH</t>
  </si>
  <si>
    <t>Baragova cesta 1, 8360 Žužemberk</t>
  </si>
  <si>
    <t>Vrtec Otona Župančiča, enota Živ Žav</t>
  </si>
  <si>
    <t>STANOVANJSKI OBJEKT REPOVŽ JOŽE</t>
  </si>
  <si>
    <t>VRTEC MEDVODE, ENOTA OSTRŽEK</t>
  </si>
  <si>
    <t>KUTEŽEVO</t>
  </si>
  <si>
    <t>KUTEŽEVO 2F, ILIRSKA BISTRICA - KUTEŽEVO, 6250 Ilirska Bistrica</t>
  </si>
  <si>
    <t>DREŽNICA</t>
  </si>
  <si>
    <t>PAROŽ</t>
  </si>
  <si>
    <t>LOŽICE</t>
  </si>
  <si>
    <t>ŽAGA 2</t>
  </si>
  <si>
    <t>ŽAGA</t>
  </si>
  <si>
    <t>DOLENJA VAS (Železniki)</t>
  </si>
  <si>
    <t>Župnijski urad (izlivka na vrtu)</t>
  </si>
  <si>
    <t>PRIMOŽ</t>
  </si>
  <si>
    <t>ŽALNA</t>
  </si>
  <si>
    <t>Žalna 1, Žalna, 1290 Grosuplje</t>
  </si>
  <si>
    <t>AMBROŽ POD KRVAVCEM</t>
  </si>
  <si>
    <t>Vrtec Ponikva pri Žalcu</t>
  </si>
  <si>
    <t>Ponikva pri Žalcu 17, 3310 Žalec</t>
  </si>
  <si>
    <t>GORNJI KRIŽ</t>
  </si>
  <si>
    <t>Gornji Križ 16, 8360 Žužemberk</t>
  </si>
  <si>
    <t>Stolovnik, Žarn</t>
  </si>
  <si>
    <t>Rudno 13, 4228 Železniki</t>
  </si>
  <si>
    <t>KS ZGORNJA LOŽNICA</t>
  </si>
  <si>
    <t>Bagrček Franc Železnik</t>
  </si>
  <si>
    <t>POBREŽ</t>
  </si>
  <si>
    <t>OŽBALT</t>
  </si>
  <si>
    <t>ZGORNJA VIŽINGA</t>
  </si>
  <si>
    <t>PREŽGANJE 7, PREŽGANJE, 1000 Ljubljana</t>
  </si>
  <si>
    <t>SELA 2A, SEŽANA - SELA, 6210 Sežana</t>
  </si>
  <si>
    <t>St. h. Žleb.</t>
  </si>
  <si>
    <t>Žlebič 44, 1310 Ribnica</t>
  </si>
  <si>
    <t>Žlebič 20a</t>
  </si>
  <si>
    <t>G. LESKOVEC - LOŽICE</t>
  </si>
  <si>
    <t>STARE ŽAGE</t>
  </si>
  <si>
    <t>DEŽNO</t>
  </si>
  <si>
    <t>Žigrski Vrh</t>
  </si>
  <si>
    <t>Žigrski Vrh 48, 8290 Sevnica</t>
  </si>
  <si>
    <t>ZGO Železarna Ravne</t>
  </si>
  <si>
    <t>Železarna Ravne</t>
  </si>
  <si>
    <t>KRAJEVNA SKUPNOST SEDRAŽ</t>
  </si>
  <si>
    <t>SEDRAŽ</t>
  </si>
  <si>
    <t>Zali Log 33B , Zali Log, 4228 Železniki</t>
  </si>
  <si>
    <t>SUŽID</t>
  </si>
  <si>
    <t>KRIŽNA KAPELA</t>
  </si>
  <si>
    <t xml:space="preserve">ZAKRIŽ </t>
  </si>
  <si>
    <t>ZAKRIŽ</t>
  </si>
  <si>
    <t>ZAKRIŽ 10 - DELAVNICA</t>
  </si>
  <si>
    <t>ZAKRIŽ 10, 5282 Cerkno</t>
  </si>
  <si>
    <t>LOKA PRI ŽUSMU</t>
  </si>
  <si>
    <t>LOKA PRI ŽUSMU 12, 3223 Loka pri Žusmu</t>
  </si>
  <si>
    <t>BOHINJSKA BELA - ŽP</t>
  </si>
  <si>
    <t>ŽLEBE</t>
  </si>
  <si>
    <t xml:space="preserve">ŽLEBE </t>
  </si>
  <si>
    <t>VINJE ŽABJA VAS</t>
  </si>
  <si>
    <t>St. h. Vin.Ž vas</t>
  </si>
  <si>
    <t>ROŽNO</t>
  </si>
  <si>
    <t>Sistem za oskrbo s pitno vodo FIJAVŽ</t>
  </si>
  <si>
    <t>Podlonk 18, Podlonk, 4228 Železniki</t>
  </si>
  <si>
    <t>SELO 1 PRI ŽIREH</t>
  </si>
  <si>
    <t>Selo 87, Selo, 4226 Žiri</t>
  </si>
  <si>
    <t>RAKULK 55, RAKULK, 4226 Žiri</t>
  </si>
  <si>
    <t>Crngrob 5, Crngrob, 4209 Žabnica</t>
  </si>
  <si>
    <t>NIŽEVEC DRAŽICA</t>
  </si>
  <si>
    <t>PLUŽNA</t>
  </si>
  <si>
    <t>KRIŽNA GORA</t>
  </si>
  <si>
    <t>Spodnje Danje 6, 4228 Železniki</t>
  </si>
  <si>
    <t>BEDRIH (ŽIRI)</t>
  </si>
  <si>
    <t>Opekarska ulica 2, 4226 Žiri</t>
  </si>
  <si>
    <t>FUŽINE</t>
  </si>
  <si>
    <t>GOROPEKE 4, GOROPEKE, 4226 Žiri</t>
  </si>
  <si>
    <t>LEDINICA 6, LEDINICA, 4226 Žiri</t>
  </si>
  <si>
    <t>ORMOŽ</t>
  </si>
  <si>
    <t>SVETI TOMAŽ 11, 2258 Sveti Tomaž</t>
  </si>
  <si>
    <t>Žabnica 20, 4209 Žabnica</t>
  </si>
  <si>
    <t>Vrtec Žalec - Enota Petrovče</t>
  </si>
  <si>
    <t>BREŽICE</t>
  </si>
  <si>
    <t>VRTEC JADVIGE GOLEŽ</t>
  </si>
  <si>
    <t>BREZNICA NAD ŽIRMI</t>
  </si>
  <si>
    <t>Breznica pri Žireh 2a, Breznica pri Žireh, 4226 Žiri</t>
  </si>
  <si>
    <t>Breznica pri Ži€¦</t>
  </si>
  <si>
    <t>Dorfarje 17, Dorfarje, 4209 Žabnica</t>
  </si>
  <si>
    <t>SKAPINOVA ULICA 2, LJUBLJANA - ROŽNA DOLINA, 1000 Ljubljana</t>
  </si>
  <si>
    <t>VODARNA PODGRAD - SEGOVCI (OMREŽJE RADENCI)</t>
  </si>
  <si>
    <t>BRUSNICE - RATEŽ</t>
  </si>
  <si>
    <t>VRZDENEC - ŽAŽAR</t>
  </si>
  <si>
    <t>VODARNA ŽIHLAVA - TERBEGOVCI</t>
  </si>
  <si>
    <t>SENOŽETI 93, SENOŽETI, 1000 Ljubljana</t>
  </si>
  <si>
    <t>STARI TRG - LOŽ</t>
  </si>
  <si>
    <t>TREBIJA -TODRAŽ</t>
  </si>
  <si>
    <t>TREBIJA - TODRAŽ</t>
  </si>
  <si>
    <t>FUŽINE - OBSOTELJE</t>
  </si>
  <si>
    <t>Moste 44, 4274 Žirovnica</t>
  </si>
  <si>
    <t>SODRAŽICA</t>
  </si>
  <si>
    <t>DOKLEŽOVJE</t>
  </si>
  <si>
    <t>KNEŽAK</t>
  </si>
  <si>
    <t>Trgovina Žužek</t>
  </si>
  <si>
    <t>KNEŽAK 186, 6253 Knežak</t>
  </si>
  <si>
    <t>VS ŽBK VC Hydrovod</t>
  </si>
  <si>
    <t>ŽUŽEMBERK VISOKA CONA - HYDROVOD</t>
  </si>
  <si>
    <t>ZGORNJA LOŽNICA</t>
  </si>
  <si>
    <t xml:space="preserve">ZGORNJA LOŽNICA </t>
  </si>
  <si>
    <t>ŽLEBE - PLANINA - JETERBENK</t>
  </si>
  <si>
    <t>ŽLEBE - PLANINA - JETERBENK #2</t>
  </si>
  <si>
    <t>St. h. Žl. Pl. Jeter.</t>
  </si>
  <si>
    <t>Žlebe 51, 1215 Medvode</t>
  </si>
  <si>
    <t>KRIŽE</t>
  </si>
  <si>
    <t>KRIŽEVSKA VAS</t>
  </si>
  <si>
    <t>ŽEGNANI STUDENEC</t>
  </si>
  <si>
    <t>ŽEGNANI STUDENC</t>
  </si>
  <si>
    <t>JAVNI VODOVODNI SISTEM JELOVEC- MAKOLE- DOLINA LOŽNICE</t>
  </si>
  <si>
    <t>JELOVEC - MAKOLE - DOLINA LOŽNICE</t>
  </si>
  <si>
    <t>GRIŽE</t>
  </si>
  <si>
    <t>Davča 22, 4228 Železniki</t>
  </si>
  <si>
    <t>OMREŽJE SMOLEJ</t>
  </si>
  <si>
    <t>VODOVOD KMETIJA LOŽEKAR</t>
  </si>
  <si>
    <t>KMETIJA LOŽEKAR</t>
  </si>
  <si>
    <t>MOŽINA - POT V SKALE</t>
  </si>
  <si>
    <t>POT V SKALE 17, 4226 Žiri</t>
  </si>
  <si>
    <t>DOM NA MIRNI GORI - DEŽEVNICA</t>
  </si>
  <si>
    <t>PLANINSKI DOM NA TRAVNI GORI - DEŽEVNICA</t>
  </si>
  <si>
    <t>Število kolonij pri 22°C</t>
  </si>
  <si>
    <t>Število kolonij pri 36°C</t>
  </si>
  <si>
    <t>OŠ Lucija</t>
  </si>
  <si>
    <t>OŠ Dekani</t>
  </si>
  <si>
    <t>OŠ SV. ANTON</t>
  </si>
  <si>
    <t>VRTEC ŠKOFIJE</t>
  </si>
  <si>
    <t>SP. ŠKOFIJE 40D, 6281 Škofije</t>
  </si>
  <si>
    <t>VELENJE - ŠOŠTANJ - ŠMARTNO OB PAKI</t>
  </si>
  <si>
    <t>Šlandrova cesta 11 a, 3320 Velenje</t>
  </si>
  <si>
    <t>Vavta vas, OŠ -kuhinja</t>
  </si>
  <si>
    <t>KRŠKO</t>
  </si>
  <si>
    <t>JESENICE-ZAVRŠNICA</t>
  </si>
  <si>
    <t>JESENICE ZAVRŠNICA</t>
  </si>
  <si>
    <t>Dolenja vas, OŠ</t>
  </si>
  <si>
    <t>Šolska ulica 9, 1331 Dolenja vas</t>
  </si>
  <si>
    <t>DOMŽALE - MENGEŠ - TRZIN</t>
  </si>
  <si>
    <t>DOMŽALE - TRZIN - MENGEŠ</t>
  </si>
  <si>
    <t>LOKA -ŠMARJE- ROGAŠKA</t>
  </si>
  <si>
    <t>LOKA - ŠMARJE -ROGAŠKA</t>
  </si>
  <si>
    <t>Vrtec Šmarje</t>
  </si>
  <si>
    <t>OŠ CIRKULANE</t>
  </si>
  <si>
    <t>VRTEC LIMBUŠ</t>
  </si>
  <si>
    <t>ŠOLSKA 12, 2311 Hoče</t>
  </si>
  <si>
    <t>Šolska ul. 3, 2234 Benedikt</t>
  </si>
  <si>
    <t xml:space="preserve">Komunala Škofja Loka d.o.o. </t>
  </si>
  <si>
    <t>ŠKOFJA LOKA</t>
  </si>
  <si>
    <t>Mlekarna Škofja Loka</t>
  </si>
  <si>
    <t>Fužinska ulica 1, 4220 Škofja Loka</t>
  </si>
  <si>
    <t>OŠ Rogatec/ vrtec</t>
  </si>
  <si>
    <t>POŠ Mačkovci</t>
  </si>
  <si>
    <t>OŠ Trnovo</t>
  </si>
  <si>
    <t>ŠENTVID - 1</t>
  </si>
  <si>
    <t>OŠ Dravlje</t>
  </si>
  <si>
    <t>Vrtec Šentvid, enota Mravljinček</t>
  </si>
  <si>
    <t>OŠ Prvačina - kuhinja</t>
  </si>
  <si>
    <t>OŠ Dornberk - kuhinja</t>
  </si>
  <si>
    <t>O.Š.Stična</t>
  </si>
  <si>
    <t>O.Š.Zagradec</t>
  </si>
  <si>
    <t>OŠ PODGRAD</t>
  </si>
  <si>
    <t>KRAŠKI VODOVOD SEŽANA D.O.O.</t>
  </si>
  <si>
    <t>OŠ Komen</t>
  </si>
  <si>
    <t>OŠ Podzemelj, p€¦</t>
  </si>
  <si>
    <t>ŠUMC</t>
  </si>
  <si>
    <t>Bar Jezero Šempas</t>
  </si>
  <si>
    <t>Šolska pot 9, 1433 Radeče</t>
  </si>
  <si>
    <t>ŠEMPETER</t>
  </si>
  <si>
    <t>Vrtec Šempeter</t>
  </si>
  <si>
    <t>OŠ Destrnik</t>
  </si>
  <si>
    <t>OŠ Šentjurij</t>
  </si>
  <si>
    <t>Šentjurij 5, 1290 Grosuplje</t>
  </si>
  <si>
    <t>OŠ Simona Jenka Kranj, podružnica Trstenik</t>
  </si>
  <si>
    <t>Šolska ulica 9, 5281 Spodnja Idrija</t>
  </si>
  <si>
    <t>OŠ Žužemberk</t>
  </si>
  <si>
    <t>PŠ Dvor od OŠ Žužemberk</t>
  </si>
  <si>
    <t>JARŠKI PROD  - 1</t>
  </si>
  <si>
    <t>STANOVANJSKA HIŠA, GORENJA VAS 49</t>
  </si>
  <si>
    <t>ŠENTJANŽ 14, 8297 Šentjanž</t>
  </si>
  <si>
    <t>PRLEŠKA KOMUNALA D.O.O.</t>
  </si>
  <si>
    <t>AVTOSERVIS ŠPAJZER</t>
  </si>
  <si>
    <t>GLINEK 5, ŠKOFLJICA, 1000 Ljubljana</t>
  </si>
  <si>
    <t>OSNOVNA ŠOLA RIBNICA</t>
  </si>
  <si>
    <t>ŠEMNIK - STRAHOVLJE</t>
  </si>
  <si>
    <t>OŠ JELŠANE</t>
  </si>
  <si>
    <t>O.Š.Dol</t>
  </si>
  <si>
    <t>ŠMARJE SAP</t>
  </si>
  <si>
    <t>Ljubljanska c. 51, Grosuplje, 1293 Šmarje - Sap</t>
  </si>
  <si>
    <t>VRTEC PRI OŠ PODGORA</t>
  </si>
  <si>
    <t>ŠMARTNO</t>
  </si>
  <si>
    <t>VRTEC ŠMARTNO</t>
  </si>
  <si>
    <t>ŠMARTNO PRI SLOVENJ GRADCU 60A, 2383 Šmartno pri Slovenj Gradcu</t>
  </si>
  <si>
    <t>Podbočje OŠ</t>
  </si>
  <si>
    <t>OSNOVNA ŠOLA VUHRED</t>
  </si>
  <si>
    <t>ŠOLA VUZENICA</t>
  </si>
  <si>
    <t>O.Š.Rovte</t>
  </si>
  <si>
    <t>Poljane nad Škofjo Loko 100, 4223 Poljane nad Škofjo Loko</t>
  </si>
  <si>
    <t>LETUŠ</t>
  </si>
  <si>
    <t>Kočevska cesta 140, Pijava Gorica, 1291 Škofljica</t>
  </si>
  <si>
    <t>ST. HIŠA MIKUŠ</t>
  </si>
  <si>
    <t>JAVNO KOMUNALNO PODJETJE ŠENTJUR</t>
  </si>
  <si>
    <t>DOMANJŠEVCI</t>
  </si>
  <si>
    <t xml:space="preserve">DOMANJŠEVCI </t>
  </si>
  <si>
    <t>OŠ Šalovci</t>
  </si>
  <si>
    <t>Šalovci 172, 9204 Šalovci</t>
  </si>
  <si>
    <t>Gorenja vas, CŠOD</t>
  </si>
  <si>
    <t>OŠ Raka</t>
  </si>
  <si>
    <t>ŠEBRELJE</t>
  </si>
  <si>
    <t>Trgovina Šebrelje</t>
  </si>
  <si>
    <t>Šebrelje 53, 5282 Cerkno</t>
  </si>
  <si>
    <t>TURIŠKA VAS</t>
  </si>
  <si>
    <t>OŠ in Vrtec Ledine</t>
  </si>
  <si>
    <t>MENGEŠ (M-1)</t>
  </si>
  <si>
    <t>OŠ Ig</t>
  </si>
  <si>
    <t>BLOŠKA PLANOTA</t>
  </si>
  <si>
    <t>ŠENTURŠKA GORA</t>
  </si>
  <si>
    <t>Drča  17, Drča, 8310 Šentjernej</t>
  </si>
  <si>
    <t>STANOVANJSKA HIŠA IVANKA LESKOVAR</t>
  </si>
  <si>
    <t>STANOVANJSKA HIŠA JERENKO SILVA</t>
  </si>
  <si>
    <t>STANOVANJSKA HIŠA</t>
  </si>
  <si>
    <t>DRUŠTVO ZA ZDRAVO PITNO VODO JAVORJE</t>
  </si>
  <si>
    <t>JAVORJE , JAVORJE, 4223 Poljane nad Škofjo Loko</t>
  </si>
  <si>
    <t>Občina Sveti Jurij ob Ščavnici</t>
  </si>
  <si>
    <t>Rožički vrh 48, Rožički vrh, 9244 Sv. Jurij ob Ščavnici</t>
  </si>
  <si>
    <t>HODOŠ</t>
  </si>
  <si>
    <t>O.Š.Žalna</t>
  </si>
  <si>
    <t>ŠTJAK</t>
  </si>
  <si>
    <t>ŠTJAK 12, 6222 Štanjel</t>
  </si>
  <si>
    <t>POLŠNIK</t>
  </si>
  <si>
    <t>OŠ Trebelno</t>
  </si>
  <si>
    <t>KONJIŠKA VAS</t>
  </si>
  <si>
    <t>OSNOVNA ŠOLA  BREZNO PODVELKA</t>
  </si>
  <si>
    <t>REMŠNIK</t>
  </si>
  <si>
    <t>ŠOLA REMŠNIK</t>
  </si>
  <si>
    <t>REMŠNIK 5, REMŠNIK, 2363 Podvelka</t>
  </si>
  <si>
    <t>O.Š. DOBROVA in VRTEC BREZJE</t>
  </si>
  <si>
    <t>PRIVAT HIŠA STARI TRG</t>
  </si>
  <si>
    <t>Podružnična OŠ €¦</t>
  </si>
  <si>
    <t>ŠENTJOŠT</t>
  </si>
  <si>
    <t>Bučka , 8275 Škocjan</t>
  </si>
  <si>
    <t>G. Radulje 10, Bučka, 8275 Škocjan</t>
  </si>
  <si>
    <t>NOVA ŠTIFTA</t>
  </si>
  <si>
    <t>DOLENJA TREBUŠA</t>
  </si>
  <si>
    <t>Slovenska vas 14, 8232 Šentrupert</t>
  </si>
  <si>
    <t>IŠKA VAS</t>
  </si>
  <si>
    <t>JAVORNIŠKI ROVT</t>
  </si>
  <si>
    <t>CŠOD JAVORNIŠKI ROVT, DOM TRILOBIT</t>
  </si>
  <si>
    <t>Šmarčna - Kompolje</t>
  </si>
  <si>
    <t>Brunk 7, 8297 Šentjanž</t>
  </si>
  <si>
    <t>OŠ Vače</t>
  </si>
  <si>
    <t>Zavrstnik 20, 1275 Šmartno pri Litiji</t>
  </si>
  <si>
    <t>Podružnična OŠ</t>
  </si>
  <si>
    <t>OŠ</t>
  </si>
  <si>
    <t>Velika Kostrevnica 39, 1275 Šmartno pri Litiji</t>
  </si>
  <si>
    <t xml:space="preserve">NOVINCI - SLAVŠINA - GALUŠAK </t>
  </si>
  <si>
    <t xml:space="preserve">NOVINCI- SLAVŠINA - GALUŠAK </t>
  </si>
  <si>
    <t>JELŠA-REŠTANJ-MALI KAMEN-ŠEDEM</t>
  </si>
  <si>
    <t>JEVŠA-REŠTANJ-MALI KAMEN-ŠEDEM</t>
  </si>
  <si>
    <t>Kompole 148, Kompole, 3220 Štore</t>
  </si>
  <si>
    <t>Šobec</t>
  </si>
  <si>
    <t>Šobec , 4260 Bled</t>
  </si>
  <si>
    <t>Mislinjska Dobrava 49, 2383 Šmartno pri Slovenj Gradcu</t>
  </si>
  <si>
    <t>VODOVOD MARKOVO-VIR-PODHRUŠKA</t>
  </si>
  <si>
    <t>MARKOVO-VIR-PODHRUŠKA</t>
  </si>
  <si>
    <t>Šmartno - Buč</t>
  </si>
  <si>
    <t>Šmartno v Tuhinju 27 A, Šmartno v Tuhinju, 1219 Laze v Tuhinju</t>
  </si>
  <si>
    <t>Okrog 14A, Okrog, 8232 Šentrupert</t>
  </si>
  <si>
    <t>OKOŠKA GORA</t>
  </si>
  <si>
    <t>OKOŠKA GORA 46, OKOŠKA GORA, 2317 Oplotnica</t>
  </si>
  <si>
    <t>OŠ Sostro, PŠ Lipoglav</t>
  </si>
  <si>
    <t>Mali Lipoglav 8, Mali Lipoglav, 1293 Šmarje - Sap</t>
  </si>
  <si>
    <t>STANOVANJSKA HIŠA, IVANA GRADNIKA 2</t>
  </si>
  <si>
    <t>ZASEBNI VODOVODNI SISTEM ŠMIHEL POD NANOSOM</t>
  </si>
  <si>
    <t>STANOVANJSKA HIŠA ŠMIHEL POD NANOSOM - PIPA V KUHINJI</t>
  </si>
  <si>
    <t>ŠMIHEL POD NANOSOM 5B, ŠMIHEL POD NANOSOM, 6230 Postojna</t>
  </si>
  <si>
    <t>Šmihel pod Nano€¦</t>
  </si>
  <si>
    <t>Slatina 33, Slatina, 3327 Šmartno ob Paki</t>
  </si>
  <si>
    <t>Šmartno ob Dreti 27, 3341 Šmartno ob Dreti</t>
  </si>
  <si>
    <t>ZAJETJE ŠPITAL- NAJBLIŽJI OBJEKT NA NASLOVU GORENJA VAS 1</t>
  </si>
  <si>
    <t>BREZJE PRI DOVŠKEM 30, 8281 Senovo</t>
  </si>
  <si>
    <t>DRAŽGOŠE</t>
  </si>
  <si>
    <t xml:space="preserve">DRAŽGOŠE </t>
  </si>
  <si>
    <t>DRAŽGOŠE 15, DRAŽGOŠE, 4228 Železniki</t>
  </si>
  <si>
    <t>LEŠE 31, LEŠE, 4290 Tržič</t>
  </si>
  <si>
    <t>OŠ SOSTRO, PŠ PREŽGANJE</t>
  </si>
  <si>
    <t>NEMŠKI ROVT</t>
  </si>
  <si>
    <t>Fara, OŠ</t>
  </si>
  <si>
    <t>JAVNI VODOVOD ROVTE - LENART - LUŠA (JVRLL)</t>
  </si>
  <si>
    <t>ROVTE - LENART - LUŠA</t>
  </si>
  <si>
    <t>ZPM - DOM MILOŠA ZIDANŠKA</t>
  </si>
  <si>
    <t>DOM MILOŠA ZIDANŠKA-POHORJE</t>
  </si>
  <si>
    <t>ZPM-DOM MILOŠA ZIDANŠKA</t>
  </si>
  <si>
    <t>GRABONOŠ</t>
  </si>
  <si>
    <t>LV GRABONOŠ</t>
  </si>
  <si>
    <t>PUŠENJAK,GRABONOŠ 49, GRABONOŠ, 9244 Sv. Jurij ob Ščavnici</t>
  </si>
  <si>
    <t>ŠENTPAVEL</t>
  </si>
  <si>
    <t>St. h. Šentp.</t>
  </si>
  <si>
    <t>Šentpavel 22, Šentpavel, 1261 Ljubljana - Dobrunje</t>
  </si>
  <si>
    <t>St.h. Šentp. - €¦</t>
  </si>
  <si>
    <t>G. PIJAVŠKO</t>
  </si>
  <si>
    <t>GORJUŠE</t>
  </si>
  <si>
    <t>Draga 2, 4220 Škofja Loka</t>
  </si>
  <si>
    <t>OŠ Stari trg ob Kolpi</t>
  </si>
  <si>
    <t>Planina pod Šumnikom 5, 2316 Zgornja Ložnica</t>
  </si>
  <si>
    <t>VO CEROVICA - SELŠEK</t>
  </si>
  <si>
    <t>Cerovica 26, Cerovica, 1275 Šmartno pri Litiji</t>
  </si>
  <si>
    <t>7, Jelendol, 8275 Škocjan</t>
  </si>
  <si>
    <t>OŠ Veliko Tinje</t>
  </si>
  <si>
    <t>OŠ Primskovo</t>
  </si>
  <si>
    <t>DRUŠTVO ZA VAROVANJE VODA IN OKOLJA ŠENTLAMBERT</t>
  </si>
  <si>
    <t>ŠENTLAMBERT</t>
  </si>
  <si>
    <t>PŠ Šentlambert</t>
  </si>
  <si>
    <t>Šentlambert  11, 1410 Zagorje ob Savi</t>
  </si>
  <si>
    <t>BREG - ŠENTJUR</t>
  </si>
  <si>
    <t>Štefanja gora</t>
  </si>
  <si>
    <t>Štefanja gora 29, 4207 Cerklje na Gorenjskem</t>
  </si>
  <si>
    <t>VODOVOD CIRKUŠE</t>
  </si>
  <si>
    <t>CIRKUŠE</t>
  </si>
  <si>
    <t>Šober 24, Šober, 2354 Bresternica</t>
  </si>
  <si>
    <t>ROBIDNICA-LAZE-LAJŠE-KRNICE</t>
  </si>
  <si>
    <t>ŠENTANEL</t>
  </si>
  <si>
    <t>ŠOLA ŠENTANEL</t>
  </si>
  <si>
    <t>ŠENTANEL 13, ŠENTANEL, 2391 Prevalje</t>
  </si>
  <si>
    <t>ŠC. POHORJE in UPORABNIKI</t>
  </si>
  <si>
    <t>KRESNIŠKI VRH</t>
  </si>
  <si>
    <t>KRESNIŠKI VRH 13 - ZAJETJE ZG. KRESNIŠKI VRH</t>
  </si>
  <si>
    <t>KRESNIŠKI VRH 13, KRESNIŠKI VRH, 1281 Kresnice</t>
  </si>
  <si>
    <t>DRUŠTVO ZA RAZVOJ DEBENCA IN STANA</t>
  </si>
  <si>
    <t>SUŠJE 8A, SUŠJE, 1310 Ribnica</t>
  </si>
  <si>
    <t>VOJAŠNICA BOŠTJANA KEKCA</t>
  </si>
  <si>
    <t>BAR TJAŠA</t>
  </si>
  <si>
    <t>POŠ PODBLICA</t>
  </si>
  <si>
    <t>Bezovje pri Šentjurju 27, 3230 Šentjur</t>
  </si>
  <si>
    <t>KUNŠPERK</t>
  </si>
  <si>
    <t>PŠAJNOVICA</t>
  </si>
  <si>
    <t>PŠAJNOVICA #2</t>
  </si>
  <si>
    <t>MLINŠE - KOLOVRAT</t>
  </si>
  <si>
    <t>Klemen Berce in Klemen Štibelj</t>
  </si>
  <si>
    <t>Pevno 4a, Pevno, 4220 Škofja Loka</t>
  </si>
  <si>
    <t>Trg padlih borcev 3, Kamnik - Šmarca, 1241 Kamnik</t>
  </si>
  <si>
    <t>JURKLOŠTER</t>
  </si>
  <si>
    <t>TEŠOVA</t>
  </si>
  <si>
    <t>VO Kostanjek - Šapola</t>
  </si>
  <si>
    <t>KOSTANJEK - ŠAPOLA</t>
  </si>
  <si>
    <t>Prožinska vas 81, 3220 Štore</t>
  </si>
  <si>
    <t>KAMBREŠKO</t>
  </si>
  <si>
    <t>Volča 12, POLJANE NAD ŠKOFJO LOKO, 4220 Škofja Loka</t>
  </si>
  <si>
    <t>Špehar</t>
  </si>
  <si>
    <t>Račica - Velika Štanga</t>
  </si>
  <si>
    <t>Velika Štanga 7, 1275 Šmartno pri Litiji</t>
  </si>
  <si>
    <t>Velika Štanga, €¦</t>
  </si>
  <si>
    <t>Delnice 4, Delnice, 4223 Poljane nad Škofjo Loko</t>
  </si>
  <si>
    <t>OŠ Poljane</t>
  </si>
  <si>
    <t>SMOLDNO - GABRŠKA GORA</t>
  </si>
  <si>
    <t>SMOLDNO 4, POLJANE, 4223 Poljane nad Škofjo Loko</t>
  </si>
  <si>
    <t>STANOVANJSKA HIŠA, LIG 23</t>
  </si>
  <si>
    <t>Volog 30, 3341 Šmartno ob Dreti</t>
  </si>
  <si>
    <t>ŠENTGOTARD</t>
  </si>
  <si>
    <t>ŠENTGOTARD 2A, ŠENTGOTARD, 1222 Trojane</t>
  </si>
  <si>
    <t>ZALOŠE</t>
  </si>
  <si>
    <t>ZALOŠE 22, ZALOŠE, 4244 Podnart</t>
  </si>
  <si>
    <t>BRODE 20, BRODE, 4220 Škofja Loka</t>
  </si>
  <si>
    <t>VO Ševlje</t>
  </si>
  <si>
    <t>ŠEVLJE</t>
  </si>
  <si>
    <t>ŠEVLJE 59, ŠEVLJE, 4227 Selca</t>
  </si>
  <si>
    <t>STANOVANJSKA HIŠA BESEDNJAK - PIPA NA POMIVALNEM KORITU V KUHINJI</t>
  </si>
  <si>
    <t>DEŠEN</t>
  </si>
  <si>
    <t>DEŠEN - MIKLAVŽ - KATARIJA</t>
  </si>
  <si>
    <t>PLAVŠKI ROVT</t>
  </si>
  <si>
    <t>Gabrk 14, Gabrk, 4220 Škofja Loka</t>
  </si>
  <si>
    <t>VS Šentjanž nad Štorami</t>
  </si>
  <si>
    <t>ŠENTJANŽ I.</t>
  </si>
  <si>
    <t>Šentjanž nad Štorami 26, 3220 Štore</t>
  </si>
  <si>
    <t>Šmartno pri Litiji</t>
  </si>
  <si>
    <t>Štangarske Poljane</t>
  </si>
  <si>
    <t>Štangarske poljane 15, 1275 Šmartno pri Litiji</t>
  </si>
  <si>
    <t>Križna gora 21, 4220 Škofja Loka</t>
  </si>
  <si>
    <t>Sobrače  13, Sobrače, 1296 Šentvid pri Stični</t>
  </si>
  <si>
    <t>KALIŠE</t>
  </si>
  <si>
    <t>HIŠA OJSTRICA</t>
  </si>
  <si>
    <t>STANOVANJSKA HIŠA, PRILESJE 7</t>
  </si>
  <si>
    <t>KANDRŠE 7, KANDRŠE, 1252 Vače</t>
  </si>
  <si>
    <t>VAŠKA SKUPNOST LEDINICA</t>
  </si>
  <si>
    <t>PRAPROTNO 2 (ŠIFRER)</t>
  </si>
  <si>
    <t>VODOVOD SNOVIK-PIRŠEVO</t>
  </si>
  <si>
    <t>SNOVIK-PIRŠEVO</t>
  </si>
  <si>
    <t>OŠ Mali Slatnik</t>
  </si>
  <si>
    <t>Podgrad, OŠ</t>
  </si>
  <si>
    <t>OŠ TOMAŽ</t>
  </si>
  <si>
    <t>Šolska ulica 1, 1241 Kamnik</t>
  </si>
  <si>
    <t>Šolska ulica 2, 4000 Kranj</t>
  </si>
  <si>
    <t>Šolska ulica 7, 1233 Dob</t>
  </si>
  <si>
    <t>Šolska ulica 3, Ihan, 1230 Domžale</t>
  </si>
  <si>
    <t>Podlubnik 1d, 4220 Škofja Loka</t>
  </si>
  <si>
    <t>Pipanova cesta 43, 4208 Šenčur</t>
  </si>
  <si>
    <t>Voklo 7, Voklo, 4208 Šenčur</t>
  </si>
  <si>
    <t>Šilihova ulica 1, 3310 Žalec</t>
  </si>
  <si>
    <t>OŠ HAJDINA</t>
  </si>
  <si>
    <t>OŠ Slivnica</t>
  </si>
  <si>
    <t>Ul. IVX. Divizije 44, 3220 Štore</t>
  </si>
  <si>
    <t>Kava bar Štrukelj</t>
  </si>
  <si>
    <t>Šmarje 27, 5295 Branik</t>
  </si>
  <si>
    <t>OŠ Brezovica</t>
  </si>
  <si>
    <t>Šolska ulica 15, Brezovica</t>
  </si>
  <si>
    <t>OŠ Martina Krpana</t>
  </si>
  <si>
    <t>ŠENTJUR</t>
  </si>
  <si>
    <t>ULICA DUŠANA KVEDRA 44, 3230 Šentjur</t>
  </si>
  <si>
    <t>OŠ PONIKVA</t>
  </si>
  <si>
    <t>POŠ Pertoča</t>
  </si>
  <si>
    <t>MERCATOR D.O.O., MARKET PRUŠNIKOVA</t>
  </si>
  <si>
    <t>PRUŠNIKOVA 63, LJUBLJANA ŠENTVID, 1000 Ljubljana</t>
  </si>
  <si>
    <t>BORŠTNIKOVA ULICA 10, 8250 Brežice</t>
  </si>
  <si>
    <t>Dobrnič, bife Škerjanec</t>
  </si>
  <si>
    <t>Šolska ulica 3, 3210 Slovenske Konjice</t>
  </si>
  <si>
    <t>Šolska ul. 2, 3215 Loče</t>
  </si>
  <si>
    <t>ŠIKOLE - SLOVENSKA BISTRICA</t>
  </si>
  <si>
    <t>OŠ Vič</t>
  </si>
  <si>
    <t>FULNEŠKA 5, 9240 Ljutomer</t>
  </si>
  <si>
    <t>VIŠKI VRTCI, ENOTA HIŠA PRI LADJI</t>
  </si>
  <si>
    <t>O.Š.Tone Okrogar</t>
  </si>
  <si>
    <t>Šolska 1, Zagorje, 1410 Zagorje ob Savi</t>
  </si>
  <si>
    <t>O.Š.Cerknica</t>
  </si>
  <si>
    <t>Mirna Peč, OŠ</t>
  </si>
  <si>
    <t>OŠ Ig, PŠ Golo</t>
  </si>
  <si>
    <t>Orehovica, OŠ</t>
  </si>
  <si>
    <t>Orehovica 14, Orehovica, 8310 Šentjernej</t>
  </si>
  <si>
    <t>Šolska ulica 1, 8333 Semič</t>
  </si>
  <si>
    <t>SPLOŠNA BOLNIŠNICA SLOVENJ GRADEC</t>
  </si>
  <si>
    <t>DVORJANE-ŠOLA</t>
  </si>
  <si>
    <t>Šolska ulica 7, 8330 Metlika</t>
  </si>
  <si>
    <t>Mirna OŠ</t>
  </si>
  <si>
    <t>LOŠKI POTOK</t>
  </si>
  <si>
    <t>Šolska ulica 9, 4205 Preddvor</t>
  </si>
  <si>
    <t>LV FRAM-ŠOLA</t>
  </si>
  <si>
    <t>LV LOVRENC NA POHORJU-ŠOLA</t>
  </si>
  <si>
    <t>ŠOLSKA UL.6, 2344 Lovrenc na Pohorju</t>
  </si>
  <si>
    <t>LAŠKO</t>
  </si>
  <si>
    <t>PIŠECE</t>
  </si>
  <si>
    <t>območje 6 - CERŠAK</t>
  </si>
  <si>
    <t>OŠ Trnovo - kuhinja</t>
  </si>
  <si>
    <t>OŠ Grajena</t>
  </si>
  <si>
    <t>ŠKOCJAN 2</t>
  </si>
  <si>
    <t>ŠKOCJAN</t>
  </si>
  <si>
    <t>Škocjan 21, 8275 Škocjan</t>
  </si>
  <si>
    <t>OŠ SIMONA JENKA</t>
  </si>
  <si>
    <t>OŠ PREŽIHOVEGA VORANCA BISTRICA</t>
  </si>
  <si>
    <t>OŠ RADENCI</t>
  </si>
  <si>
    <t>26/1436, OŠ RAD€¦</t>
  </si>
  <si>
    <t>OSNOVNA ŠOLA MISLINJA</t>
  </si>
  <si>
    <t>ŠENTILJ POD TURJAKOM 1, 2382 Mislinja</t>
  </si>
  <si>
    <t>Brusnice, OŠ</t>
  </si>
  <si>
    <t>ŠENTRUPERT 2</t>
  </si>
  <si>
    <t>ŠENTRUPERT</t>
  </si>
  <si>
    <t>Šentrupert, OŠ</t>
  </si>
  <si>
    <t>Šentrupert 57, 8232 Šentrupert</t>
  </si>
  <si>
    <t>KZ Šentrupert d€¦</t>
  </si>
  <si>
    <t>OŠ Poljčane</t>
  </si>
  <si>
    <t>O.Š. Kresnice</t>
  </si>
  <si>
    <t>O.Š. Dobovec</t>
  </si>
  <si>
    <t>OŠ Gabrovka</t>
  </si>
  <si>
    <t>OŠ BEGUNJE</t>
  </si>
  <si>
    <t>TERBEGOVCI NH, TERBEGOVCI, 9244 Sv. Jurij ob Ščavnici</t>
  </si>
  <si>
    <t>VODOVOD SOMEŠCA</t>
  </si>
  <si>
    <t>SOMEŠCA</t>
  </si>
  <si>
    <t>VRTEC DOGOŠKA</t>
  </si>
  <si>
    <t>DOGOŠKA C. 20, 2000 Maribor</t>
  </si>
  <si>
    <t>OŠ Alojza Hohkrauta</t>
  </si>
  <si>
    <t>OŠ Stoperce</t>
  </si>
  <si>
    <t>OŠ Preserje</t>
  </si>
  <si>
    <t>O.Š.Dobrepolje</t>
  </si>
  <si>
    <t>O.Š. heroja Janeza Hribarja</t>
  </si>
  <si>
    <t>OŠ JURŠINCI</t>
  </si>
  <si>
    <t>Gostilna pri Štefanu</t>
  </si>
  <si>
    <t>ŠENTVIŠKA PLANOTA</t>
  </si>
  <si>
    <t>Šmarje, trgovina</t>
  </si>
  <si>
    <t>Šmarje 37, 8310 Šentjernej</t>
  </si>
  <si>
    <t>BOŠTANJ</t>
  </si>
  <si>
    <t>Hotel Švicarija€¦</t>
  </si>
  <si>
    <t>Šola Muta</t>
  </si>
  <si>
    <t>Šolska ulica 6, 2366 Muta</t>
  </si>
  <si>
    <t>OŠ Janka Modra, podružnica Senožeti</t>
  </si>
  <si>
    <t>OŠ STRANJE</t>
  </si>
  <si>
    <t>OŠ SODRAŽICA - KUHINJA</t>
  </si>
  <si>
    <t>STRANE-HRUŠEVJE - ŠMIHEL</t>
  </si>
  <si>
    <t>RESTAVRACIJA HRUŠEVJE</t>
  </si>
  <si>
    <t>Šolska ulica 4, 1354 Horjul</t>
  </si>
  <si>
    <t>DOLGA GORA - ŠMARJE PRI JELŠAH</t>
  </si>
  <si>
    <t>HOTEDRŠICA</t>
  </si>
  <si>
    <t>KOŠNICA - TREMERJE</t>
  </si>
  <si>
    <t>OŠ Prevole</t>
  </si>
  <si>
    <t>OŠ Zgornja Ložnica</t>
  </si>
  <si>
    <t>VRH PRI BOŠTANJU</t>
  </si>
  <si>
    <t>OŠ PREGARJE</t>
  </si>
  <si>
    <t>CŠOD PRVINE</t>
  </si>
  <si>
    <t>BRŠLENOVICA - ŠENTOŽBOLT</t>
  </si>
  <si>
    <t>ŠENTOŽBOLT 3, ŠENTOŽBOLT, 1222 Trojane</t>
  </si>
  <si>
    <t>ŠMARNA GORA</t>
  </si>
  <si>
    <t>Šmarna gora 4, Ljubljana Šmartno, 1211 Ljubljana - Šmartno</t>
  </si>
  <si>
    <t>HRUŠEVO</t>
  </si>
  <si>
    <t>Šolska ulica 7, 4290 Tržič</t>
  </si>
  <si>
    <t>območje 3-RUŠE-SELNICA</t>
  </si>
  <si>
    <t>26/2795, OŠ RAD€¦</t>
  </si>
  <si>
    <t>BESNICA ŠOLA</t>
  </si>
  <si>
    <t>O.Š. Besnica</t>
  </si>
  <si>
    <t>OŠ Koprivnica</t>
  </si>
  <si>
    <t>LIVŠKE RAVNE</t>
  </si>
  <si>
    <t>FRANC ŠTEPIC</t>
  </si>
  <si>
    <t>Cirnik, Štepic</t>
  </si>
  <si>
    <t>OŠ Davča</t>
  </si>
  <si>
    <t>Ferdinand Kolar (CIPROŠ D.O.O.)</t>
  </si>
  <si>
    <t>TRG PADLIH BORCEV 3, ŠMARCA , 1241 Kamnik</t>
  </si>
  <si>
    <t>VODOVOD IZLETNIŠKA KMETIJA PR'POSILNC</t>
  </si>
  <si>
    <t>IZLETNIŠKA KMETIJA PR'POSILNC</t>
  </si>
  <si>
    <t>NOGRAŠEK ALOJZ</t>
  </si>
  <si>
    <t>LESKOVICA 9, LESKOVICA, 1275 Šmartno pri Litiji</t>
  </si>
  <si>
    <t>BREDA GRADIŠNIK FUNTEK</t>
  </si>
  <si>
    <t>VODOVOD KMETIJA GRADIŠNIK</t>
  </si>
  <si>
    <t>KMETIJA GRADIŠNIK</t>
  </si>
  <si>
    <t>VAŠKA SKUPNOST SKALE</t>
  </si>
  <si>
    <t>VAŠKA SKUPNOST MALENSKI VRH</t>
  </si>
  <si>
    <t>MALENSKI VRH 9, POLJANE, 4223 Poljane nad Škofjo Loko</t>
  </si>
  <si>
    <t>PD ŠENTJUR</t>
  </si>
  <si>
    <t>PŠ KOKRA</t>
  </si>
  <si>
    <t>SLAMNIKI - HIŠA ŠTEVILKA 3</t>
  </si>
  <si>
    <t>JAVNA IZLIVKA - TOLMINSKE RAVNE PRI ŠT. 14</t>
  </si>
  <si>
    <t>TOLMINSKE RAVNE PRI ŠT. 14 , TOLMINSKE RAVNE, 5220 Tolmin</t>
  </si>
  <si>
    <t>MZL DEBELI RTIČ</t>
  </si>
  <si>
    <t>JADRANSKA 73, ANKARAN  - DEBELI RTIČ, 6280 Ankaran - Ancarano</t>
  </si>
  <si>
    <t>Komunala Črnomelj</t>
  </si>
  <si>
    <t>ČRNOMELJ (BLATNIK IN DOBLIČE)</t>
  </si>
  <si>
    <t>ČRNOMELJ-DOBLIČE</t>
  </si>
  <si>
    <t>KOČEVJE - RIBNICA - SODRAŽICA</t>
  </si>
  <si>
    <t>KOČEVJE</t>
  </si>
  <si>
    <t>Vrtec Anice Černejeve Celje - Enota Sonce</t>
  </si>
  <si>
    <t>VRTEC OTONA ŽUPANČIČA, OBLAKOVA</t>
  </si>
  <si>
    <t>območje 2-HOČE-MIKLAVŽ</t>
  </si>
  <si>
    <t>VRTEC SPODNJE HOČE</t>
  </si>
  <si>
    <t>VVO BORISA PEČETA</t>
  </si>
  <si>
    <t>ZADLAŠČICA</t>
  </si>
  <si>
    <t>POLJČANE - ROGAŠKA - ROGATEC</t>
  </si>
  <si>
    <t>POLJČANE-ROGAŠKA-ROGATEC</t>
  </si>
  <si>
    <t>NOVO MESTO - STOPIČE</t>
  </si>
  <si>
    <t>KLEČE  - 1</t>
  </si>
  <si>
    <t>STIČNA</t>
  </si>
  <si>
    <t>HRAŠČICE</t>
  </si>
  <si>
    <t>OBČINA BOHINJ</t>
  </si>
  <si>
    <t>VOJE - RIBČEV LAZ</t>
  </si>
  <si>
    <t>VRTEC KROJAČEK HLAČEK</t>
  </si>
  <si>
    <t>OBČINA ŽIRI</t>
  </si>
  <si>
    <t>ČRNI GRABEN</t>
  </si>
  <si>
    <t>TATERMAN - KAMRCA - ŽIROVŠE (Črni graben)</t>
  </si>
  <si>
    <t>ZREČE</t>
  </si>
  <si>
    <t>ZREČE 1 (zgornji sistem)</t>
  </si>
  <si>
    <t>JP KOMUNALA RADEČE d.o.o.</t>
  </si>
  <si>
    <t>RADEČE</t>
  </si>
  <si>
    <t>GODOVIČ - ZAVRATEC</t>
  </si>
  <si>
    <t>LITIJA - ŠMARTNO - GOLIŠČE</t>
  </si>
  <si>
    <t>KLEČE/HRASTJE - 1</t>
  </si>
  <si>
    <t>KLEČE/BREST - 1</t>
  </si>
  <si>
    <t>VODOVOD LETOŠČ</t>
  </si>
  <si>
    <t>VRTEC STROČJA VAS</t>
  </si>
  <si>
    <t>STROČJA VAS 101, STROČJA VAS, 9240 Ljutomer</t>
  </si>
  <si>
    <t>JVS OBČINE VELIKA POLANA</t>
  </si>
  <si>
    <t>VODOVOD OBČINE VELIKA POLANA</t>
  </si>
  <si>
    <t>ČEHOVINI 11A, 6222 Štanjel</t>
  </si>
  <si>
    <t>DOLIČ</t>
  </si>
  <si>
    <t>DOLIČ #2</t>
  </si>
  <si>
    <t>ŠOLA DOLIČ</t>
  </si>
  <si>
    <t>SREDNJI DOLIČ 4, SREDNJI DOLIČ, 2382 Mislinja</t>
  </si>
  <si>
    <t>OBČINA ILIRSKA BISTRICA</t>
  </si>
  <si>
    <t>ZABIČE</t>
  </si>
  <si>
    <t>ZABIČE 65, 6250 Ilirska Bistrica</t>
  </si>
  <si>
    <t>PODBOČJE</t>
  </si>
  <si>
    <t>LUČE</t>
  </si>
  <si>
    <t>PLES - MORAVČE - DRTIJA - STRAŽA</t>
  </si>
  <si>
    <t>PAMEČE - NOVO NASELJE</t>
  </si>
  <si>
    <t>ŠOLA PAMEČE</t>
  </si>
  <si>
    <t>PAMEČE 134, PAMEČE, 2380 Slovenj Gradec</t>
  </si>
  <si>
    <t>VOLČE</t>
  </si>
  <si>
    <t>RATEČE</t>
  </si>
  <si>
    <t>ZG. HOČE</t>
  </si>
  <si>
    <t>ZG.HOČE</t>
  </si>
  <si>
    <t>LV ZG.HOČE-GOST.KOBALEJ</t>
  </si>
  <si>
    <t>ZG.HOČE 25, 2311 Hoče</t>
  </si>
  <si>
    <t>OBČINA GORENJA VAS - POLJANE</t>
  </si>
  <si>
    <t>PODČETRTEK - OLIMJE</t>
  </si>
  <si>
    <t>ROČINJ - DOBLAR</t>
  </si>
  <si>
    <t>Gostilna Čot</t>
  </si>
  <si>
    <t>LOKA PRI ZIDANEM MOSTU - RAČICA</t>
  </si>
  <si>
    <t>BOČNA</t>
  </si>
  <si>
    <t>ČATEŽ</t>
  </si>
  <si>
    <t>Gorenja vas pri Čatežu 19, 8212 Velika Loka</t>
  </si>
  <si>
    <t>ČEPINCI</t>
  </si>
  <si>
    <t xml:space="preserve">ČEPINCI </t>
  </si>
  <si>
    <t>Čepinci 10, ČEPINCI, 9203 Petrovci</t>
  </si>
  <si>
    <t>TURNIŠČE</t>
  </si>
  <si>
    <t>ZREČE 2 (spodnji sistem)</t>
  </si>
  <si>
    <t>Gostilna pri Čibru</t>
  </si>
  <si>
    <t>VELIKE LAŠČE IN BOROVEC KARLOVICA</t>
  </si>
  <si>
    <t>JARŠKI PROD/HRASTJE/KLEČE - 1</t>
  </si>
  <si>
    <t>OBČ.RAČE-FRAM</t>
  </si>
  <si>
    <t>BOHINJSKA ČEŠNJICA 13, BOHINJSKA ČEŠNJICA, 4267 Srednja vas v Bohinju</t>
  </si>
  <si>
    <t>POKOPALIŠČE JAVORJE</t>
  </si>
  <si>
    <t>ROŽIČKI VRH (skupinski) - SMOLKO IGOR</t>
  </si>
  <si>
    <t>OBČINA HRPELJE - KOZINA</t>
  </si>
  <si>
    <t>TRPČANE</t>
  </si>
  <si>
    <t>GOSTILNA KOČANIJA</t>
  </si>
  <si>
    <t>TRPČANE 41B, ILIRSKA BISTRICA - TRPČANE, 6250 Ilirska Bistrica</t>
  </si>
  <si>
    <t>ZBELOVSKA GORA - PEČICA (NUNSKA GORA)</t>
  </si>
  <si>
    <t>OBČ. LENART</t>
  </si>
  <si>
    <t>SP.VOLIČINA 49, SPODNJA VOLIČINA, 2232 Voličina</t>
  </si>
  <si>
    <t>LOM POD STORŽIČEM</t>
  </si>
  <si>
    <t>LUČINE - SUHI DOL</t>
  </si>
  <si>
    <t>LUČINE</t>
  </si>
  <si>
    <t>BUČKA</t>
  </si>
  <si>
    <t>ARTIČE</t>
  </si>
  <si>
    <t>TRŽIČ PRESKA</t>
  </si>
  <si>
    <t>TERME ČATEŽ d.d.</t>
  </si>
  <si>
    <t>TERME ČATEŽ</t>
  </si>
  <si>
    <t>SENIČNO</t>
  </si>
  <si>
    <t>SENIČNO #2</t>
  </si>
  <si>
    <t>VAČE</t>
  </si>
  <si>
    <t>KOČNA</t>
  </si>
  <si>
    <t>MUKOVEC - VRH - LASTNIČ</t>
  </si>
  <si>
    <t>RANČE</t>
  </si>
  <si>
    <t>Čadež</t>
  </si>
  <si>
    <t>PAMEČE - STARO NASELJE</t>
  </si>
  <si>
    <t>VODOVOD KRIVČEVO-PODSTUDENEC</t>
  </si>
  <si>
    <t>KRIVČEVO-PODSTUDENEC</t>
  </si>
  <si>
    <t>VODOVOD SOVINJA PEČ-ROŽIČNO</t>
  </si>
  <si>
    <t>SOVINJA PEČ-ROŽIČNO</t>
  </si>
  <si>
    <t>ŠMARTNO BUČ</t>
  </si>
  <si>
    <t>ŠMARTNO-BUČ</t>
  </si>
  <si>
    <t>AVČE</t>
  </si>
  <si>
    <t>KZ VELIKE LAŠČE, z.o.o., TRGOVINA TURJAK</t>
  </si>
  <si>
    <t>OBČINA DOBJE</t>
  </si>
  <si>
    <t>DOBOVEC-TRLIČNO</t>
  </si>
  <si>
    <t>GORENJE POLJE - MOČILA</t>
  </si>
  <si>
    <t>STANOVANJSKA HIŠA, MOČILA 7</t>
  </si>
  <si>
    <t>MOČILA 7, ANHOVO, 5210 Deskle</t>
  </si>
  <si>
    <t>GNEČ - SLATINA</t>
  </si>
  <si>
    <t>LETOŠČ - ŠMARTNO OB DRETI</t>
  </si>
  <si>
    <t>OBČINA HORJUL</t>
  </si>
  <si>
    <t>REČICA</t>
  </si>
  <si>
    <t>REČICA OB SAVINJI 70, 3332 Rečica ob Savinji</t>
  </si>
  <si>
    <t>OBČINA SEŽANA</t>
  </si>
  <si>
    <t>JAKŠIČI - FARA</t>
  </si>
  <si>
    <t>Črni Potok 13, 1275 Šmartno pri Litiji</t>
  </si>
  <si>
    <t>BUKOVŠČICA</t>
  </si>
  <si>
    <t>HOČKO POHORJE 38, 2208 Pohorje</t>
  </si>
  <si>
    <t>ČRNI VRH - SMOLNIK</t>
  </si>
  <si>
    <t>Črni vrh 34, 1355 Polhov Gradec</t>
  </si>
  <si>
    <t>ČRETA-SLIVNICA-RADIZEL</t>
  </si>
  <si>
    <t>PALOVČE-VRANJA PEČ-VELIKA LAŠNA</t>
  </si>
  <si>
    <t>ŽLEBIČ</t>
  </si>
  <si>
    <t>ČRNOMELJ - ČRMOŠNJICE</t>
  </si>
  <si>
    <t>ČRNOMELJ - ČERMOŠNJICE</t>
  </si>
  <si>
    <t>ČEŠNJICE PRI TREBELNEM</t>
  </si>
  <si>
    <t>SOČA</t>
  </si>
  <si>
    <t>ČATEŠKA GORA</t>
  </si>
  <si>
    <t>KOZARŠČE</t>
  </si>
  <si>
    <t>SELA PRI VOLČAH</t>
  </si>
  <si>
    <t>ČEŠNJICE - ZAGRADIŠČE</t>
  </si>
  <si>
    <t>TIRNA - ROVIŠČE</t>
  </si>
  <si>
    <t>MIRNA PEČ- del Radulja</t>
  </si>
  <si>
    <t>Četena Ravan 7, Četena Ravan, 4223 Poljane nad Škofjo Loko</t>
  </si>
  <si>
    <t>ČEČE</t>
  </si>
  <si>
    <t>Čeče 6, Čeče, 1420 Trbovlje</t>
  </si>
  <si>
    <t>TREBENČE</t>
  </si>
  <si>
    <t>SH LOKAVEC 101A - PRITLIČJE, PIPA V KUHINJI</t>
  </si>
  <si>
    <t>ŽELEZNIČAR</t>
  </si>
  <si>
    <t>PODRUŽNIČNA OŠ LOKA PRI ŽUSMU</t>
  </si>
  <si>
    <t>STUDENČEVKA - SUŠJE</t>
  </si>
  <si>
    <t>DRUŠTVO ZA VARSTVO VODA-OKOLJA ČOLNIŠČE</t>
  </si>
  <si>
    <t>ČOLNIŠČE</t>
  </si>
  <si>
    <t>ČOLNIŠČE 49, ČOLNIŠČE, 1410 Zagorje ob Savi</t>
  </si>
  <si>
    <t>STUDENČICE 14, STUDENČICE, 1215 Medvode</t>
  </si>
  <si>
    <t>KOČEVSKA REKA</t>
  </si>
  <si>
    <t>KOČEVSKA REKA 28, 1338 Kočevska Reka</t>
  </si>
  <si>
    <t>BLOČICE 17, BLOČICE, 1384 Grahovo</t>
  </si>
  <si>
    <t>OBČINA ŠENTJUR</t>
  </si>
  <si>
    <t>BUČE</t>
  </si>
  <si>
    <t>OBČINA BISTRICA OB SOTLI</t>
  </si>
  <si>
    <t>LOG ČEZSOŠKI</t>
  </si>
  <si>
    <t>OBČINA ŠKOFJA LOKA</t>
  </si>
  <si>
    <t>OBČINA LUČE</t>
  </si>
  <si>
    <t>VOLČA</t>
  </si>
  <si>
    <t>BISTRICA PRI TRŽIČU</t>
  </si>
  <si>
    <t>LETOŠČ - ŠMARTNO - VOLOG</t>
  </si>
  <si>
    <t>Dol pri Čepovanu</t>
  </si>
  <si>
    <t>ČEPOVAN 133 A</t>
  </si>
  <si>
    <t>ČEPOVAN 133A, 5253 Čepovan</t>
  </si>
  <si>
    <t>VODOVOD ČRNA</t>
  </si>
  <si>
    <t>ČRNA PRI KAMNIKU 12A, 1242 Stahovica</t>
  </si>
  <si>
    <t>DOLENČICE 16, DOLENČICE, 4223 Poljane nad Škofjo Loko</t>
  </si>
  <si>
    <t>HRIB NAD RIBČAMI 6A, HRIB NAD RIBČAMI, 1281 Kresnice</t>
  </si>
  <si>
    <t>POKOJIŠČE</t>
  </si>
  <si>
    <t>ZABOČEVO</t>
  </si>
  <si>
    <t>GAŠPINOVO - PRAPROČE</t>
  </si>
  <si>
    <t>SOBRAČE</t>
  </si>
  <si>
    <t>VODOVOD BUČ</t>
  </si>
  <si>
    <t>BUČ</t>
  </si>
  <si>
    <t>DRUŠTVO ZA OHRANITEV ČISTE VODE</t>
  </si>
  <si>
    <t>DOLŠČAKI</t>
  </si>
  <si>
    <t>OBČINA SOLČAVA</t>
  </si>
  <si>
    <t>VELUŠČKOVA 6, KOPER SEMEDELA, 6000 Koper - Capodistria</t>
  </si>
  <si>
    <t>OLJČNA POT 63, KOPER - PRISOJE, 6000 Koper - Capodistria</t>
  </si>
  <si>
    <t>KIDRIČEVO NABREŽJE 4, PIRAN, 6330 Piran - Pirano</t>
  </si>
  <si>
    <t>Bar Čakola Pira€¦</t>
  </si>
  <si>
    <t>Vrtec Anice Černejeve Celje - Enota Hribček</t>
  </si>
  <si>
    <t>Vrtec Čebelica Velenje</t>
  </si>
  <si>
    <t>GREGORČIČEV DREVORED 8, 6230 Postojna</t>
  </si>
  <si>
    <t>JESENICE - PERIČNIK</t>
  </si>
  <si>
    <t>VRTEC MALEČNIK</t>
  </si>
  <si>
    <t>MALEČNIK 52, 2000 Maribor</t>
  </si>
  <si>
    <t>Vrtec Tončke Čečeve, Enota Gaberje,pipa v kuhinji v predelu pranja sadja in zelenjave</t>
  </si>
  <si>
    <t>HRASTJE/KLEČE -1</t>
  </si>
  <si>
    <t>GOSTIŠČE BOHORČ</t>
  </si>
  <si>
    <t>VRTEC DIVAČA</t>
  </si>
  <si>
    <t>SLOV. BISTRICA- KIDRIČEVO</t>
  </si>
  <si>
    <t>OŠ PODKRAJ - PRITLIČJE, PIPA V KUHINJI</t>
  </si>
  <si>
    <t>MIRNA PEČ</t>
  </si>
  <si>
    <t>VRTEC SENOŽEČE</t>
  </si>
  <si>
    <t>SENOŽEČE 103A, 6224 Senožeče</t>
  </si>
  <si>
    <t>ČRNOMELJ-SEMIČ</t>
  </si>
  <si>
    <t>ČRNI GOZD</t>
  </si>
  <si>
    <t>Dso Čeče-Pekel</t>
  </si>
  <si>
    <t>ČRNI VRH</t>
  </si>
  <si>
    <t>ČRNI VRH NAD IDRIJO</t>
  </si>
  <si>
    <t>VVE Črni Vrh</t>
  </si>
  <si>
    <t>Črni Vrh 87, 5274 Črni Vrh nad Idrijo</t>
  </si>
  <si>
    <t>ČEPOVAN - TRNOVO</t>
  </si>
  <si>
    <t>BOVEC - ČEZSOČA</t>
  </si>
  <si>
    <t>ULICA ALOJZA RABIČA 7, 4281 Mojstrana</t>
  </si>
  <si>
    <t>PODPEČ - PRESERJE</t>
  </si>
  <si>
    <t>VRTCI BREZOVICA, ENOTA PODPEČ</t>
  </si>
  <si>
    <t>JEZERO 113, PODPEČ - PRESERJE, 1352 Preserje</t>
  </si>
  <si>
    <t>STUDENICE - POLJČANE</t>
  </si>
  <si>
    <t>ČEHOVEC- BISTRICA OB SOTLI</t>
  </si>
  <si>
    <t>GORIČE</t>
  </si>
  <si>
    <t>VODOVOD RIBČE - HOTIČ</t>
  </si>
  <si>
    <t>RIBČE - HOTIČ</t>
  </si>
  <si>
    <t>Stanovanjjski objekt (Čadež Simon)</t>
  </si>
  <si>
    <t>GLOBOČEC</t>
  </si>
  <si>
    <t>KOTREDEŽ - LOŠČ</t>
  </si>
  <si>
    <t>KOTREDEŽ - LOŠČ (del Zagorja)</t>
  </si>
  <si>
    <t>UL. DRAGOMIRJA BENČIČA BRKINA 4, KOZINA - HRPELJE, 6240 Kozina</t>
  </si>
  <si>
    <t>VODARNA PODGRAD - SEGOVCI (OMREŽJE APAČE, GORNJA RADGONA)</t>
  </si>
  <si>
    <t>VRTEC OTONA ŽUPANČIČA, OPLOTNICA</t>
  </si>
  <si>
    <t>OBČINA ČRNA</t>
  </si>
  <si>
    <t>ČRNA</t>
  </si>
  <si>
    <t>Občina Črna, Janko Potočnik</t>
  </si>
  <si>
    <t>KAMNIŠKA BISTRICA - GODIČ</t>
  </si>
  <si>
    <t>BREZJE (TRŽIČ)</t>
  </si>
  <si>
    <t>KOSEČ</t>
  </si>
  <si>
    <t>KRIŽE - PEČICE - ŠAPOLE</t>
  </si>
  <si>
    <t>ČEMŠENIK</t>
  </si>
  <si>
    <t>PŠ ČEMŠENIK</t>
  </si>
  <si>
    <t>ČEMŠENIK 2, ČEMŠENIK, 1410 Zagorje ob Savi</t>
  </si>
  <si>
    <t>PRAPROČE</t>
  </si>
  <si>
    <t>TRŽIČ MESTNI VODOVOD</t>
  </si>
  <si>
    <t>TRŽIČ MESTNI - RAVNE IN MARKOV</t>
  </si>
  <si>
    <t>SAVA - PONOVIČE</t>
  </si>
  <si>
    <t>ROBIDIŠČE</t>
  </si>
  <si>
    <t>GOSTIŠČE ATELŠEK</t>
  </si>
  <si>
    <t>VODOVOD GOSTIŠČE ATELŠEK</t>
  </si>
  <si>
    <t>OSKRBOVALNO OBMOČJE GOSTIŠČE ATELŠEK</t>
  </si>
  <si>
    <t>ČP BILPA PO UV</t>
  </si>
  <si>
    <t>TK PODMLAČAN</t>
  </si>
  <si>
    <t>VODOVOD TURISTIČNA KMETIJA PODMLAČAN</t>
  </si>
  <si>
    <t>TURISTIČNA KMETIJA PODMLAČAN</t>
  </si>
  <si>
    <t>JARČJE BRDO 2, 4227 Selca</t>
  </si>
  <si>
    <t>VODOVOD KMETIJA ČEH</t>
  </si>
  <si>
    <t>KMETIJA ČEH</t>
  </si>
  <si>
    <t>KMETIJA ČEH - DEŽEVNICA</t>
  </si>
  <si>
    <t>VAŠKA SKUPNOST KOPAČNICA</t>
  </si>
  <si>
    <t>VODOVOD KOPAČNICA - SPODNJI DEL</t>
  </si>
  <si>
    <t>IZVIR DRČE - KOPAČNICA</t>
  </si>
  <si>
    <t>KOPAČNICA SPODNJI DEL - STANOVANJSKA HIŠA</t>
  </si>
  <si>
    <t>KOPAČNICA 8, 4224 Gorenja vas</t>
  </si>
  <si>
    <t>GRIČNIK D.O.O.</t>
  </si>
  <si>
    <t>PD ČRNOMELJ</t>
  </si>
  <si>
    <t>KRAJNČICA 8A, 3230 Šentjur</t>
  </si>
  <si>
    <t>APARTMAJI ČUMAR</t>
  </si>
  <si>
    <t>VODOVOD APARTMAJI ČUMAR</t>
  </si>
  <si>
    <t>DAVČA 19, 4228 Železniki</t>
  </si>
  <si>
    <t>VODOVOD APARTMAJI ČUMAR BRUNARICA</t>
  </si>
  <si>
    <t>PODMEJAČ - TUŠEK - APARTMAJI ČUMAR BRUNARICA</t>
  </si>
  <si>
    <t>APARTMAJI ČUMAR - BRUNARICA</t>
  </si>
  <si>
    <t>DAVČA 66, 4228 Železniki</t>
  </si>
  <si>
    <t>JEVŠČEK</t>
  </si>
  <si>
    <t>JAVNA IZLIVKA - JEVŠČEK PRI ŠT. 17</t>
  </si>
  <si>
    <t>JEVŠČEK PRI ŠT. 17 , JEVŠČEK, 5222 Kobarid</t>
  </si>
  <si>
    <t>ČOLNICA</t>
  </si>
  <si>
    <t>ČOLNICA 8</t>
  </si>
  <si>
    <t>ČOLNICA 8, ČOLNICA, 5213 Kanal</t>
  </si>
  <si>
    <t>Podzemna - brez vpliva površinske vode</t>
  </si>
  <si>
    <t>Osnovna šola Ivan Cankar, Bogojina</t>
  </si>
  <si>
    <t>pod vplivom površinske vode</t>
  </si>
  <si>
    <t>Osnovna šola #19</t>
  </si>
  <si>
    <t>Podnanos št.71 , 5272 Podnanos</t>
  </si>
  <si>
    <t>Vrtec Šoštanj - Enota Brina</t>
  </si>
  <si>
    <t>Kajuhova c.  3, 3325 Šoštanj</t>
  </si>
  <si>
    <t>Vrtec Šoštanj -€¦</t>
  </si>
  <si>
    <t>Otroški vrtec Lesce</t>
  </si>
  <si>
    <t>Krško, OŠ M. Rostohar</t>
  </si>
  <si>
    <t>Cesta 4. Julija 33, 8270 Krško</t>
  </si>
  <si>
    <t>Osnovna šola Žirovnica</t>
  </si>
  <si>
    <t>Osnovna šola Nevlje, Kamnik</t>
  </si>
  <si>
    <t>Osnovna šola Orehek</t>
  </si>
  <si>
    <t>Osnovna šola Venclja Perka Domžale</t>
  </si>
  <si>
    <t>Podružnična osnovna šola Trje</t>
  </si>
  <si>
    <t>OKP Rogaška Slatina</t>
  </si>
  <si>
    <t>Slomškova 13, 3240 Šmarje pri Jelšah</t>
  </si>
  <si>
    <t>koagulacija, flokulacija, ultrafiltracija, hitri peščeni filtri, adsorpcija z aktivnim ogljem, redna dezinfekcija, dezinfekcija s plinskim klorom, dezinfekcija z natrijevim hipokloritom, dezinfekcija z ozonom, dezinfekcija z UV žarki</t>
  </si>
  <si>
    <t>ŠOLSKA 25, 2341 Limbuš</t>
  </si>
  <si>
    <t>HUBELJ Ajdovščina</t>
  </si>
  <si>
    <t>Otroški vrtec, Enota ob Hublju</t>
  </si>
  <si>
    <t>Ob Hublju 1, 5270 Ajdovščina</t>
  </si>
  <si>
    <t>Tomšičeva 32, 2000 Maribor</t>
  </si>
  <si>
    <t>Janševa ulica 3, 2000 Maribor</t>
  </si>
  <si>
    <t>Javni loški vodovod (JLV)</t>
  </si>
  <si>
    <t>Prušnikova 29a, 3212 Vojnik</t>
  </si>
  <si>
    <t>Vrtec dr. France Prešeren</t>
  </si>
  <si>
    <t>Vrtec Viški gaj, enota Bonifacija</t>
  </si>
  <si>
    <t>Javna pipa igrišče Rožna dolina</t>
  </si>
  <si>
    <t>JKP Ravne na Koroškem</t>
  </si>
  <si>
    <t>Hraščice</t>
  </si>
  <si>
    <t>Krška cesta 4, 8311 Kostanjevica na Krki</t>
  </si>
  <si>
    <t>Osnovna šola Žiri - kuhinja</t>
  </si>
  <si>
    <t>Šempas št.29 , 5261 Šempas</t>
  </si>
  <si>
    <t>pipa za šankom</t>
  </si>
  <si>
    <t>Osnovna šola Duplje #127</t>
  </si>
  <si>
    <t>Osnovna šola Janko Kersnik, Brdo pri Lukovici</t>
  </si>
  <si>
    <t>Osnovna šola Dob, podružnica Krtina</t>
  </si>
  <si>
    <t>Osnovna šola Železniki</t>
  </si>
  <si>
    <t>DOBJA VAS 126, 2390 Ravne na Koroškem</t>
  </si>
  <si>
    <t>Komunala Laško</t>
  </si>
  <si>
    <t>Šola Vrh nad Laškim</t>
  </si>
  <si>
    <t>Vrh nad Laškim 20, VRH NAD LAŠKIM, 3273 Jurklošter</t>
  </si>
  <si>
    <t>Srednja šola Sevnica</t>
  </si>
  <si>
    <t>Starovaška 17, 3311 Šempeter v Savinjski dolini</t>
  </si>
  <si>
    <t>Železniška ulica 1, LESCE</t>
  </si>
  <si>
    <t>Trgovina z meša€¦</t>
  </si>
  <si>
    <t>Osnovna šola Dutovlje</t>
  </si>
  <si>
    <t>Osnovna šola Spodnja Idrija, pipa v kuhinji</t>
  </si>
  <si>
    <t>JELŠANE 82, 6254 Jelšane</t>
  </si>
  <si>
    <t>Stanovanjska hiša</t>
  </si>
  <si>
    <t>Osnovna šola Simona Gregorčiča Kobarid- Podružnična šola Drežnica</t>
  </si>
  <si>
    <t>Drežnica št.16e , 5222 Kobarid</t>
  </si>
  <si>
    <t>Stanovanjska hiša (Počevalnik Jože)</t>
  </si>
  <si>
    <t>Otroški vrtec</t>
  </si>
  <si>
    <t>Osnovna šola</t>
  </si>
  <si>
    <t>Smast št.13 , 5222 Kobarid</t>
  </si>
  <si>
    <t>Ložice št.22 , 5213 Kanal</t>
  </si>
  <si>
    <t>hitri peščeni filtri, počasni peščeni filtri, dezinfekcija z natrijevim hipokloritom</t>
  </si>
  <si>
    <t>Osnovna šola Jurij Vega, Moravče</t>
  </si>
  <si>
    <t>Osnovna šola Preserje pri Radomljah</t>
  </si>
  <si>
    <t>Podružnična osnovna šola</t>
  </si>
  <si>
    <t>Žaga št. 29 , 5230 Bovec</t>
  </si>
  <si>
    <t>Osnovna šola Selca</t>
  </si>
  <si>
    <t>Društvo krajanov Reka Pohorje</t>
  </si>
  <si>
    <t>Osnovna šola Poljane nad Škofjo Loko</t>
  </si>
  <si>
    <t>Osnovna šola Blanca</t>
  </si>
  <si>
    <t>Vrtec Letuš</t>
  </si>
  <si>
    <t>Letuš 31, 3327 Šmartno ob Paki</t>
  </si>
  <si>
    <t>Trška cesta 76, 3254 Podčetrtek</t>
  </si>
  <si>
    <t>Podružnična osnovna šola Pristava pri Mestinju</t>
  </si>
  <si>
    <t>Veliki Trn 1, Veliki Trn, 8270 Krško</t>
  </si>
  <si>
    <t>Stanovanjska hiša #184</t>
  </si>
  <si>
    <t>Ročinj št.29 , 5215 Ročinj</t>
  </si>
  <si>
    <t>KS Kamnje-Potoče, Vaški vodovod KAMNJE</t>
  </si>
  <si>
    <t>stanovanjska hiša</t>
  </si>
  <si>
    <t>Vodohran Oprešn€¦</t>
  </si>
  <si>
    <t>Javna izlivka pred št. 20</t>
  </si>
  <si>
    <t>stanov. hiša</t>
  </si>
  <si>
    <t>Turiška vas 9, 2383 Šmartno pri Slovenj Gradcu</t>
  </si>
  <si>
    <t>Stan. hiša</t>
  </si>
  <si>
    <t>VVZ Turnišče</t>
  </si>
  <si>
    <t>Ulica Štefana Kovača  99, 9224 Turnišče</t>
  </si>
  <si>
    <t>Mengeš</t>
  </si>
  <si>
    <t>Otroški vrtec Sonček</t>
  </si>
  <si>
    <t>Zoranina ulica 5, 1234 Mengeš</t>
  </si>
  <si>
    <t>Troštova 24, 1292 Ig</t>
  </si>
  <si>
    <t>Vrtec škratka Svitka</t>
  </si>
  <si>
    <t>Franca Šeška  15, 1217 Vodice</t>
  </si>
  <si>
    <t>Srednja poklicna in strokovna šola Zreče</t>
  </si>
  <si>
    <t>Šenturška Gora  23, Šenturška Gora , 4207 Cerklje na Gorenjskem</t>
  </si>
  <si>
    <t>Podružnična šola Zgornji Tuhinj</t>
  </si>
  <si>
    <t>VVO Velike Lašče</t>
  </si>
  <si>
    <t>Šolska ulica 11, 1315 Velike Lašče</t>
  </si>
  <si>
    <t>Vinotoč Gorišek Marjan</t>
  </si>
  <si>
    <t>Bohinjska Češnjica, Spodnje Podjelje</t>
  </si>
  <si>
    <t>Bohinjska Češnjica, Spodnje Pojelje</t>
  </si>
  <si>
    <t>Osnovna šola Hodoš</t>
  </si>
  <si>
    <t>Hodoš 53, Hodoš, 9205 Hodoš - Hodos</t>
  </si>
  <si>
    <t>filtri, sedimentacija ali usedanje, hitri peščeni filtri, počasni peščeni filtri, adsorpcija z aktivnim ogljem, dezinfekcija z ozonom, dezinfekcija s klorovim dioksidom, dezinfekcija z UV žarki</t>
  </si>
  <si>
    <t>Mladinsko klimatsko zdravilišče</t>
  </si>
  <si>
    <t>Pokopališče Štj€¦</t>
  </si>
  <si>
    <t>VELIKO UBELJSKO 26, 6225 Hruševje</t>
  </si>
  <si>
    <t>O.Š.Polš.</t>
  </si>
  <si>
    <t>Polšnik 23, Litija, 1272 Polšnik</t>
  </si>
  <si>
    <t>Gostišče na Hrastu - Brunskole</t>
  </si>
  <si>
    <t>Skrbinšek</t>
  </si>
  <si>
    <t>Stanovanjska hiša Furman Franc - Konjiška vas</t>
  </si>
  <si>
    <t>Konjiška vas 12, 3210 Slovenske Konjice</t>
  </si>
  <si>
    <t>Stanovanjska hiša Vehovar Jožef - Nunska gora</t>
  </si>
  <si>
    <t>Vrsno št.11 , 5222 Kobarid</t>
  </si>
  <si>
    <t>Stanovanjska hiša Šket Janko - Belo</t>
  </si>
  <si>
    <t>Belo 12, 3240 Šmarje pri Jelšah</t>
  </si>
  <si>
    <t>Stanovanjska hiša (Mušič Avgust))</t>
  </si>
  <si>
    <t>Osnovna šola - vrtec Šentjošt</t>
  </si>
  <si>
    <t>Šentjošt nad Horjulom 54, Šentjošt nad Horjulom, 1354 Horjul</t>
  </si>
  <si>
    <t>Osnovna šola Lom pod Storžičem</t>
  </si>
  <si>
    <t>Osnovna šola Lučine</t>
  </si>
  <si>
    <t>Podružnična osnovna šola Nova Štifta</t>
  </si>
  <si>
    <t>Predilniška 16, 4290 Tržič</t>
  </si>
  <si>
    <t>Hotel Zdravilišče - Terme Čatež</t>
  </si>
  <si>
    <t>Topliška cesta 35, ČATEŽ OB SAVI, 8250 Brežice</t>
  </si>
  <si>
    <t>Center šolskih in obšolskih dejavnosti</t>
  </si>
  <si>
    <t>prostor za čišt€¦</t>
  </si>
  <si>
    <t>KS Dolenja Trebuša</t>
  </si>
  <si>
    <t>Obrekar Franc, Dolenja Trebuša 12, 5283 Slap ob Idrijci</t>
  </si>
  <si>
    <t>Bušeča vas 1, 8263 Cerklje ob Krki</t>
  </si>
  <si>
    <t>stanovanjska hiša Škrjanc</t>
  </si>
  <si>
    <t>OŠ Ig, PŠ Iška vas</t>
  </si>
  <si>
    <t>Iška vas 2, 1292 Ig</t>
  </si>
  <si>
    <t>Javorniški rovt 25, 4270 Jesenice</t>
  </si>
  <si>
    <t>Demšar Tomaž s.p. Pohištveno mizarstvo Rudno</t>
  </si>
  <si>
    <t>Log 40, 8294 Boštanj</t>
  </si>
  <si>
    <t>Šmarčna 20, 8294 Boštanj</t>
  </si>
  <si>
    <t>Center šolskih in obšolskih dejavnosti - Dom Planinka</t>
  </si>
  <si>
    <t>Slivniško Pohorje 39, 2208 Pohorje</t>
  </si>
  <si>
    <t>Brunk in Brunška gora</t>
  </si>
  <si>
    <t>Stanovanjska hiša (Škopoc Tone - Brink Goreljce)</t>
  </si>
  <si>
    <t>Podružnična šola Dole pri Litiji</t>
  </si>
  <si>
    <t>Javna izlivka pred št. 8</t>
  </si>
  <si>
    <t>Javna izlivka pred št. 34</t>
  </si>
  <si>
    <t>Lešnik</t>
  </si>
  <si>
    <t>Podružnična šola Laze</t>
  </si>
  <si>
    <t>Vršič Karel</t>
  </si>
  <si>
    <t>Slavšina  22a, 2255 Vitomarci</t>
  </si>
  <si>
    <t>26/0631, Vršič €¦</t>
  </si>
  <si>
    <t>Pr Končovc, Aleš Kristan</t>
  </si>
  <si>
    <t>Mali Kamen-stan.hiša</t>
  </si>
  <si>
    <t>KS Višnja gora</t>
  </si>
  <si>
    <t>Jeromščica</t>
  </si>
  <si>
    <t>Jeromščica Višnja gora</t>
  </si>
  <si>
    <t>Ciglerjeva 27, 1294 Višnja Gora</t>
  </si>
  <si>
    <t>Laška vas - Bojansko</t>
  </si>
  <si>
    <t>koagulacija, flokulacija, hitri peščeni filtri, redna dezinfekcija, dezinfekcija z natrijevim hipokloritom</t>
  </si>
  <si>
    <t>Stan. Hiša Kompole, pipa v spodnji kuhinji</t>
  </si>
  <si>
    <t>Stan. hiša, Mala Ligojna</t>
  </si>
  <si>
    <t>hitri peščeni filtri, adsorpcija z aktivnim ogljem, redna dezinfekcija, dezinfekcija z natrijevim hipokloritom</t>
  </si>
  <si>
    <t>Podružnična šola Gozd</t>
  </si>
  <si>
    <t>Podružnična šola Sela pri Kamniku</t>
  </si>
  <si>
    <t>Markovo - Podhruška</t>
  </si>
  <si>
    <t>Osnovna šola Šmartno</t>
  </si>
  <si>
    <t>Javna izlivka na vaškem koritu</t>
  </si>
  <si>
    <t>Stan. hiša, Okrog 14A</t>
  </si>
  <si>
    <t>Božje, Koritno, Kovaški vrh, Brezje</t>
  </si>
  <si>
    <t>Stan. hiša Marjan Dečar</t>
  </si>
  <si>
    <t>stan hiša</t>
  </si>
  <si>
    <t>stan.hiša</t>
  </si>
  <si>
    <t>Osnovna šola Dobje</t>
  </si>
  <si>
    <t>Črpališče Zgornja Vižinga (v bližini stan. hiše Zg. Vižinga 8)</t>
  </si>
  <si>
    <t>Vršiška cesta 41, 4280 Kranjska Gora</t>
  </si>
  <si>
    <t>Vaški vodovod Šmihel pod Nanosom</t>
  </si>
  <si>
    <t>Stanovanjska hiša, Skornšek Jože</t>
  </si>
  <si>
    <t>Gostilna Pošta - Radmirje</t>
  </si>
  <si>
    <t>Osnovna šola Šmartno ob Dreti</t>
  </si>
  <si>
    <t>VO Kališovec</t>
  </si>
  <si>
    <t>Kališovec -Brezje- Dolenji Leskovec</t>
  </si>
  <si>
    <t>Kališovec -Brezje-  Dolenji Leskovec</t>
  </si>
  <si>
    <t>Polica - Gradišče</t>
  </si>
  <si>
    <t>Vodovodna zadruga Blegoš</t>
  </si>
  <si>
    <t>VZ Leše</t>
  </si>
  <si>
    <t>Leše</t>
  </si>
  <si>
    <t>Leše - Hudi graben</t>
  </si>
  <si>
    <t>MALO UBELJSKO 13, HRUŠEVJE - M. UBELJSKO, 6225 Hruševje</t>
  </si>
  <si>
    <t>stanovanjski objekt Kramar,  Nemški rovt</t>
  </si>
  <si>
    <t>Nemški rovt 3A, Nemški rovt, 4264 Bohinjska Bistrica</t>
  </si>
  <si>
    <t>Mala Pristava 4, Bobovo, 3240 Šmarje pri Jelšah</t>
  </si>
  <si>
    <t>Strojne inštalacije, Klemen Berce s.p.</t>
  </si>
  <si>
    <t>Osnovna šola Bukovščica</t>
  </si>
  <si>
    <t>Bukovščica 4, Bukovščica, 4227 Selca</t>
  </si>
  <si>
    <t>Osnovna šola Lenart nad Lušo</t>
  </si>
  <si>
    <t>Lenart nad Lušo 24, Lenart nad Lušo, 4227 Selca</t>
  </si>
  <si>
    <t>Stanovanjska hiša (Silvo Nuč)</t>
  </si>
  <si>
    <t>Osnovna šola Črni vrh</t>
  </si>
  <si>
    <t>Osnovna šola F.A. oddelek Vranja Peč</t>
  </si>
  <si>
    <t>Osnovna šola Sovodenj</t>
  </si>
  <si>
    <t>Črmošnjice, Dom Lipa - CŠOD</t>
  </si>
  <si>
    <t>Črmošnjice 27, 8333 Semič</t>
  </si>
  <si>
    <t>Češnjice, bife Žagar</t>
  </si>
  <si>
    <t>Češnjice 35, Trbelno, 8231 Trebelno</t>
  </si>
  <si>
    <t>Češnjice pri Tr€¦</t>
  </si>
  <si>
    <t>G. Pijavško</t>
  </si>
  <si>
    <t>G. Pijavško, Kozinc Franc</t>
  </si>
  <si>
    <t>G. Pijavško 16, 8270 Krško</t>
  </si>
  <si>
    <t>Gornje Pijavško€¦</t>
  </si>
  <si>
    <t>Stanovanjska hiša Potočnik Ivan - Zabukovica</t>
  </si>
  <si>
    <t>St. hiša Kmetija Vidmar Rudi</t>
  </si>
  <si>
    <t>Gorjuše 65, 4264 Bohinjska Bistrica</t>
  </si>
  <si>
    <t>Stanovanjski objekt Svašnik</t>
  </si>
  <si>
    <t>Čateška gora</t>
  </si>
  <si>
    <t>Čateška gora 17, Litija , 1270 Litija</t>
  </si>
  <si>
    <t>Čateška gora 12€¦</t>
  </si>
  <si>
    <t>Cerovica - Selšek</t>
  </si>
  <si>
    <t>stan. Hiša Jesenek</t>
  </si>
  <si>
    <t>Kozaršče  8, Kozaršče, 5220 Tolmin</t>
  </si>
  <si>
    <t>Javna izlivka pri št. 22</t>
  </si>
  <si>
    <t>Gradišče  28, 1276 Primskovo</t>
  </si>
  <si>
    <t>Podružnična šola Planina</t>
  </si>
  <si>
    <t>Rovtarske Žibrše 10, 1373 Rovte</t>
  </si>
  <si>
    <t>privat hiša ali pipa na pokop.</t>
  </si>
  <si>
    <t>St. hiša Zagradišče</t>
  </si>
  <si>
    <t>Zagradišče 1, 1260 Ljubljana - Polje</t>
  </si>
  <si>
    <t>St. hiša Češnji€¦</t>
  </si>
  <si>
    <t>Troščine</t>
  </si>
  <si>
    <t xml:space="preserve">Stan. hiša, Bečaje 9_x000D_
</t>
  </si>
  <si>
    <t>Rovišče 9, 1282 Sava</t>
  </si>
  <si>
    <t>stan. hiša Brezje</t>
  </si>
  <si>
    <t>Stan. hiša Janez Zupačič</t>
  </si>
  <si>
    <t>Koroška cesta 14, 2390 Ravne na Koroškem</t>
  </si>
  <si>
    <t>Vaško korito</t>
  </si>
  <si>
    <t>Stanovanjska hiša Ročnik</t>
  </si>
  <si>
    <t>Zavodje 29, 3325 Šoštanj</t>
  </si>
  <si>
    <t>Sedraž 19e, 3270 Laško</t>
  </si>
  <si>
    <t>stan. hisa štefanja gora</t>
  </si>
  <si>
    <t>Gostišče Macesen</t>
  </si>
  <si>
    <t>pipa na dvorišč€¦</t>
  </si>
  <si>
    <t>Cirkuše v Tuhinju 8, Cirkuše v Tuhinju, 1219 Laze v Tuhinju</t>
  </si>
  <si>
    <t>Podružnična šola Motnik</t>
  </si>
  <si>
    <t>Stan. hiša, javna izlivka pri hiši</t>
  </si>
  <si>
    <t>KS Gorenje - Padeški vrh</t>
  </si>
  <si>
    <t>Padeški vrh</t>
  </si>
  <si>
    <t>Turistična kmetija Ramšak</t>
  </si>
  <si>
    <t>Padeški vrh 2, Padeški vrh, 3214 Zreče</t>
  </si>
  <si>
    <t>Stanislav Kovačec, stan. hiša</t>
  </si>
  <si>
    <t>Stanovanjska hiša Novšak</t>
  </si>
  <si>
    <t>Lukovec  5a, Lukovec, 8294 Boštanj</t>
  </si>
  <si>
    <t>Stan. hiša Trebenče 1</t>
  </si>
  <si>
    <t>Stan. hiša Jevnikar</t>
  </si>
  <si>
    <t>Taborniški dom</t>
  </si>
  <si>
    <t>Stan. hiša, SAMASTUR MAKSIMILJAN</t>
  </si>
  <si>
    <t>Javna izlivka Ljubinj pred št. 40</t>
  </si>
  <si>
    <t>LOKAVEC 101A, LOKAVEC, 5270 Ajdovščina</t>
  </si>
  <si>
    <t>Kresniški vrh 5€¦</t>
  </si>
  <si>
    <t>Studenčevka Sušje</t>
  </si>
  <si>
    <t>Bloška planota (Cerknica)</t>
  </si>
  <si>
    <t>Stanovanjska hiša Ravnjak Vinko - Bezovje</t>
  </si>
  <si>
    <t>Slaščičarstvo Jelka - Dolga gora</t>
  </si>
  <si>
    <t>Stanovanjska hiša Kunej Terezija - Kunšperk</t>
  </si>
  <si>
    <t>Kunšperk 8, 3256 Bistrica ob Sotli</t>
  </si>
  <si>
    <t>stanovanjski objekt Pšajnovica</t>
  </si>
  <si>
    <t>Pšajnovica 7, 1241 Kamnik</t>
  </si>
  <si>
    <t>Log Čezsoški št.1, 5224 Srpenica</t>
  </si>
  <si>
    <t>moške sanitarij€¦</t>
  </si>
  <si>
    <t>Stanovanjska hiša Golež Andrej - Okrog</t>
  </si>
  <si>
    <t>O.Š. Mlinše</t>
  </si>
  <si>
    <t>Mlinše 14, Mlinše, 1410 Zagorje ob Savi</t>
  </si>
  <si>
    <t>Osnovna šola Bukovica</t>
  </si>
  <si>
    <t>Vrtec Jurklošter</t>
  </si>
  <si>
    <t>Jurklošter 23, 3273 Jurklošter</t>
  </si>
  <si>
    <t>Stanovanjska hiša (Karo Ivan)</t>
  </si>
  <si>
    <t>Tešova 15, 3305 Vransko</t>
  </si>
  <si>
    <t>Stanovanjska hiša Korez Franc - Zagaber</t>
  </si>
  <si>
    <t>KS Lokavec, Vaška skupnost SLOKARJI</t>
  </si>
  <si>
    <t>Lokavec št. 168, 5270 Ajdovščina</t>
  </si>
  <si>
    <t>Kambreško 13, 5215 Ročinj</t>
  </si>
  <si>
    <t>Javna izlivka pred št. 11</t>
  </si>
  <si>
    <t>Javna izlivka pred št. 29</t>
  </si>
  <si>
    <t>Stan. hiša Košir</t>
  </si>
  <si>
    <t>Stan. Hiša Pinter Aleksander</t>
  </si>
  <si>
    <t>Potoška vas</t>
  </si>
  <si>
    <t>Potoška vas  40a, Potoška vas , 1410 Zagorje ob Savi</t>
  </si>
  <si>
    <t>stan. hiša Ponikve</t>
  </si>
  <si>
    <t>Šešče</t>
  </si>
  <si>
    <t>Zavodnje 48, 3325 Šoštanj</t>
  </si>
  <si>
    <t>Konjšica</t>
  </si>
  <si>
    <t>Konjšica 31a, 1272 Polšnik</t>
  </si>
  <si>
    <t xml:space="preserve">Stanovanjska hiša </t>
  </si>
  <si>
    <t>Konjščica - Uskovnica</t>
  </si>
  <si>
    <t>Konjščica- Uskovnica- Praprotnica</t>
  </si>
  <si>
    <t>Bitenčeva ulica 4, Ljubljana Šiška, 1000 Ljubljana</t>
  </si>
  <si>
    <t>Stanovanjska hiša Lojze Kobal</t>
  </si>
  <si>
    <t>Stanovanjska hiša (Bastelj Ignac)</t>
  </si>
  <si>
    <t>stanovanjski objekt  Razingar, Plavški rovt</t>
  </si>
  <si>
    <t>Plavški rovt 12A, Plavški rovt, 4270 Jesenice</t>
  </si>
  <si>
    <t>Plavški rovt 13€¦</t>
  </si>
  <si>
    <t>Trava 23, Loški potok, 1319 Draga</t>
  </si>
  <si>
    <t>St. h. Pokojišče 2</t>
  </si>
  <si>
    <t>KS Tržišče</t>
  </si>
  <si>
    <t>Krsinji vrh 7, 8295 Tržišče</t>
  </si>
  <si>
    <t>Gostišče Metoja</t>
  </si>
  <si>
    <t>Stan. hiša Gogala</t>
  </si>
  <si>
    <t>Javna izlivka pred št. 33</t>
  </si>
  <si>
    <t>Občina Velike Lašče</t>
  </si>
  <si>
    <t>Kaplanovo 7, 1315 Velike Lašče</t>
  </si>
  <si>
    <t>Gašpinovo 5, 1316 Ortnek</t>
  </si>
  <si>
    <t>Skrovnik 15, 8295 Tržišče</t>
  </si>
  <si>
    <t>Peške - Kandrše</t>
  </si>
  <si>
    <t>Peške- Kandrše</t>
  </si>
  <si>
    <t>Stan. hiša Vozelj Ljudmila</t>
  </si>
  <si>
    <t>Dolgo Brdo 8b pri Mlinšah 8b, Dolgo Brdo pri Mlinšah, 1411 Izlake</t>
  </si>
  <si>
    <t xml:space="preserve">St. hiša_x000D_
</t>
  </si>
  <si>
    <t>Stan. hiša Potočnik Štefan</t>
  </si>
  <si>
    <t>Hiša, Krnice 11€¦</t>
  </si>
  <si>
    <t>Brezje 7, 1413 Čemšenik</t>
  </si>
  <si>
    <t>VO Pišece</t>
  </si>
  <si>
    <t>Center Pišece</t>
  </si>
  <si>
    <t>Vodovodna zadruga Duplo Pišece</t>
  </si>
  <si>
    <t>stan.hiša Branko Teodrovič</t>
  </si>
  <si>
    <t>Pišece 39, 8255 Pišece</t>
  </si>
  <si>
    <t>Pišece 46a</t>
  </si>
  <si>
    <t>Šentjošt 48, 1354 Horjul</t>
  </si>
  <si>
    <t>Stanovanjska hiša DRNOVŠEK</t>
  </si>
  <si>
    <t>Kališe 9, Kališe, 4228 Železniki</t>
  </si>
  <si>
    <t xml:space="preserve">Stanovanjska hiša Dolščaki </t>
  </si>
  <si>
    <t>Dolščaki 11, 1315 Velike Lašče</t>
  </si>
  <si>
    <t>Dolščaki 18</t>
  </si>
  <si>
    <t>DOBRLJEVO 33B, DOBRLJEVO, 1413 Čemšenik</t>
  </si>
  <si>
    <t>Društvo za varstvo voda in okolja Žaga</t>
  </si>
  <si>
    <t>JESENOVO 39A, JESENOVO, 1413 Čemšenik</t>
  </si>
  <si>
    <t>Osnovna šola Bakovci</t>
  </si>
  <si>
    <t>Splošna bolnišnica Celje - pipa v hladni kuhinji</t>
  </si>
  <si>
    <t>Otroški vrtec, Radovljica</t>
  </si>
  <si>
    <t>Kopališka 12, 4240 Radovljica</t>
  </si>
  <si>
    <t>Otroški vrtec Julke Pibernik, Jesenice</t>
  </si>
  <si>
    <t>Cesta Toneta Tomšiča 3, 4270 Jesenice</t>
  </si>
  <si>
    <t>Otroški vrtec Cilke Zupančič, Koroška Bela</t>
  </si>
  <si>
    <t>Cesta Ivana Cankarja 4E, Koroška Bela, 4270 Jesenice</t>
  </si>
  <si>
    <t>Osnovna šola Frana Albrehta, Kamnik</t>
  </si>
  <si>
    <t>Osnovna šola Merije Vere, Duplica 112</t>
  </si>
  <si>
    <t>Osnovna šola Naklo</t>
  </si>
  <si>
    <t>Osnovna šola Žabnica</t>
  </si>
  <si>
    <t>Osnovna šola Stražišče, Kranj</t>
  </si>
  <si>
    <t>Osnovna šola Mengeš</t>
  </si>
  <si>
    <t>Šolska ulica 11, 1234 Mengeš</t>
  </si>
  <si>
    <t>Osnovna šola Dragomelj</t>
  </si>
  <si>
    <t>Osnovna šola Dob</t>
  </si>
  <si>
    <t>Otroški vrtec Krtek, Ihan</t>
  </si>
  <si>
    <t>Osnovna šola Šenčur</t>
  </si>
  <si>
    <t>Osnovna šola Voklo</t>
  </si>
  <si>
    <t>Osnovna šola Žalec</t>
  </si>
  <si>
    <t>Globočice, Kmečki turizem Tomše</t>
  </si>
  <si>
    <t>Globočice 8, 8262 Krška vas</t>
  </si>
  <si>
    <t>Osnovna šola Stara cerkev</t>
  </si>
  <si>
    <t>Selo št. 2a, 5262 Črniče</t>
  </si>
  <si>
    <t xml:space="preserve">pipa za šankom </t>
  </si>
  <si>
    <t>Osnovna šola Cerklje ob Krki</t>
  </si>
  <si>
    <t>Osnovna šola Kuzma</t>
  </si>
  <si>
    <t>Krašči 66, Krašči, 9261 Cankova</t>
  </si>
  <si>
    <t>DSO, Dom starejših občanov Krško</t>
  </si>
  <si>
    <t>Kovinarska ulica 13, 8270 Krško</t>
  </si>
  <si>
    <t>Večeslavci  132, 9262 Rogašovci</t>
  </si>
  <si>
    <t>Draga 1, Draga, 8220 Šmarješke Toplice</t>
  </si>
  <si>
    <t>hiša</t>
  </si>
  <si>
    <t>Vrtec Jarše - enota Mojca</t>
  </si>
  <si>
    <t>Clevelandska 13, Ljubljana Jarše, 1000 Ljubljana</t>
  </si>
  <si>
    <t>Vrtec Višji gaj, enota Kozarje</t>
  </si>
  <si>
    <t>Gašperšičeva 10, Ljubljana Fužine, 1000 Ljubljana</t>
  </si>
  <si>
    <t>Ob studencu 11a, Ljubljana Kašelj, 1000 Ljubljana</t>
  </si>
  <si>
    <t>Vrtec Miškolin, enota Zajčja Dobrava</t>
  </si>
  <si>
    <t>Zadobrovška 28a, Ljubljana Novo polje, 1000 Ljubljana</t>
  </si>
  <si>
    <t>Javna pipa pred OŠ Frana Erjavca oz. pipa v šoli</t>
  </si>
  <si>
    <t>Posestvo Gjerkeš</t>
  </si>
  <si>
    <t>Fikšinci 49, Fikšinci, 9262 Rogašovci</t>
  </si>
  <si>
    <t>Pertoča 54a, Pertoča, 9262 Rogašovci</t>
  </si>
  <si>
    <t>Vrtec Lendava - Tomšičeva</t>
  </si>
  <si>
    <t>Tomšičeva ulica 6a, 9220 Lendava</t>
  </si>
  <si>
    <t>Osnovna šola pod goro - Slovenske Konjice</t>
  </si>
  <si>
    <t>Mali Nerajec  4a, 8343 Dragatuš</t>
  </si>
  <si>
    <t>Tržaška cesta 27, 1370 Logatec</t>
  </si>
  <si>
    <t>OO-6- Dravsko polje in Majšperk</t>
  </si>
  <si>
    <t>OŠ Starše</t>
  </si>
  <si>
    <t>Starše 5, 2205 Starše</t>
  </si>
  <si>
    <t>Osnovna šola Antona Ingoliča</t>
  </si>
  <si>
    <t>Otroški vrtec Idrija, Za Gradom</t>
  </si>
  <si>
    <t>Otroški vrtec Kropa</t>
  </si>
  <si>
    <t>Osnovna šola Bohinjska Bistrica</t>
  </si>
  <si>
    <t>Radovica, gostilna Radoš</t>
  </si>
  <si>
    <t>Osnovna šola Križe -Črni gozd</t>
  </si>
  <si>
    <t>Cesta Kokrškega odreda 16, Tržič - Križe, 4294 Križe</t>
  </si>
  <si>
    <t>Loški potok OŠ</t>
  </si>
  <si>
    <t>Loški potok 101, 1318 Loški Potok</t>
  </si>
  <si>
    <t>Osnovna šola Komenda</t>
  </si>
  <si>
    <t>Prešernova cesta 21, 1235 Radomlje</t>
  </si>
  <si>
    <t>Osnovna šola Dobrova</t>
  </si>
  <si>
    <t>Osnovna šola Preddvor</t>
  </si>
  <si>
    <t>Osnovna šola Kranjska gora - vrtec</t>
  </si>
  <si>
    <t>Koroška ulica 9, 4280 Kranjska Gora</t>
  </si>
  <si>
    <t>Otroški vrtec Ostržek, Golnik</t>
  </si>
  <si>
    <t>Osnovna šola Primoža Trubarja Laško</t>
  </si>
  <si>
    <t>Trubarjeva 20, 3270 Laško</t>
  </si>
  <si>
    <t>Mazej- Topolšica</t>
  </si>
  <si>
    <t>Vrtec Urška Topolšica</t>
  </si>
  <si>
    <t>Topolšica 98, 3326 Topolšica</t>
  </si>
  <si>
    <t>Pišece, O.Š.</t>
  </si>
  <si>
    <t>Pišece ,  , 8255 Pišece</t>
  </si>
  <si>
    <t>OO-7- Ptuj, Grajenščak</t>
  </si>
  <si>
    <t>Slovenske goriške čete 13, 2250 Ptuj</t>
  </si>
  <si>
    <t>Dom za starejše občane</t>
  </si>
  <si>
    <t>Koroška cesta 67, 2360 Radlje ob Dravi</t>
  </si>
  <si>
    <t>stan hiša Gaj</t>
  </si>
  <si>
    <t>Gaberje - Turnišče</t>
  </si>
  <si>
    <t>SREDNJA BISTRICA 49B, SREDNJA BISTRICA, 9232 Črenšovci</t>
  </si>
  <si>
    <t>Stanovanjska hiša Ulipi Ernest - Toplica Frankolovo</t>
  </si>
  <si>
    <t>Bezenškovo Bukovje 7, 3213 Frankolovo</t>
  </si>
  <si>
    <t>Osnovna šola Fran Kocbek Gornji Grad</t>
  </si>
  <si>
    <t>Osnovna šola Bistrica ob Sotli</t>
  </si>
  <si>
    <t>O.Š. Simona Jenka Kranj, podružnična šola Goriče</t>
  </si>
  <si>
    <t>Stanovanjski objekt (Slapšak Martin)</t>
  </si>
  <si>
    <t>Telče 5A, 8295 Tržišče</t>
  </si>
  <si>
    <t>Podružnična šola Hotič</t>
  </si>
  <si>
    <t>Podružnična šola Jevnica</t>
  </si>
  <si>
    <t>Podružnična šola Ambrus</t>
  </si>
  <si>
    <t>Somešca</t>
  </si>
  <si>
    <t>Vrtec Središče ob Dravi</t>
  </si>
  <si>
    <t>Breg  41, 2277 Središče ob Dravi</t>
  </si>
  <si>
    <t>Osnovna šola Apače</t>
  </si>
  <si>
    <t>Osnovna šola Karla Destovnika Kajuha Šoštanj</t>
  </si>
  <si>
    <t>Koroška 7, 3325 Šoštanj</t>
  </si>
  <si>
    <t>Izletniška ulica 44, 4260 Bled</t>
  </si>
  <si>
    <t>Osnovna šola  Cerklje</t>
  </si>
  <si>
    <t>Krvavška cesta 4, Cerklje, 4207 Cerklje na Gorenjskem</t>
  </si>
  <si>
    <t>OO5- Juršinci, Dornava, Gorišnica</t>
  </si>
  <si>
    <t>JURŠINCI 19, 2256 Juršinci</t>
  </si>
  <si>
    <t>Osnovna šola Gorenja vas</t>
  </si>
  <si>
    <t>Stanovanjska hiša #244</t>
  </si>
  <si>
    <t>Šentviška Gora 64, Spal ob Idrijci, 5283 Slap ob Idrijci</t>
  </si>
  <si>
    <t>KS Boštanj</t>
  </si>
  <si>
    <t>38, 8294 Boštanj</t>
  </si>
  <si>
    <t>Center 31, 2393 Črna na Koroškem</t>
  </si>
  <si>
    <t>Hudičev graben - Landšperg</t>
  </si>
  <si>
    <t>HRUŠEVJE 4, 6225 Hruševje</t>
  </si>
  <si>
    <t>Dolenja vas, Dolenja vas pri Krškem, 8270 Krško</t>
  </si>
  <si>
    <t>Osnovna šola Zg.Besnica</t>
  </si>
  <si>
    <t>Osnovna šola Polhov Gradec</t>
  </si>
  <si>
    <t>Otroški vrtec Horjul</t>
  </si>
  <si>
    <t>OŠ Šmarje pri Jelšah</t>
  </si>
  <si>
    <t>Vegova ulica 26, 3240 Šmarje pri Jelšah</t>
  </si>
  <si>
    <t>Podružnična šola Hotedršica</t>
  </si>
  <si>
    <t>Hotedršica 120, 1372 Hotedršica</t>
  </si>
  <si>
    <t>Sta. hiša Kač</t>
  </si>
  <si>
    <t>Košnica 53, 3000 Celje</t>
  </si>
  <si>
    <t>Tržišče 15, 8295 Tržišče</t>
  </si>
  <si>
    <t>Javna izlivka železniška postaja</t>
  </si>
  <si>
    <t>Društvo za varstvo voda ŽLEBE</t>
  </si>
  <si>
    <t>Sanabor št. 17, 5271 Vipava</t>
  </si>
  <si>
    <t>Koseč št.7, 5222 Kobarid</t>
  </si>
  <si>
    <t>stanovanjska hiša (Kobal Vlado)</t>
  </si>
  <si>
    <t>stanovanjska hiša (Slemenšek Mirko)</t>
  </si>
  <si>
    <t>Stanovanjska hiša (Guček Alojz)</t>
  </si>
  <si>
    <t>Vrh pri Boštanju 34, 8294 Boštanj</t>
  </si>
  <si>
    <t>Stanovanjski objekt Dobovšek Jože</t>
  </si>
  <si>
    <t>Stan. hiša_x000D_
Stan. Hiša</t>
  </si>
  <si>
    <t>stan hiša Križe</t>
  </si>
  <si>
    <t>Stanovanjska hiša Skok Jožef - Brezen</t>
  </si>
  <si>
    <t>stanovanjska hiša (Stopar Franci)</t>
  </si>
  <si>
    <t>Stan. hiša Gramc_x000D_</t>
  </si>
  <si>
    <t>Stankovo 2, Stankovo, 8262 Krška vas</t>
  </si>
  <si>
    <t>Hruševo 16a, Hruševo, 1356 Dobrova</t>
  </si>
  <si>
    <t>Osnovna šola Kovor, Tržič</t>
  </si>
  <si>
    <t>Kriška cesta 15, Kovor, 4290 Tržič</t>
  </si>
  <si>
    <t>Osnovna šola Tržič -mesto</t>
  </si>
  <si>
    <t>Zdravilišče Laško</t>
  </si>
  <si>
    <t>Zdraviliška cesta 4, 3270 Laško</t>
  </si>
  <si>
    <t>Mariborska c. 30, SELNICA OB DRAVI, 2342 Ruše</t>
  </si>
  <si>
    <t>Center šolskih in obšolskih dejavnosti Dom KAVKA (CŠOD Kavka)</t>
  </si>
  <si>
    <t>Livške Ravne 10, 5222 Kobarid</t>
  </si>
  <si>
    <t>Občina Ruše</t>
  </si>
  <si>
    <t>Lobnica 18, Lobnica, 2342 Ruše</t>
  </si>
  <si>
    <t>POŠ Rovte (podružnična šola)</t>
  </si>
  <si>
    <t>Javna izlivka pri Robidišče št. 3</t>
  </si>
  <si>
    <t>Robidišče , Robidišče, 5222 Kobarid</t>
  </si>
  <si>
    <t>hitri peščeni filtri, redna dezinfekcija, dezinfekcija z natrijevim hipokloritom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</si>
</sst>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939"/>
  <sheetViews>
    <sheetView tabSelected="1" workbookViewId="0"/>
  </sheetViews>
  <sheetFormatPr defaultRowHeight="15" x14ac:dyDescent="0.25"/>
  <cols>
    <col min="3" max="3" width="11.28515625" bestFit="1" customWidth="1"/>
  </cols>
  <sheetData>
    <row r="1" spans="1:171" x14ac:dyDescent="0.25">
      <c r="A1" t="s">
        <v>0</v>
      </c>
      <c r="B1" t="s">
        <v>1</v>
      </c>
      <c r="C1" t="s">
        <v>3279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3280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3463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3818</v>
      </c>
      <c r="AB1" t="s">
        <v>3819</v>
      </c>
      <c r="AC1" t="s">
        <v>3281</v>
      </c>
      <c r="AD1" t="s">
        <v>23</v>
      </c>
      <c r="AE1" t="s">
        <v>24</v>
      </c>
      <c r="AF1" t="s">
        <v>25</v>
      </c>
      <c r="AG1" t="s">
        <v>26</v>
      </c>
      <c r="AH1" t="s">
        <v>27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34</v>
      </c>
      <c r="AP1" t="s">
        <v>35</v>
      </c>
      <c r="AQ1" t="s">
        <v>36</v>
      </c>
      <c r="AR1" t="s">
        <v>37</v>
      </c>
      <c r="AS1" t="s">
        <v>38</v>
      </c>
      <c r="AT1" t="s">
        <v>39</v>
      </c>
      <c r="AU1" t="s">
        <v>40</v>
      </c>
      <c r="AV1" t="s">
        <v>41</v>
      </c>
      <c r="AW1" t="s">
        <v>42</v>
      </c>
      <c r="AX1" t="s">
        <v>43</v>
      </c>
      <c r="AY1" t="s">
        <v>44</v>
      </c>
      <c r="AZ1" t="s">
        <v>45</v>
      </c>
      <c r="BA1" t="s">
        <v>46</v>
      </c>
      <c r="BB1" t="s">
        <v>47</v>
      </c>
      <c r="BC1" t="s">
        <v>48</v>
      </c>
      <c r="BD1" t="s">
        <v>49</v>
      </c>
      <c r="BE1" t="s">
        <v>50</v>
      </c>
      <c r="BF1" t="s">
        <v>51</v>
      </c>
      <c r="BG1" t="s">
        <v>52</v>
      </c>
      <c r="BH1" t="s">
        <v>53</v>
      </c>
      <c r="BI1" t="s">
        <v>54</v>
      </c>
      <c r="BJ1" t="s">
        <v>55</v>
      </c>
      <c r="BK1" t="s">
        <v>56</v>
      </c>
      <c r="BL1" t="s">
        <v>57</v>
      </c>
      <c r="BM1" t="s">
        <v>58</v>
      </c>
      <c r="BN1" t="s">
        <v>59</v>
      </c>
      <c r="BO1" t="s">
        <v>60</v>
      </c>
      <c r="BP1" t="s">
        <v>61</v>
      </c>
      <c r="BQ1" t="s">
        <v>62</v>
      </c>
      <c r="BR1" t="s">
        <v>63</v>
      </c>
      <c r="BS1" t="s">
        <v>3680</v>
      </c>
      <c r="BT1" t="s">
        <v>64</v>
      </c>
      <c r="BU1" t="s">
        <v>65</v>
      </c>
      <c r="BV1" t="s">
        <v>66</v>
      </c>
      <c r="BW1" t="s">
        <v>67</v>
      </c>
      <c r="BX1" t="s">
        <v>68</v>
      </c>
      <c r="BY1" t="s">
        <v>69</v>
      </c>
      <c r="BZ1" t="s">
        <v>70</v>
      </c>
      <c r="CA1" t="s">
        <v>71</v>
      </c>
      <c r="CB1" t="s">
        <v>72</v>
      </c>
      <c r="CC1" t="s">
        <v>73</v>
      </c>
      <c r="CD1" t="s">
        <v>3681</v>
      </c>
      <c r="CE1" t="s">
        <v>74</v>
      </c>
      <c r="CF1" t="s">
        <v>75</v>
      </c>
      <c r="CG1" t="s">
        <v>76</v>
      </c>
      <c r="CH1" t="s">
        <v>77</v>
      </c>
      <c r="CI1" t="s">
        <v>78</v>
      </c>
      <c r="CJ1" t="s">
        <v>79</v>
      </c>
      <c r="CK1" t="s">
        <v>80</v>
      </c>
      <c r="CL1" t="s">
        <v>81</v>
      </c>
      <c r="CM1" t="s">
        <v>82</v>
      </c>
      <c r="CN1" t="s">
        <v>83</v>
      </c>
      <c r="CO1" t="s">
        <v>84</v>
      </c>
      <c r="CP1" t="s">
        <v>85</v>
      </c>
      <c r="CQ1" t="s">
        <v>86</v>
      </c>
      <c r="CR1" t="s">
        <v>87</v>
      </c>
      <c r="CS1" t="s">
        <v>88</v>
      </c>
      <c r="CT1" t="s">
        <v>89</v>
      </c>
      <c r="CU1" t="s">
        <v>90</v>
      </c>
      <c r="CV1" t="s">
        <v>91</v>
      </c>
      <c r="CW1" t="s">
        <v>92</v>
      </c>
      <c r="CX1" t="s">
        <v>93</v>
      </c>
      <c r="CY1" t="s">
        <v>94</v>
      </c>
      <c r="CZ1" t="s">
        <v>95</v>
      </c>
      <c r="DA1" t="s">
        <v>96</v>
      </c>
      <c r="DB1" t="s">
        <v>97</v>
      </c>
      <c r="DC1" t="s">
        <v>98</v>
      </c>
      <c r="DD1" t="s">
        <v>99</v>
      </c>
      <c r="DE1" t="s">
        <v>100</v>
      </c>
      <c r="DF1" t="s">
        <v>101</v>
      </c>
      <c r="DG1" t="s">
        <v>102</v>
      </c>
      <c r="DH1" t="s">
        <v>103</v>
      </c>
      <c r="DI1" t="s">
        <v>104</v>
      </c>
      <c r="DJ1" t="s">
        <v>105</v>
      </c>
      <c r="DK1" t="s">
        <v>106</v>
      </c>
      <c r="DL1" t="s">
        <v>107</v>
      </c>
      <c r="DM1" t="s">
        <v>108</v>
      </c>
      <c r="DN1" t="s">
        <v>109</v>
      </c>
      <c r="DO1" t="s">
        <v>110</v>
      </c>
      <c r="DP1" t="s">
        <v>111</v>
      </c>
      <c r="DQ1" t="s">
        <v>112</v>
      </c>
      <c r="DR1" t="s">
        <v>113</v>
      </c>
      <c r="DS1" t="s">
        <v>114</v>
      </c>
      <c r="DT1" t="s">
        <v>115</v>
      </c>
      <c r="DU1" t="s">
        <v>116</v>
      </c>
      <c r="DV1" t="s">
        <v>117</v>
      </c>
      <c r="DW1" t="s">
        <v>118</v>
      </c>
      <c r="DX1" t="s">
        <v>119</v>
      </c>
      <c r="DY1" t="s">
        <v>120</v>
      </c>
      <c r="DZ1" t="s">
        <v>121</v>
      </c>
      <c r="EA1" t="s">
        <v>122</v>
      </c>
      <c r="EB1" t="s">
        <v>123</v>
      </c>
      <c r="EC1" t="s">
        <v>124</v>
      </c>
      <c r="ED1" t="s">
        <v>125</v>
      </c>
      <c r="EE1" t="s">
        <v>126</v>
      </c>
      <c r="EF1" t="s">
        <v>127</v>
      </c>
      <c r="EG1" t="s">
        <v>128</v>
      </c>
      <c r="EH1" t="s">
        <v>129</v>
      </c>
      <c r="EI1" t="s">
        <v>130</v>
      </c>
      <c r="EJ1" t="s">
        <v>131</v>
      </c>
      <c r="EK1" t="s">
        <v>132</v>
      </c>
      <c r="EL1" t="s">
        <v>133</v>
      </c>
      <c r="EM1" t="s">
        <v>134</v>
      </c>
      <c r="EN1" t="s">
        <v>135</v>
      </c>
      <c r="EO1" t="s">
        <v>136</v>
      </c>
      <c r="EP1" t="s">
        <v>137</v>
      </c>
      <c r="EQ1" t="s">
        <v>138</v>
      </c>
      <c r="ER1" t="s">
        <v>139</v>
      </c>
      <c r="ES1" t="s">
        <v>140</v>
      </c>
      <c r="ET1" t="s">
        <v>141</v>
      </c>
      <c r="EU1" t="s">
        <v>142</v>
      </c>
      <c r="EV1" t="s">
        <v>143</v>
      </c>
      <c r="EW1" t="s">
        <v>144</v>
      </c>
      <c r="EX1" t="s">
        <v>145</v>
      </c>
      <c r="EY1" t="s">
        <v>146</v>
      </c>
      <c r="EZ1" t="s">
        <v>147</v>
      </c>
      <c r="FA1" t="s">
        <v>148</v>
      </c>
      <c r="FB1" t="s">
        <v>149</v>
      </c>
      <c r="FC1" t="s">
        <v>150</v>
      </c>
      <c r="FD1" t="s">
        <v>151</v>
      </c>
      <c r="FE1" t="s">
        <v>152</v>
      </c>
      <c r="FF1" t="s">
        <v>153</v>
      </c>
      <c r="FG1" t="s">
        <v>154</v>
      </c>
      <c r="FH1" t="s">
        <v>155</v>
      </c>
      <c r="FI1" t="s">
        <v>156</v>
      </c>
      <c r="FJ1" t="s">
        <v>157</v>
      </c>
      <c r="FK1" t="s">
        <v>158</v>
      </c>
      <c r="FL1" t="s">
        <v>159</v>
      </c>
      <c r="FM1" t="s">
        <v>160</v>
      </c>
      <c r="FN1" t="s">
        <v>161</v>
      </c>
      <c r="FO1" t="s">
        <v>162</v>
      </c>
    </row>
    <row r="2" spans="1:171" x14ac:dyDescent="0.25">
      <c r="A2" t="s">
        <v>163</v>
      </c>
      <c r="B2" t="s">
        <v>163</v>
      </c>
      <c r="C2" t="s">
        <v>163</v>
      </c>
      <c r="D2" t="s">
        <v>163</v>
      </c>
      <c r="E2" t="s">
        <v>163</v>
      </c>
      <c r="F2" t="s">
        <v>163</v>
      </c>
      <c r="G2" t="s">
        <v>163</v>
      </c>
      <c r="H2" t="s">
        <v>163</v>
      </c>
      <c r="I2" t="s">
        <v>163</v>
      </c>
      <c r="J2" t="s">
        <v>163</v>
      </c>
      <c r="K2" t="s">
        <v>163</v>
      </c>
      <c r="L2" t="s">
        <v>163</v>
      </c>
      <c r="M2" t="s">
        <v>163</v>
      </c>
      <c r="N2" t="s">
        <v>163</v>
      </c>
      <c r="O2" t="s">
        <v>163</v>
      </c>
      <c r="P2" t="s">
        <v>163</v>
      </c>
      <c r="Q2" t="s">
        <v>163</v>
      </c>
      <c r="R2" t="s">
        <v>3464</v>
      </c>
      <c r="S2" t="s">
        <v>163</v>
      </c>
      <c r="T2" t="s">
        <v>3465</v>
      </c>
      <c r="U2" t="s">
        <v>164</v>
      </c>
      <c r="V2" t="s">
        <v>164</v>
      </c>
      <c r="W2" t="s">
        <v>163</v>
      </c>
      <c r="X2" t="s">
        <v>165</v>
      </c>
      <c r="Y2" t="s">
        <v>166</v>
      </c>
      <c r="Z2" t="s">
        <v>167</v>
      </c>
      <c r="AA2" t="s">
        <v>167</v>
      </c>
      <c r="AB2" t="s">
        <v>166</v>
      </c>
      <c r="AC2" t="s">
        <v>166</v>
      </c>
      <c r="AD2" t="s">
        <v>166</v>
      </c>
      <c r="AE2" t="s">
        <v>3466</v>
      </c>
      <c r="AF2" t="s">
        <v>168</v>
      </c>
      <c r="AG2" t="s">
        <v>164</v>
      </c>
      <c r="AH2" t="s">
        <v>164</v>
      </c>
      <c r="AI2" t="s">
        <v>164</v>
      </c>
      <c r="AJ2" t="s">
        <v>164</v>
      </c>
      <c r="AK2" t="s">
        <v>164</v>
      </c>
      <c r="AL2" t="s">
        <v>164</v>
      </c>
      <c r="AM2" t="s">
        <v>164</v>
      </c>
      <c r="AN2" t="s">
        <v>164</v>
      </c>
      <c r="AO2" t="s">
        <v>164</v>
      </c>
      <c r="AP2" t="s">
        <v>164</v>
      </c>
      <c r="AQ2" t="s">
        <v>164</v>
      </c>
      <c r="AR2" t="s">
        <v>3466</v>
      </c>
      <c r="AS2" t="s">
        <v>3466</v>
      </c>
      <c r="AT2" t="s">
        <v>3466</v>
      </c>
      <c r="AU2" t="s">
        <v>3466</v>
      </c>
      <c r="AV2" t="s">
        <v>3466</v>
      </c>
      <c r="AW2" t="s">
        <v>3466</v>
      </c>
      <c r="AX2" t="s">
        <v>3466</v>
      </c>
      <c r="AY2" t="s">
        <v>3466</v>
      </c>
      <c r="AZ2" t="s">
        <v>3466</v>
      </c>
      <c r="BA2" t="s">
        <v>3466</v>
      </c>
      <c r="BB2" t="s">
        <v>3466</v>
      </c>
      <c r="BC2" t="s">
        <v>3466</v>
      </c>
      <c r="BD2" t="s">
        <v>3466</v>
      </c>
      <c r="BE2" t="s">
        <v>3466</v>
      </c>
      <c r="BF2" t="s">
        <v>3466</v>
      </c>
      <c r="BG2" t="s">
        <v>3466</v>
      </c>
      <c r="BH2" t="s">
        <v>3466</v>
      </c>
      <c r="BI2" t="s">
        <v>3466</v>
      </c>
      <c r="BJ2" t="s">
        <v>3466</v>
      </c>
      <c r="BK2" t="s">
        <v>3466</v>
      </c>
      <c r="BL2" t="s">
        <v>3466</v>
      </c>
      <c r="BM2" t="s">
        <v>3466</v>
      </c>
      <c r="BN2" t="s">
        <v>3466</v>
      </c>
      <c r="BO2" t="s">
        <v>3466</v>
      </c>
      <c r="BP2" t="s">
        <v>3466</v>
      </c>
      <c r="BQ2" t="s">
        <v>3466</v>
      </c>
      <c r="BR2" t="s">
        <v>3466</v>
      </c>
      <c r="BS2" t="s">
        <v>164</v>
      </c>
      <c r="BT2" t="s">
        <v>3466</v>
      </c>
      <c r="BU2" t="s">
        <v>3466</v>
      </c>
      <c r="BV2" t="s">
        <v>3466</v>
      </c>
      <c r="BW2" t="s">
        <v>164</v>
      </c>
      <c r="BX2" t="s">
        <v>3466</v>
      </c>
      <c r="BY2" t="s">
        <v>3466</v>
      </c>
      <c r="BZ2" t="s">
        <v>3466</v>
      </c>
      <c r="CA2" t="s">
        <v>3466</v>
      </c>
      <c r="CB2" t="s">
        <v>3466</v>
      </c>
      <c r="CC2" t="s">
        <v>3466</v>
      </c>
      <c r="CD2" t="s">
        <v>3466</v>
      </c>
      <c r="CE2" t="s">
        <v>3466</v>
      </c>
      <c r="CF2" t="s">
        <v>3466</v>
      </c>
      <c r="CG2" t="s">
        <v>3466</v>
      </c>
      <c r="CH2" t="s">
        <v>3466</v>
      </c>
      <c r="CI2" t="s">
        <v>3466</v>
      </c>
      <c r="CJ2" t="s">
        <v>3466</v>
      </c>
      <c r="CK2" t="s">
        <v>3466</v>
      </c>
      <c r="CL2" t="s">
        <v>3466</v>
      </c>
      <c r="CM2" t="s">
        <v>3466</v>
      </c>
      <c r="CN2" t="s">
        <v>3466</v>
      </c>
      <c r="CO2" t="s">
        <v>3466</v>
      </c>
      <c r="CP2" t="s">
        <v>3466</v>
      </c>
      <c r="CQ2" t="s">
        <v>3466</v>
      </c>
      <c r="CR2" t="s">
        <v>3466</v>
      </c>
      <c r="CS2" t="s">
        <v>3466</v>
      </c>
      <c r="CT2" t="s">
        <v>3466</v>
      </c>
      <c r="CU2" t="s">
        <v>3466</v>
      </c>
      <c r="CV2" t="s">
        <v>3466</v>
      </c>
      <c r="CW2" t="s">
        <v>3466</v>
      </c>
      <c r="CX2" t="s">
        <v>3466</v>
      </c>
      <c r="CY2" t="s">
        <v>3466</v>
      </c>
      <c r="CZ2" t="s">
        <v>3466</v>
      </c>
      <c r="DA2" t="s">
        <v>3466</v>
      </c>
      <c r="DB2" t="s">
        <v>3466</v>
      </c>
      <c r="DC2" t="s">
        <v>3466</v>
      </c>
      <c r="DD2" t="s">
        <v>3466</v>
      </c>
      <c r="DE2" t="s">
        <v>3466</v>
      </c>
      <c r="DF2" t="s">
        <v>3466</v>
      </c>
      <c r="DG2" t="s">
        <v>3466</v>
      </c>
      <c r="DH2" t="s">
        <v>3466</v>
      </c>
      <c r="DI2" t="s">
        <v>3466</v>
      </c>
      <c r="DJ2" t="s">
        <v>3466</v>
      </c>
      <c r="DK2" t="s">
        <v>3466</v>
      </c>
      <c r="DL2" t="s">
        <v>3466</v>
      </c>
      <c r="DM2" t="s">
        <v>3466</v>
      </c>
      <c r="DN2" t="s">
        <v>3466</v>
      </c>
      <c r="DO2" t="s">
        <v>3466</v>
      </c>
      <c r="DP2" t="s">
        <v>3466</v>
      </c>
      <c r="DQ2" t="s">
        <v>3466</v>
      </c>
      <c r="DR2" t="s">
        <v>3466</v>
      </c>
      <c r="DS2" t="s">
        <v>3466</v>
      </c>
      <c r="DT2" t="s">
        <v>3466</v>
      </c>
      <c r="DU2" t="s">
        <v>3466</v>
      </c>
      <c r="DV2" t="s">
        <v>3466</v>
      </c>
      <c r="DW2" t="s">
        <v>3466</v>
      </c>
      <c r="DX2" t="s">
        <v>3466</v>
      </c>
      <c r="DY2" t="s">
        <v>3466</v>
      </c>
      <c r="DZ2" t="s">
        <v>3465</v>
      </c>
      <c r="EA2" t="s">
        <v>3466</v>
      </c>
      <c r="EB2" t="s">
        <v>3466</v>
      </c>
      <c r="EC2" t="s">
        <v>3466</v>
      </c>
      <c r="ED2" t="s">
        <v>3466</v>
      </c>
      <c r="EE2" t="s">
        <v>3466</v>
      </c>
      <c r="EF2" t="s">
        <v>3466</v>
      </c>
      <c r="EG2" t="s">
        <v>3466</v>
      </c>
      <c r="EH2" t="s">
        <v>3466</v>
      </c>
      <c r="EI2" t="s">
        <v>3466</v>
      </c>
      <c r="EJ2" t="s">
        <v>3466</v>
      </c>
      <c r="EK2" t="s">
        <v>3466</v>
      </c>
      <c r="EL2" t="s">
        <v>3466</v>
      </c>
      <c r="EM2" t="s">
        <v>3466</v>
      </c>
      <c r="EN2" t="s">
        <v>3466</v>
      </c>
      <c r="EO2" t="s">
        <v>3466</v>
      </c>
      <c r="EP2" t="s">
        <v>3466</v>
      </c>
      <c r="EQ2" t="s">
        <v>3466</v>
      </c>
      <c r="ER2" t="s">
        <v>3466</v>
      </c>
      <c r="ES2" t="s">
        <v>3466</v>
      </c>
      <c r="ET2" t="s">
        <v>3466</v>
      </c>
      <c r="EU2" t="s">
        <v>3466</v>
      </c>
      <c r="EV2" t="s">
        <v>3466</v>
      </c>
      <c r="EW2" t="s">
        <v>3466</v>
      </c>
      <c r="EX2" t="s">
        <v>3466</v>
      </c>
      <c r="EY2" t="s">
        <v>3466</v>
      </c>
      <c r="EZ2" t="s">
        <v>3466</v>
      </c>
      <c r="FA2" t="s">
        <v>3466</v>
      </c>
      <c r="FB2" t="s">
        <v>3466</v>
      </c>
      <c r="FC2" t="s">
        <v>3466</v>
      </c>
      <c r="FD2" t="s">
        <v>3466</v>
      </c>
      <c r="FE2" t="s">
        <v>3466</v>
      </c>
      <c r="FF2" t="s">
        <v>3466</v>
      </c>
      <c r="FG2" t="s">
        <v>3466</v>
      </c>
      <c r="FH2" t="s">
        <v>3466</v>
      </c>
      <c r="FI2" t="s">
        <v>3466</v>
      </c>
      <c r="FJ2" t="s">
        <v>3466</v>
      </c>
      <c r="FK2" t="s">
        <v>3466</v>
      </c>
      <c r="FL2" t="s">
        <v>3466</v>
      </c>
      <c r="FM2" t="s">
        <v>3466</v>
      </c>
      <c r="FN2" t="s">
        <v>3466</v>
      </c>
    </row>
    <row r="3" spans="1:171" x14ac:dyDescent="0.25">
      <c r="A3" t="s">
        <v>169</v>
      </c>
      <c r="B3" t="s">
        <v>170</v>
      </c>
      <c r="C3" s="1">
        <v>46099</v>
      </c>
      <c r="D3" t="s">
        <v>171</v>
      </c>
      <c r="E3" t="s">
        <v>172</v>
      </c>
      <c r="F3" t="s">
        <v>173</v>
      </c>
      <c r="G3" t="s">
        <v>174</v>
      </c>
      <c r="H3">
        <v>10</v>
      </c>
      <c r="I3" t="s">
        <v>175</v>
      </c>
      <c r="J3">
        <v>41781</v>
      </c>
      <c r="K3" t="s">
        <v>4492</v>
      </c>
      <c r="L3" t="s">
        <v>176</v>
      </c>
      <c r="M3" t="s">
        <v>4493</v>
      </c>
      <c r="N3" t="s">
        <v>177</v>
      </c>
      <c r="O3" t="s">
        <v>178</v>
      </c>
      <c r="Q3" t="s">
        <v>3467</v>
      </c>
      <c r="R3">
        <f>1</f>
        <v>1</v>
      </c>
      <c r="S3">
        <f>10.4</f>
        <v>10.4</v>
      </c>
      <c r="T3">
        <f>7</f>
        <v>7</v>
      </c>
      <c r="U3">
        <f>497</f>
        <v>497</v>
      </c>
      <c r="X3">
        <f>0</f>
        <v>0</v>
      </c>
      <c r="Y3">
        <f>0.1</f>
        <v>0.1</v>
      </c>
      <c r="Z3">
        <f>0</f>
        <v>0</v>
      </c>
      <c r="AA3" t="s">
        <v>179</v>
      </c>
      <c r="AB3" t="s">
        <v>179</v>
      </c>
      <c r="AD3">
        <f>0</f>
        <v>0</v>
      </c>
      <c r="AE3">
        <f>0</f>
        <v>0</v>
      </c>
      <c r="AG3" t="s">
        <v>180</v>
      </c>
      <c r="AH3">
        <f>1.3</f>
        <v>1.3</v>
      </c>
      <c r="AK3" t="s">
        <v>181</v>
      </c>
      <c r="AL3" t="s">
        <v>182</v>
      </c>
      <c r="AM3">
        <f>21</f>
        <v>21</v>
      </c>
      <c r="AN3">
        <f>0.42</f>
        <v>0.42</v>
      </c>
      <c r="AO3">
        <f>32</f>
        <v>32</v>
      </c>
      <c r="AP3">
        <f>21</f>
        <v>21</v>
      </c>
      <c r="AQ3">
        <f>0.11</f>
        <v>0.11</v>
      </c>
    </row>
    <row r="4" spans="1:171" x14ac:dyDescent="0.25">
      <c r="A4" t="s">
        <v>183</v>
      </c>
      <c r="B4" t="s">
        <v>170</v>
      </c>
      <c r="C4" s="1">
        <v>46119</v>
      </c>
      <c r="D4" t="s">
        <v>184</v>
      </c>
      <c r="E4" t="s">
        <v>185</v>
      </c>
      <c r="F4" t="s">
        <v>186</v>
      </c>
      <c r="G4" t="s">
        <v>187</v>
      </c>
      <c r="H4">
        <v>36</v>
      </c>
      <c r="I4" t="s">
        <v>188</v>
      </c>
      <c r="J4">
        <v>20522</v>
      </c>
      <c r="K4" t="s">
        <v>4492</v>
      </c>
      <c r="L4" t="s">
        <v>3553</v>
      </c>
      <c r="M4" t="s">
        <v>189</v>
      </c>
      <c r="N4" t="s">
        <v>190</v>
      </c>
      <c r="O4" t="s">
        <v>191</v>
      </c>
      <c r="R4">
        <f>1</f>
        <v>1</v>
      </c>
      <c r="S4">
        <f>14.2</f>
        <v>14.2</v>
      </c>
      <c r="T4">
        <f>7.5</f>
        <v>7.5</v>
      </c>
      <c r="U4">
        <f>725</f>
        <v>725</v>
      </c>
      <c r="V4" t="s">
        <v>192</v>
      </c>
      <c r="X4">
        <f>0</f>
        <v>0</v>
      </c>
      <c r="Y4" t="s">
        <v>180</v>
      </c>
      <c r="Z4">
        <f>0</f>
        <v>0</v>
      </c>
      <c r="AA4" t="s">
        <v>179</v>
      </c>
      <c r="AB4" t="s">
        <v>179</v>
      </c>
      <c r="AD4">
        <f>0</f>
        <v>0</v>
      </c>
      <c r="AE4">
        <f>0</f>
        <v>0</v>
      </c>
      <c r="AG4" t="s">
        <v>180</v>
      </c>
      <c r="AH4" t="s">
        <v>193</v>
      </c>
      <c r="AK4" t="s">
        <v>181</v>
      </c>
      <c r="AL4" t="s">
        <v>182</v>
      </c>
      <c r="AM4">
        <f>5.8</f>
        <v>5.8</v>
      </c>
      <c r="AN4">
        <f>0.12</f>
        <v>0.12</v>
      </c>
      <c r="AO4">
        <f>180</f>
        <v>180</v>
      </c>
      <c r="AP4">
        <f>5.9</f>
        <v>5.9</v>
      </c>
      <c r="AQ4">
        <f>0.19</f>
        <v>0.19</v>
      </c>
    </row>
    <row r="5" spans="1:171" x14ac:dyDescent="0.25">
      <c r="A5" t="s">
        <v>194</v>
      </c>
      <c r="B5" t="s">
        <v>170</v>
      </c>
      <c r="C5" s="1">
        <v>46090</v>
      </c>
      <c r="D5" t="s">
        <v>195</v>
      </c>
      <c r="E5" t="s">
        <v>196</v>
      </c>
      <c r="F5" t="s">
        <v>3554</v>
      </c>
      <c r="G5" t="s">
        <v>3682</v>
      </c>
      <c r="H5">
        <v>172</v>
      </c>
      <c r="I5" t="s">
        <v>3682</v>
      </c>
      <c r="J5">
        <v>89433</v>
      </c>
      <c r="K5" t="s">
        <v>4494</v>
      </c>
      <c r="L5" t="s">
        <v>197</v>
      </c>
      <c r="M5" t="s">
        <v>198</v>
      </c>
      <c r="N5" t="s">
        <v>199</v>
      </c>
      <c r="O5" t="s">
        <v>200</v>
      </c>
      <c r="R5">
        <f>1</f>
        <v>1</v>
      </c>
      <c r="S5">
        <f>15.1</f>
        <v>15.1</v>
      </c>
      <c r="T5">
        <f>7.5</f>
        <v>7.5</v>
      </c>
      <c r="U5">
        <f>359</f>
        <v>359</v>
      </c>
      <c r="X5">
        <f>0</f>
        <v>0</v>
      </c>
      <c r="Y5">
        <f>0.02</f>
        <v>0.02</v>
      </c>
      <c r="Z5">
        <f>0</f>
        <v>0</v>
      </c>
      <c r="AA5">
        <f>0</f>
        <v>0</v>
      </c>
      <c r="AB5">
        <f>0</f>
        <v>0</v>
      </c>
      <c r="AC5">
        <f>0</f>
        <v>0</v>
      </c>
      <c r="AD5">
        <f>0</f>
        <v>0</v>
      </c>
      <c r="AE5">
        <f>0</f>
        <v>0</v>
      </c>
      <c r="AG5" t="s">
        <v>180</v>
      </c>
    </row>
    <row r="6" spans="1:171" x14ac:dyDescent="0.25">
      <c r="A6" t="s">
        <v>201</v>
      </c>
      <c r="B6" t="s">
        <v>170</v>
      </c>
      <c r="C6" s="1">
        <v>46090</v>
      </c>
      <c r="D6" t="s">
        <v>195</v>
      </c>
      <c r="E6" t="s">
        <v>196</v>
      </c>
      <c r="F6" t="s">
        <v>3554</v>
      </c>
      <c r="G6" t="s">
        <v>3682</v>
      </c>
      <c r="H6">
        <v>172</v>
      </c>
      <c r="I6" t="s">
        <v>3682</v>
      </c>
      <c r="J6">
        <v>89433</v>
      </c>
      <c r="K6" t="s">
        <v>4494</v>
      </c>
      <c r="L6" t="s">
        <v>197</v>
      </c>
      <c r="M6" t="s">
        <v>202</v>
      </c>
      <c r="N6" t="s">
        <v>3683</v>
      </c>
      <c r="O6" t="s">
        <v>203</v>
      </c>
      <c r="Q6" t="s">
        <v>3820</v>
      </c>
      <c r="R6">
        <f>1</f>
        <v>1</v>
      </c>
      <c r="S6">
        <f>19</f>
        <v>19</v>
      </c>
      <c r="T6">
        <f>7.5</f>
        <v>7.5</v>
      </c>
      <c r="U6">
        <f>359</f>
        <v>359</v>
      </c>
      <c r="X6">
        <f>0</f>
        <v>0</v>
      </c>
      <c r="Y6">
        <f>0.02</f>
        <v>0.02</v>
      </c>
      <c r="Z6">
        <f>0</f>
        <v>0</v>
      </c>
      <c r="AA6">
        <f>0</f>
        <v>0</v>
      </c>
      <c r="AB6">
        <f>4</f>
        <v>4</v>
      </c>
      <c r="AC6">
        <f>0</f>
        <v>0</v>
      </c>
      <c r="AD6">
        <f>0</f>
        <v>0</v>
      </c>
      <c r="AE6">
        <f>0</f>
        <v>0</v>
      </c>
      <c r="AG6" t="s">
        <v>180</v>
      </c>
    </row>
    <row r="7" spans="1:171" x14ac:dyDescent="0.25">
      <c r="A7" t="s">
        <v>204</v>
      </c>
      <c r="B7" t="s">
        <v>170</v>
      </c>
      <c r="C7" s="1">
        <v>46090</v>
      </c>
      <c r="D7" t="s">
        <v>195</v>
      </c>
      <c r="E7" t="s">
        <v>196</v>
      </c>
      <c r="F7" t="s">
        <v>3554</v>
      </c>
      <c r="G7" t="s">
        <v>3682</v>
      </c>
      <c r="H7">
        <v>172</v>
      </c>
      <c r="I7" t="s">
        <v>3682</v>
      </c>
      <c r="J7">
        <v>89433</v>
      </c>
      <c r="K7" t="s">
        <v>4494</v>
      </c>
      <c r="L7" t="s">
        <v>197</v>
      </c>
      <c r="M7" t="s">
        <v>205</v>
      </c>
      <c r="N7" t="s">
        <v>206</v>
      </c>
      <c r="O7" t="s">
        <v>207</v>
      </c>
      <c r="Q7" t="s">
        <v>3821</v>
      </c>
      <c r="R7">
        <f>1</f>
        <v>1</v>
      </c>
      <c r="S7">
        <f>12.9</f>
        <v>12.9</v>
      </c>
      <c r="T7">
        <f>7.6</f>
        <v>7.6</v>
      </c>
      <c r="U7">
        <f>361</f>
        <v>361</v>
      </c>
      <c r="X7">
        <f>0</f>
        <v>0</v>
      </c>
      <c r="Y7">
        <f>0.02</f>
        <v>0.02</v>
      </c>
      <c r="Z7">
        <f>0</f>
        <v>0</v>
      </c>
      <c r="AA7">
        <f>0</f>
        <v>0</v>
      </c>
      <c r="AB7">
        <f>2</f>
        <v>2</v>
      </c>
      <c r="AC7">
        <f>0</f>
        <v>0</v>
      </c>
      <c r="AD7">
        <f>0</f>
        <v>0</v>
      </c>
      <c r="AE7">
        <f>0</f>
        <v>0</v>
      </c>
      <c r="AG7" t="s">
        <v>180</v>
      </c>
    </row>
    <row r="8" spans="1:171" x14ac:dyDescent="0.25">
      <c r="A8" t="s">
        <v>208</v>
      </c>
      <c r="B8" t="s">
        <v>170</v>
      </c>
      <c r="C8" s="1">
        <v>46090</v>
      </c>
      <c r="D8" t="s">
        <v>195</v>
      </c>
      <c r="E8" t="s">
        <v>196</v>
      </c>
      <c r="F8" t="s">
        <v>3554</v>
      </c>
      <c r="G8" t="s">
        <v>3682</v>
      </c>
      <c r="H8">
        <v>172</v>
      </c>
      <c r="I8" t="s">
        <v>3682</v>
      </c>
      <c r="J8">
        <v>89433</v>
      </c>
      <c r="K8" t="s">
        <v>4494</v>
      </c>
      <c r="L8" t="s">
        <v>197</v>
      </c>
      <c r="M8" t="s">
        <v>4222</v>
      </c>
      <c r="N8" t="s">
        <v>4223</v>
      </c>
      <c r="O8" t="s">
        <v>209</v>
      </c>
      <c r="R8">
        <f>1</f>
        <v>1</v>
      </c>
      <c r="S8">
        <f>17.5</f>
        <v>17.5</v>
      </c>
      <c r="T8">
        <f>7.7</f>
        <v>7.7</v>
      </c>
      <c r="U8">
        <f>359</f>
        <v>359</v>
      </c>
      <c r="X8">
        <f>0</f>
        <v>0</v>
      </c>
      <c r="Y8">
        <f>0.02</f>
        <v>0.02</v>
      </c>
      <c r="Z8">
        <f>0</f>
        <v>0</v>
      </c>
      <c r="AA8">
        <f>0</f>
        <v>0</v>
      </c>
      <c r="AB8">
        <f>6</f>
        <v>6</v>
      </c>
      <c r="AC8">
        <f>0</f>
        <v>0</v>
      </c>
      <c r="AD8">
        <f>0</f>
        <v>0</v>
      </c>
      <c r="AE8">
        <f>0</f>
        <v>0</v>
      </c>
      <c r="AG8" t="s">
        <v>180</v>
      </c>
    </row>
    <row r="9" spans="1:171" x14ac:dyDescent="0.25">
      <c r="A9" t="s">
        <v>210</v>
      </c>
      <c r="B9" t="s">
        <v>170</v>
      </c>
      <c r="C9" s="1">
        <v>46090</v>
      </c>
      <c r="D9" t="s">
        <v>195</v>
      </c>
      <c r="E9" t="s">
        <v>196</v>
      </c>
      <c r="F9" t="s">
        <v>3554</v>
      </c>
      <c r="G9" t="s">
        <v>3682</v>
      </c>
      <c r="H9">
        <v>172</v>
      </c>
      <c r="I9" t="s">
        <v>3682</v>
      </c>
      <c r="J9">
        <v>89433</v>
      </c>
      <c r="K9" t="s">
        <v>4494</v>
      </c>
      <c r="L9" t="s">
        <v>197</v>
      </c>
      <c r="M9" t="s">
        <v>3822</v>
      </c>
      <c r="N9" t="s">
        <v>211</v>
      </c>
      <c r="O9" t="s">
        <v>212</v>
      </c>
      <c r="R9">
        <f>1</f>
        <v>1</v>
      </c>
      <c r="S9">
        <f>12</f>
        <v>12</v>
      </c>
      <c r="T9">
        <f>7.7</f>
        <v>7.7</v>
      </c>
      <c r="U9">
        <f>358</f>
        <v>358</v>
      </c>
      <c r="X9">
        <f>0</f>
        <v>0</v>
      </c>
      <c r="Y9">
        <f>0.06</f>
        <v>0.06</v>
      </c>
      <c r="Z9">
        <f>0</f>
        <v>0</v>
      </c>
      <c r="AA9">
        <f>0</f>
        <v>0</v>
      </c>
      <c r="AB9">
        <f>0</f>
        <v>0</v>
      </c>
      <c r="AC9">
        <f>0</f>
        <v>0</v>
      </c>
      <c r="AD9">
        <f>0</f>
        <v>0</v>
      </c>
      <c r="AE9">
        <f>0</f>
        <v>0</v>
      </c>
      <c r="AG9" t="s">
        <v>180</v>
      </c>
    </row>
    <row r="10" spans="1:171" x14ac:dyDescent="0.25">
      <c r="A10" t="s">
        <v>213</v>
      </c>
      <c r="B10" t="s">
        <v>170</v>
      </c>
      <c r="C10" s="1">
        <v>46090</v>
      </c>
      <c r="D10" t="s">
        <v>195</v>
      </c>
      <c r="E10" t="s">
        <v>196</v>
      </c>
      <c r="F10" t="s">
        <v>3554</v>
      </c>
      <c r="G10" t="s">
        <v>3682</v>
      </c>
      <c r="H10">
        <v>172</v>
      </c>
      <c r="I10" t="s">
        <v>3682</v>
      </c>
      <c r="J10">
        <v>89433</v>
      </c>
      <c r="K10" t="s">
        <v>4494</v>
      </c>
      <c r="L10" t="s">
        <v>197</v>
      </c>
      <c r="M10" t="s">
        <v>3823</v>
      </c>
      <c r="N10" t="s">
        <v>3824</v>
      </c>
      <c r="O10" t="s">
        <v>214</v>
      </c>
      <c r="R10">
        <f>1</f>
        <v>1</v>
      </c>
      <c r="S10">
        <f>12.5</f>
        <v>12.5</v>
      </c>
      <c r="T10">
        <f>7.5</f>
        <v>7.5</v>
      </c>
      <c r="U10">
        <f>361</f>
        <v>361</v>
      </c>
      <c r="X10">
        <f>0</f>
        <v>0</v>
      </c>
      <c r="Y10">
        <f>0.02</f>
        <v>0.02</v>
      </c>
      <c r="Z10">
        <f>0</f>
        <v>0</v>
      </c>
      <c r="AA10">
        <f>0</f>
        <v>0</v>
      </c>
      <c r="AB10">
        <f>0</f>
        <v>0</v>
      </c>
      <c r="AC10">
        <f>0</f>
        <v>0</v>
      </c>
      <c r="AD10">
        <f>0</f>
        <v>0</v>
      </c>
      <c r="AE10">
        <f>0</f>
        <v>0</v>
      </c>
      <c r="AG10" t="s">
        <v>180</v>
      </c>
    </row>
    <row r="11" spans="1:171" x14ac:dyDescent="0.25">
      <c r="A11" t="s">
        <v>215</v>
      </c>
      <c r="B11" t="s">
        <v>170</v>
      </c>
      <c r="C11" s="1">
        <v>46087</v>
      </c>
      <c r="D11" t="s">
        <v>216</v>
      </c>
      <c r="E11" t="s">
        <v>217</v>
      </c>
      <c r="F11" t="s">
        <v>3555</v>
      </c>
      <c r="G11" t="s">
        <v>218</v>
      </c>
      <c r="H11">
        <v>377</v>
      </c>
      <c r="I11" t="s">
        <v>218</v>
      </c>
      <c r="J11">
        <v>6423</v>
      </c>
      <c r="K11" t="s">
        <v>4494</v>
      </c>
      <c r="L11" t="s">
        <v>3556</v>
      </c>
      <c r="M11" t="s">
        <v>4495</v>
      </c>
      <c r="N11" t="s">
        <v>4496</v>
      </c>
      <c r="O11" t="s">
        <v>219</v>
      </c>
      <c r="Q11" t="s">
        <v>3468</v>
      </c>
      <c r="R11">
        <f>1</f>
        <v>1</v>
      </c>
      <c r="S11">
        <f>15.3</f>
        <v>15.3</v>
      </c>
      <c r="T11">
        <f>8.1</f>
        <v>8.1</v>
      </c>
      <c r="U11">
        <f>220</f>
        <v>220</v>
      </c>
      <c r="V11">
        <f>0.08</f>
        <v>0.08</v>
      </c>
      <c r="X11">
        <f>1</f>
        <v>1</v>
      </c>
      <c r="Y11">
        <f>0.22</f>
        <v>0.22</v>
      </c>
      <c r="Z11">
        <f>0</f>
        <v>0</v>
      </c>
      <c r="AA11">
        <f>2</f>
        <v>2</v>
      </c>
      <c r="AB11">
        <f>2</f>
        <v>2</v>
      </c>
      <c r="AC11">
        <f>0</f>
        <v>0</v>
      </c>
      <c r="AD11">
        <f>0</f>
        <v>0</v>
      </c>
      <c r="AE11">
        <f>0</f>
        <v>0</v>
      </c>
      <c r="AG11" t="s">
        <v>220</v>
      </c>
    </row>
    <row r="12" spans="1:171" x14ac:dyDescent="0.25">
      <c r="A12" t="s">
        <v>221</v>
      </c>
      <c r="B12" t="s">
        <v>170</v>
      </c>
      <c r="C12" s="1">
        <v>46085</v>
      </c>
      <c r="D12" t="s">
        <v>222</v>
      </c>
      <c r="E12" t="s">
        <v>223</v>
      </c>
      <c r="F12" t="s">
        <v>224</v>
      </c>
      <c r="G12" t="s">
        <v>3825</v>
      </c>
      <c r="H12">
        <v>209</v>
      </c>
      <c r="I12" t="s">
        <v>225</v>
      </c>
      <c r="J12">
        <v>16765</v>
      </c>
      <c r="K12" t="s">
        <v>4494</v>
      </c>
      <c r="L12" t="s">
        <v>226</v>
      </c>
      <c r="M12" t="s">
        <v>227</v>
      </c>
      <c r="N12" t="s">
        <v>3826</v>
      </c>
      <c r="O12" t="s">
        <v>228</v>
      </c>
      <c r="R12">
        <f>1</f>
        <v>1</v>
      </c>
      <c r="S12">
        <f>11.8</f>
        <v>11.8</v>
      </c>
      <c r="T12">
        <f>7.4</f>
        <v>7.4</v>
      </c>
      <c r="U12">
        <f>416</f>
        <v>416</v>
      </c>
      <c r="X12">
        <f>1</f>
        <v>1</v>
      </c>
      <c r="Y12" t="s">
        <v>180</v>
      </c>
      <c r="Z12">
        <f>0</f>
        <v>0</v>
      </c>
      <c r="AA12" t="s">
        <v>179</v>
      </c>
      <c r="AB12" t="s">
        <v>179</v>
      </c>
      <c r="AC12">
        <f>0</f>
        <v>0</v>
      </c>
      <c r="AD12">
        <f>0</f>
        <v>0</v>
      </c>
      <c r="AE12">
        <f>0</f>
        <v>0</v>
      </c>
      <c r="AG12" t="s">
        <v>180</v>
      </c>
    </row>
    <row r="13" spans="1:171" x14ac:dyDescent="0.25">
      <c r="A13" t="s">
        <v>229</v>
      </c>
      <c r="B13" t="s">
        <v>170</v>
      </c>
      <c r="C13" s="1">
        <v>46085</v>
      </c>
      <c r="D13" t="s">
        <v>222</v>
      </c>
      <c r="E13" t="s">
        <v>223</v>
      </c>
      <c r="F13" t="s">
        <v>224</v>
      </c>
      <c r="G13" t="s">
        <v>3825</v>
      </c>
      <c r="H13">
        <v>212</v>
      </c>
      <c r="I13" t="s">
        <v>230</v>
      </c>
      <c r="J13">
        <v>21265</v>
      </c>
      <c r="K13" t="s">
        <v>4494</v>
      </c>
      <c r="L13" t="s">
        <v>231</v>
      </c>
      <c r="M13" t="s">
        <v>232</v>
      </c>
      <c r="N13" t="s">
        <v>233</v>
      </c>
      <c r="O13" t="s">
        <v>234</v>
      </c>
      <c r="Q13" t="s">
        <v>3469</v>
      </c>
      <c r="R13">
        <f>1</f>
        <v>1</v>
      </c>
      <c r="S13">
        <f>9</f>
        <v>9</v>
      </c>
      <c r="T13">
        <f>7.9</f>
        <v>7.9</v>
      </c>
      <c r="U13">
        <f>202</f>
        <v>202</v>
      </c>
      <c r="X13">
        <f>1</f>
        <v>1</v>
      </c>
      <c r="Y13" t="s">
        <v>180</v>
      </c>
      <c r="Z13">
        <f>0</f>
        <v>0</v>
      </c>
      <c r="AA13" t="s">
        <v>179</v>
      </c>
      <c r="AB13" t="s">
        <v>179</v>
      </c>
      <c r="AC13">
        <f>0</f>
        <v>0</v>
      </c>
      <c r="AD13">
        <f>0</f>
        <v>0</v>
      </c>
      <c r="AE13">
        <f>0</f>
        <v>0</v>
      </c>
      <c r="AG13" t="s">
        <v>180</v>
      </c>
      <c r="BU13" t="s">
        <v>179</v>
      </c>
    </row>
    <row r="14" spans="1:171" x14ac:dyDescent="0.25">
      <c r="A14" t="s">
        <v>235</v>
      </c>
      <c r="B14" t="s">
        <v>170</v>
      </c>
      <c r="C14" s="1">
        <v>46085</v>
      </c>
      <c r="D14" t="s">
        <v>222</v>
      </c>
      <c r="E14" t="s">
        <v>223</v>
      </c>
      <c r="F14" t="s">
        <v>224</v>
      </c>
      <c r="G14" t="s">
        <v>3825</v>
      </c>
      <c r="H14">
        <v>212</v>
      </c>
      <c r="I14" t="s">
        <v>230</v>
      </c>
      <c r="J14">
        <v>21265</v>
      </c>
      <c r="K14" t="s">
        <v>4494</v>
      </c>
      <c r="L14" t="s">
        <v>231</v>
      </c>
      <c r="M14" t="s">
        <v>4497</v>
      </c>
      <c r="N14" t="s">
        <v>4498</v>
      </c>
      <c r="O14" t="s">
        <v>236</v>
      </c>
      <c r="Q14" t="s">
        <v>4499</v>
      </c>
      <c r="R14">
        <f>1</f>
        <v>1</v>
      </c>
      <c r="S14">
        <f>8.4</f>
        <v>8.4</v>
      </c>
      <c r="T14">
        <f>7.9</f>
        <v>7.9</v>
      </c>
      <c r="U14">
        <f>201</f>
        <v>201</v>
      </c>
      <c r="X14">
        <f>1</f>
        <v>1</v>
      </c>
      <c r="Y14" t="s">
        <v>180</v>
      </c>
      <c r="Z14">
        <f>0</f>
        <v>0</v>
      </c>
      <c r="AA14" t="s">
        <v>179</v>
      </c>
      <c r="AB14" t="s">
        <v>179</v>
      </c>
      <c r="AC14">
        <f>0</f>
        <v>0</v>
      </c>
      <c r="AD14">
        <f>0</f>
        <v>0</v>
      </c>
      <c r="AE14">
        <f>0</f>
        <v>0</v>
      </c>
      <c r="AG14" t="s">
        <v>180</v>
      </c>
    </row>
    <row r="15" spans="1:171" x14ac:dyDescent="0.25">
      <c r="A15" t="s">
        <v>237</v>
      </c>
      <c r="B15" t="s">
        <v>170</v>
      </c>
      <c r="C15" s="1">
        <v>46084</v>
      </c>
      <c r="D15" t="s">
        <v>238</v>
      </c>
      <c r="E15" t="s">
        <v>239</v>
      </c>
      <c r="F15" t="s">
        <v>240</v>
      </c>
      <c r="G15" t="s">
        <v>241</v>
      </c>
      <c r="H15">
        <v>132</v>
      </c>
      <c r="I15" t="s">
        <v>241</v>
      </c>
      <c r="J15">
        <v>22721</v>
      </c>
      <c r="K15" t="s">
        <v>4494</v>
      </c>
      <c r="L15" t="s">
        <v>176</v>
      </c>
      <c r="M15" t="s">
        <v>3827</v>
      </c>
      <c r="N15" t="s">
        <v>3557</v>
      </c>
      <c r="O15" t="s">
        <v>242</v>
      </c>
      <c r="R15">
        <f>1</f>
        <v>1</v>
      </c>
      <c r="S15">
        <f>11.2</f>
        <v>11.2</v>
      </c>
      <c r="T15">
        <f>7.5</f>
        <v>7.5</v>
      </c>
      <c r="U15">
        <f>431</f>
        <v>431</v>
      </c>
      <c r="X15">
        <f>0</f>
        <v>0</v>
      </c>
      <c r="Y15" t="s">
        <v>243</v>
      </c>
      <c r="Z15">
        <f>0</f>
        <v>0</v>
      </c>
      <c r="AA15" t="s">
        <v>179</v>
      </c>
      <c r="AB15" t="s">
        <v>179</v>
      </c>
      <c r="AC15">
        <f>0</f>
        <v>0</v>
      </c>
      <c r="AD15">
        <f>0</f>
        <v>0</v>
      </c>
      <c r="AE15">
        <f>0</f>
        <v>0</v>
      </c>
      <c r="AG15" t="s">
        <v>220</v>
      </c>
    </row>
    <row r="16" spans="1:171" x14ac:dyDescent="0.25">
      <c r="A16" t="s">
        <v>244</v>
      </c>
      <c r="B16" t="s">
        <v>170</v>
      </c>
      <c r="C16" s="1">
        <v>46080</v>
      </c>
      <c r="D16" t="s">
        <v>238</v>
      </c>
      <c r="E16" t="s">
        <v>239</v>
      </c>
      <c r="F16" t="s">
        <v>4224</v>
      </c>
      <c r="G16" t="s">
        <v>4225</v>
      </c>
      <c r="H16">
        <v>796</v>
      </c>
      <c r="I16" t="s">
        <v>4226</v>
      </c>
      <c r="J16">
        <v>12713</v>
      </c>
      <c r="K16" t="s">
        <v>4494</v>
      </c>
      <c r="L16" t="s">
        <v>245</v>
      </c>
      <c r="M16" t="s">
        <v>246</v>
      </c>
      <c r="N16" t="s">
        <v>247</v>
      </c>
      <c r="O16" t="s">
        <v>248</v>
      </c>
      <c r="Q16" t="s">
        <v>249</v>
      </c>
      <c r="R16">
        <f>1</f>
        <v>1</v>
      </c>
      <c r="S16">
        <f>10.9</f>
        <v>10.9</v>
      </c>
      <c r="T16">
        <f>7.6</f>
        <v>7.6</v>
      </c>
      <c r="U16">
        <f>348</f>
        <v>348</v>
      </c>
      <c r="W16" t="s">
        <v>243</v>
      </c>
      <c r="X16">
        <f>0</f>
        <v>0</v>
      </c>
      <c r="Y16">
        <f>0.21</f>
        <v>0.21</v>
      </c>
      <c r="Z16">
        <f>0</f>
        <v>0</v>
      </c>
      <c r="AA16" t="s">
        <v>179</v>
      </c>
      <c r="AB16" t="s">
        <v>179</v>
      </c>
      <c r="AC16">
        <f>0</f>
        <v>0</v>
      </c>
      <c r="AD16">
        <f>0</f>
        <v>0</v>
      </c>
      <c r="AE16">
        <f>0</f>
        <v>0</v>
      </c>
      <c r="AG16" t="s">
        <v>220</v>
      </c>
    </row>
    <row r="17" spans="1:69" x14ac:dyDescent="0.25">
      <c r="A17" t="s">
        <v>250</v>
      </c>
      <c r="B17" t="s">
        <v>170</v>
      </c>
      <c r="C17" s="1">
        <v>46079</v>
      </c>
      <c r="D17" t="s">
        <v>251</v>
      </c>
      <c r="E17" t="s">
        <v>252</v>
      </c>
      <c r="F17" t="s">
        <v>253</v>
      </c>
      <c r="G17" t="s">
        <v>254</v>
      </c>
      <c r="H17">
        <v>76</v>
      </c>
      <c r="I17" t="s">
        <v>254</v>
      </c>
      <c r="J17">
        <v>11982</v>
      </c>
      <c r="K17" t="s">
        <v>4492</v>
      </c>
      <c r="L17" t="s">
        <v>3553</v>
      </c>
      <c r="M17" t="s">
        <v>4500</v>
      </c>
      <c r="N17" t="s">
        <v>255</v>
      </c>
      <c r="O17" t="s">
        <v>256</v>
      </c>
      <c r="Q17" t="s">
        <v>257</v>
      </c>
      <c r="R17">
        <f>1</f>
        <v>1</v>
      </c>
      <c r="S17">
        <f>8</f>
        <v>8</v>
      </c>
      <c r="T17">
        <f>8</f>
        <v>8</v>
      </c>
      <c r="U17">
        <f>242</f>
        <v>242</v>
      </c>
      <c r="V17" t="s">
        <v>258</v>
      </c>
      <c r="X17">
        <f>0</f>
        <v>0</v>
      </c>
      <c r="Y17" t="s">
        <v>180</v>
      </c>
      <c r="Z17">
        <f>0</f>
        <v>0</v>
      </c>
      <c r="AA17">
        <f>0</f>
        <v>0</v>
      </c>
      <c r="AB17">
        <f>0</f>
        <v>0</v>
      </c>
      <c r="AD17">
        <f>0</f>
        <v>0</v>
      </c>
      <c r="AE17">
        <f>0</f>
        <v>0</v>
      </c>
      <c r="AG17" t="s">
        <v>180</v>
      </c>
    </row>
    <row r="18" spans="1:69" x14ac:dyDescent="0.25">
      <c r="A18" t="s">
        <v>259</v>
      </c>
      <c r="B18" t="s">
        <v>170</v>
      </c>
      <c r="C18" s="1">
        <v>46128</v>
      </c>
      <c r="D18" t="s">
        <v>238</v>
      </c>
      <c r="E18" t="s">
        <v>260</v>
      </c>
      <c r="F18" t="s">
        <v>261</v>
      </c>
      <c r="G18" t="s">
        <v>3828</v>
      </c>
      <c r="H18">
        <v>145</v>
      </c>
      <c r="I18" t="s">
        <v>3828</v>
      </c>
      <c r="J18">
        <v>14228</v>
      </c>
      <c r="K18" t="s">
        <v>4492</v>
      </c>
      <c r="L18" t="s">
        <v>262</v>
      </c>
      <c r="M18" t="s">
        <v>4501</v>
      </c>
      <c r="N18" t="s">
        <v>4502</v>
      </c>
      <c r="O18" t="s">
        <v>263</v>
      </c>
      <c r="R18">
        <f>1</f>
        <v>1</v>
      </c>
      <c r="S18">
        <f>16.7</f>
        <v>16.7</v>
      </c>
      <c r="T18">
        <f>7.6</f>
        <v>7.6</v>
      </c>
      <c r="U18">
        <f>403</f>
        <v>403</v>
      </c>
      <c r="V18">
        <f>0.13</f>
        <v>0.13</v>
      </c>
      <c r="X18">
        <f>0</f>
        <v>0</v>
      </c>
      <c r="Y18">
        <f>0.2</f>
        <v>0.2</v>
      </c>
      <c r="Z18">
        <f>0</f>
        <v>0</v>
      </c>
      <c r="AA18" t="s">
        <v>179</v>
      </c>
      <c r="AB18" t="s">
        <v>179</v>
      </c>
      <c r="AD18">
        <f>0</f>
        <v>0</v>
      </c>
      <c r="AE18">
        <f>0</f>
        <v>0</v>
      </c>
      <c r="AG18" t="s">
        <v>220</v>
      </c>
    </row>
    <row r="19" spans="1:69" x14ac:dyDescent="0.25">
      <c r="A19" t="s">
        <v>264</v>
      </c>
      <c r="B19" t="s">
        <v>170</v>
      </c>
      <c r="C19" s="1">
        <v>46085</v>
      </c>
      <c r="D19" t="s">
        <v>251</v>
      </c>
      <c r="E19" t="s">
        <v>252</v>
      </c>
      <c r="F19" t="s">
        <v>265</v>
      </c>
      <c r="G19" t="s">
        <v>3829</v>
      </c>
      <c r="H19">
        <v>889</v>
      </c>
      <c r="I19" t="s">
        <v>3830</v>
      </c>
      <c r="J19">
        <v>10779</v>
      </c>
      <c r="K19" t="s">
        <v>4494</v>
      </c>
      <c r="L19" t="s">
        <v>266</v>
      </c>
      <c r="M19" t="s">
        <v>4503</v>
      </c>
      <c r="N19" t="s">
        <v>3684</v>
      </c>
      <c r="O19" t="s">
        <v>267</v>
      </c>
      <c r="Q19" t="s">
        <v>257</v>
      </c>
      <c r="R19">
        <f>1</f>
        <v>1</v>
      </c>
      <c r="S19">
        <f>7.9</f>
        <v>7.9</v>
      </c>
      <c r="T19">
        <f>8</f>
        <v>8</v>
      </c>
      <c r="U19">
        <f>166</f>
        <v>166</v>
      </c>
      <c r="V19">
        <f>0.11</f>
        <v>0.11</v>
      </c>
      <c r="X19">
        <f>0</f>
        <v>0</v>
      </c>
      <c r="Y19" t="s">
        <v>180</v>
      </c>
      <c r="Z19">
        <f>0</f>
        <v>0</v>
      </c>
      <c r="AA19">
        <f>0</f>
        <v>0</v>
      </c>
      <c r="AB19">
        <f>0</f>
        <v>0</v>
      </c>
      <c r="AC19">
        <f>0</f>
        <v>0</v>
      </c>
      <c r="AD19">
        <f>0</f>
        <v>0</v>
      </c>
      <c r="AE19">
        <f>0</f>
        <v>0</v>
      </c>
      <c r="AG19" t="s">
        <v>180</v>
      </c>
    </row>
    <row r="20" spans="1:69" x14ac:dyDescent="0.25">
      <c r="A20" t="s">
        <v>268</v>
      </c>
      <c r="B20" t="s">
        <v>170</v>
      </c>
      <c r="C20" s="1">
        <v>46091</v>
      </c>
      <c r="D20" t="s">
        <v>184</v>
      </c>
      <c r="E20" t="s">
        <v>185</v>
      </c>
      <c r="F20" t="s">
        <v>269</v>
      </c>
      <c r="G20" t="s">
        <v>270</v>
      </c>
      <c r="H20">
        <v>346</v>
      </c>
      <c r="I20" t="s">
        <v>270</v>
      </c>
      <c r="J20">
        <v>21617</v>
      </c>
      <c r="K20" t="s">
        <v>4492</v>
      </c>
      <c r="L20" t="s">
        <v>271</v>
      </c>
      <c r="M20" t="s">
        <v>4504</v>
      </c>
      <c r="N20" t="s">
        <v>272</v>
      </c>
      <c r="O20" t="s">
        <v>273</v>
      </c>
      <c r="Q20" t="s">
        <v>274</v>
      </c>
      <c r="R20">
        <f>1</f>
        <v>1</v>
      </c>
      <c r="S20">
        <f>9.7</f>
        <v>9.6999999999999993</v>
      </c>
      <c r="T20">
        <f>8</f>
        <v>8</v>
      </c>
      <c r="U20">
        <f>222</f>
        <v>222</v>
      </c>
      <c r="X20">
        <f>0</f>
        <v>0</v>
      </c>
      <c r="Y20" t="s">
        <v>180</v>
      </c>
      <c r="Z20">
        <f>0</f>
        <v>0</v>
      </c>
      <c r="AA20">
        <f>0</f>
        <v>0</v>
      </c>
      <c r="AB20">
        <f>0</f>
        <v>0</v>
      </c>
      <c r="AD20">
        <f>0</f>
        <v>0</v>
      </c>
      <c r="AE20">
        <f>0</f>
        <v>0</v>
      </c>
      <c r="AG20" t="s">
        <v>180</v>
      </c>
    </row>
    <row r="21" spans="1:69" x14ac:dyDescent="0.25">
      <c r="A21" t="s">
        <v>275</v>
      </c>
      <c r="B21" t="s">
        <v>170</v>
      </c>
      <c r="C21" s="1">
        <v>46134</v>
      </c>
      <c r="D21" t="s">
        <v>184</v>
      </c>
      <c r="E21" t="s">
        <v>239</v>
      </c>
      <c r="F21" t="s">
        <v>276</v>
      </c>
      <c r="G21" t="s">
        <v>4227</v>
      </c>
      <c r="H21">
        <v>691</v>
      </c>
      <c r="I21" t="s">
        <v>4228</v>
      </c>
      <c r="J21">
        <v>20462</v>
      </c>
      <c r="K21" t="s">
        <v>4494</v>
      </c>
      <c r="L21" t="s">
        <v>277</v>
      </c>
      <c r="M21" t="s">
        <v>3831</v>
      </c>
      <c r="N21" t="s">
        <v>3832</v>
      </c>
      <c r="O21" t="s">
        <v>278</v>
      </c>
      <c r="R21">
        <f>1</f>
        <v>1</v>
      </c>
      <c r="S21">
        <f>14</f>
        <v>14</v>
      </c>
      <c r="T21">
        <f>7.9</f>
        <v>7.9</v>
      </c>
      <c r="U21">
        <f>317</f>
        <v>317</v>
      </c>
      <c r="X21">
        <f>0</f>
        <v>0</v>
      </c>
      <c r="Y21" t="s">
        <v>180</v>
      </c>
      <c r="Z21">
        <f>0</f>
        <v>0</v>
      </c>
      <c r="AA21" t="s">
        <v>179</v>
      </c>
      <c r="AB21" t="s">
        <v>179</v>
      </c>
      <c r="AC21">
        <f>0</f>
        <v>0</v>
      </c>
      <c r="AD21">
        <f>0</f>
        <v>0</v>
      </c>
      <c r="AE21">
        <f>0</f>
        <v>0</v>
      </c>
      <c r="AG21" t="s">
        <v>220</v>
      </c>
    </row>
    <row r="22" spans="1:69" x14ac:dyDescent="0.25">
      <c r="A22" t="s">
        <v>279</v>
      </c>
      <c r="B22" t="s">
        <v>170</v>
      </c>
      <c r="C22" s="1">
        <v>46087</v>
      </c>
      <c r="D22" t="s">
        <v>251</v>
      </c>
      <c r="E22" t="s">
        <v>252</v>
      </c>
      <c r="F22" t="s">
        <v>280</v>
      </c>
      <c r="G22" t="s">
        <v>281</v>
      </c>
      <c r="H22">
        <v>104</v>
      </c>
      <c r="I22" t="s">
        <v>281</v>
      </c>
      <c r="J22">
        <v>61876</v>
      </c>
      <c r="K22" t="s">
        <v>4494</v>
      </c>
      <c r="L22" t="s">
        <v>3558</v>
      </c>
      <c r="M22" t="s">
        <v>4505</v>
      </c>
      <c r="N22" t="s">
        <v>282</v>
      </c>
      <c r="O22" t="s">
        <v>283</v>
      </c>
      <c r="Q22" t="s">
        <v>257</v>
      </c>
      <c r="R22">
        <f>1</f>
        <v>1</v>
      </c>
      <c r="S22">
        <f>9.2</f>
        <v>9.1999999999999993</v>
      </c>
      <c r="T22">
        <f>8</f>
        <v>8</v>
      </c>
      <c r="U22">
        <f>225</f>
        <v>225</v>
      </c>
      <c r="X22">
        <f>0</f>
        <v>0</v>
      </c>
      <c r="Y22" t="s">
        <v>180</v>
      </c>
      <c r="Z22">
        <f>0</f>
        <v>0</v>
      </c>
      <c r="AA22">
        <f>1</f>
        <v>1</v>
      </c>
      <c r="AB22">
        <f>6</f>
        <v>6</v>
      </c>
      <c r="AC22">
        <f>0</f>
        <v>0</v>
      </c>
      <c r="AD22">
        <f>0</f>
        <v>0</v>
      </c>
      <c r="AE22">
        <f>0</f>
        <v>0</v>
      </c>
      <c r="AG22" t="s">
        <v>180</v>
      </c>
      <c r="AH22" t="s">
        <v>284</v>
      </c>
      <c r="AK22" t="s">
        <v>285</v>
      </c>
      <c r="AL22" t="s">
        <v>286</v>
      </c>
      <c r="AM22">
        <f>4.1</f>
        <v>4.0999999999999996</v>
      </c>
      <c r="AN22">
        <f>0.082</f>
        <v>8.2000000000000003E-2</v>
      </c>
      <c r="AO22">
        <f>2.5</f>
        <v>2.5</v>
      </c>
      <c r="AP22">
        <f>1.2</f>
        <v>1.2</v>
      </c>
      <c r="AQ22" t="s">
        <v>284</v>
      </c>
    </row>
    <row r="23" spans="1:69" x14ac:dyDescent="0.25">
      <c r="A23" t="s">
        <v>287</v>
      </c>
      <c r="B23" t="s">
        <v>170</v>
      </c>
      <c r="C23" s="1">
        <v>46086</v>
      </c>
      <c r="D23" t="s">
        <v>184</v>
      </c>
      <c r="E23" t="s">
        <v>185</v>
      </c>
      <c r="F23" t="s">
        <v>288</v>
      </c>
      <c r="G23" t="s">
        <v>3833</v>
      </c>
      <c r="H23">
        <v>334</v>
      </c>
      <c r="I23" t="s">
        <v>3834</v>
      </c>
      <c r="J23">
        <v>36909</v>
      </c>
      <c r="K23" t="s">
        <v>4492</v>
      </c>
      <c r="L23" t="s">
        <v>3282</v>
      </c>
      <c r="M23" t="s">
        <v>4506</v>
      </c>
      <c r="N23" t="s">
        <v>3559</v>
      </c>
      <c r="O23" t="s">
        <v>289</v>
      </c>
      <c r="Q23" t="s">
        <v>257</v>
      </c>
      <c r="R23">
        <f>1</f>
        <v>1</v>
      </c>
      <c r="S23">
        <f>11.6</f>
        <v>11.6</v>
      </c>
      <c r="T23">
        <f>7.4</f>
        <v>7.4</v>
      </c>
      <c r="U23">
        <f>525</f>
        <v>525</v>
      </c>
      <c r="X23">
        <f>0</f>
        <v>0</v>
      </c>
      <c r="Y23" t="s">
        <v>180</v>
      </c>
      <c r="Z23">
        <f>0</f>
        <v>0</v>
      </c>
      <c r="AA23">
        <f>0</f>
        <v>0</v>
      </c>
      <c r="AB23">
        <f>0</f>
        <v>0</v>
      </c>
      <c r="AD23">
        <f>0</f>
        <v>0</v>
      </c>
      <c r="AE23">
        <f>0</f>
        <v>0</v>
      </c>
      <c r="AG23" t="s">
        <v>180</v>
      </c>
      <c r="AH23" t="s">
        <v>284</v>
      </c>
      <c r="AK23" t="s">
        <v>285</v>
      </c>
      <c r="AL23" t="s">
        <v>286</v>
      </c>
      <c r="AM23">
        <f>24</f>
        <v>24</v>
      </c>
      <c r="AN23">
        <f>0.48</f>
        <v>0.48</v>
      </c>
      <c r="AO23">
        <f>8.4</f>
        <v>8.4</v>
      </c>
      <c r="AP23">
        <f>8.8</f>
        <v>8.8000000000000007</v>
      </c>
      <c r="AQ23" t="s">
        <v>284</v>
      </c>
    </row>
    <row r="24" spans="1:69" x14ac:dyDescent="0.25">
      <c r="A24" t="s">
        <v>290</v>
      </c>
      <c r="B24" t="s">
        <v>170</v>
      </c>
      <c r="C24" s="1">
        <v>46114</v>
      </c>
      <c r="D24" t="s">
        <v>222</v>
      </c>
      <c r="E24" t="s">
        <v>223</v>
      </c>
      <c r="F24" t="s">
        <v>3685</v>
      </c>
      <c r="G24" t="s">
        <v>3686</v>
      </c>
      <c r="H24">
        <v>1127</v>
      </c>
      <c r="I24" t="s">
        <v>3686</v>
      </c>
      <c r="J24">
        <v>13130</v>
      </c>
      <c r="K24" t="s">
        <v>4492</v>
      </c>
      <c r="L24" t="s">
        <v>291</v>
      </c>
      <c r="M24" t="s">
        <v>4507</v>
      </c>
      <c r="N24" t="s">
        <v>3687</v>
      </c>
      <c r="O24" t="s">
        <v>292</v>
      </c>
      <c r="R24">
        <f>1</f>
        <v>1</v>
      </c>
      <c r="S24">
        <f>10.5</f>
        <v>10.5</v>
      </c>
      <c r="T24">
        <f>7.6</f>
        <v>7.6</v>
      </c>
      <c r="U24">
        <f>435</f>
        <v>435</v>
      </c>
      <c r="X24">
        <f>1</f>
        <v>1</v>
      </c>
      <c r="Y24" t="s">
        <v>180</v>
      </c>
      <c r="Z24">
        <f>0</f>
        <v>0</v>
      </c>
      <c r="AA24" t="s">
        <v>179</v>
      </c>
      <c r="AB24" t="s">
        <v>179</v>
      </c>
      <c r="AD24">
        <f>0</f>
        <v>0</v>
      </c>
      <c r="AE24">
        <f>0</f>
        <v>0</v>
      </c>
      <c r="AG24" t="s">
        <v>180</v>
      </c>
      <c r="AH24" t="s">
        <v>193</v>
      </c>
      <c r="AK24" t="s">
        <v>181</v>
      </c>
      <c r="AL24" t="s">
        <v>182</v>
      </c>
      <c r="AM24">
        <f>23</f>
        <v>23</v>
      </c>
      <c r="AN24">
        <f>0.46</f>
        <v>0.46</v>
      </c>
      <c r="AO24">
        <f>16</f>
        <v>16</v>
      </c>
      <c r="AP24">
        <f>15</f>
        <v>15</v>
      </c>
      <c r="AQ24" t="s">
        <v>180</v>
      </c>
    </row>
    <row r="25" spans="1:69" x14ac:dyDescent="0.25">
      <c r="A25" t="s">
        <v>293</v>
      </c>
      <c r="B25" t="s">
        <v>170</v>
      </c>
      <c r="C25" s="1">
        <v>46092</v>
      </c>
      <c r="D25" t="s">
        <v>222</v>
      </c>
      <c r="E25" t="s">
        <v>223</v>
      </c>
      <c r="F25" t="s">
        <v>4508</v>
      </c>
      <c r="G25" t="s">
        <v>3835</v>
      </c>
      <c r="H25">
        <v>1133</v>
      </c>
      <c r="I25" t="s">
        <v>3836</v>
      </c>
      <c r="J25">
        <v>12771</v>
      </c>
      <c r="K25" t="s">
        <v>4492</v>
      </c>
      <c r="L25" t="s">
        <v>291</v>
      </c>
      <c r="M25" t="s">
        <v>3837</v>
      </c>
      <c r="N25" t="s">
        <v>4509</v>
      </c>
      <c r="O25" t="s">
        <v>294</v>
      </c>
      <c r="R25">
        <f>1</f>
        <v>1</v>
      </c>
      <c r="S25">
        <f>9.8</f>
        <v>9.8000000000000007</v>
      </c>
      <c r="T25">
        <f>7.6</f>
        <v>7.6</v>
      </c>
      <c r="U25">
        <f>514</f>
        <v>514</v>
      </c>
      <c r="X25">
        <f>0</f>
        <v>0</v>
      </c>
      <c r="Y25">
        <f>0.2</f>
        <v>0.2</v>
      </c>
      <c r="Z25">
        <f>0</f>
        <v>0</v>
      </c>
      <c r="AA25" t="s">
        <v>179</v>
      </c>
      <c r="AB25" t="s">
        <v>179</v>
      </c>
      <c r="AD25">
        <f>0</f>
        <v>0</v>
      </c>
      <c r="AE25">
        <f>0</f>
        <v>0</v>
      </c>
      <c r="AG25" t="s">
        <v>180</v>
      </c>
      <c r="AH25" t="s">
        <v>193</v>
      </c>
      <c r="AK25" t="s">
        <v>181</v>
      </c>
      <c r="AL25" t="s">
        <v>182</v>
      </c>
      <c r="AM25">
        <f>6.2</f>
        <v>6.2</v>
      </c>
      <c r="AN25">
        <f>0.12</f>
        <v>0.12</v>
      </c>
      <c r="AO25">
        <f>14</f>
        <v>14</v>
      </c>
      <c r="AP25">
        <f>2</f>
        <v>2</v>
      </c>
      <c r="AQ25" t="s">
        <v>180</v>
      </c>
    </row>
    <row r="26" spans="1:69" x14ac:dyDescent="0.25">
      <c r="A26" t="s">
        <v>295</v>
      </c>
      <c r="B26" t="s">
        <v>170</v>
      </c>
      <c r="C26" s="1">
        <v>46087</v>
      </c>
      <c r="D26" t="s">
        <v>222</v>
      </c>
      <c r="E26" t="s">
        <v>223</v>
      </c>
      <c r="F26" t="s">
        <v>296</v>
      </c>
      <c r="G26" t="s">
        <v>297</v>
      </c>
      <c r="H26">
        <v>154</v>
      </c>
      <c r="I26" t="s">
        <v>3283</v>
      </c>
      <c r="J26">
        <v>55177</v>
      </c>
      <c r="K26" t="s">
        <v>4494</v>
      </c>
      <c r="L26" t="s">
        <v>4510</v>
      </c>
      <c r="M26" t="s">
        <v>4229</v>
      </c>
      <c r="N26" t="s">
        <v>298</v>
      </c>
      <c r="O26" t="s">
        <v>299</v>
      </c>
      <c r="R26">
        <f>1</f>
        <v>1</v>
      </c>
      <c r="S26">
        <f>11.4</f>
        <v>11.4</v>
      </c>
      <c r="T26">
        <f>7.3</f>
        <v>7.3</v>
      </c>
      <c r="U26">
        <f>610</f>
        <v>610</v>
      </c>
      <c r="V26">
        <f>0.33</f>
        <v>0.33</v>
      </c>
      <c r="X26">
        <f>1</f>
        <v>1</v>
      </c>
      <c r="Y26">
        <f>0.65</f>
        <v>0.65</v>
      </c>
      <c r="Z26">
        <f>0</f>
        <v>0</v>
      </c>
      <c r="AA26" t="s">
        <v>179</v>
      </c>
      <c r="AB26" t="s">
        <v>179</v>
      </c>
      <c r="AC26">
        <f>0</f>
        <v>0</v>
      </c>
      <c r="AD26">
        <f>0</f>
        <v>0</v>
      </c>
      <c r="AE26">
        <f>0</f>
        <v>0</v>
      </c>
      <c r="AG26" t="s">
        <v>180</v>
      </c>
      <c r="BQ26" t="s">
        <v>300</v>
      </c>
    </row>
    <row r="27" spans="1:69" x14ac:dyDescent="0.25">
      <c r="A27" t="s">
        <v>301</v>
      </c>
      <c r="B27" t="s">
        <v>170</v>
      </c>
      <c r="C27" s="1">
        <v>46084</v>
      </c>
      <c r="D27" t="s">
        <v>302</v>
      </c>
      <c r="E27" t="s">
        <v>303</v>
      </c>
      <c r="F27" t="s">
        <v>304</v>
      </c>
      <c r="G27" t="s">
        <v>305</v>
      </c>
      <c r="H27">
        <v>782</v>
      </c>
      <c r="I27" t="s">
        <v>306</v>
      </c>
      <c r="J27">
        <v>28100</v>
      </c>
      <c r="K27" t="s">
        <v>4492</v>
      </c>
      <c r="L27" t="s">
        <v>271</v>
      </c>
      <c r="M27" t="s">
        <v>3838</v>
      </c>
      <c r="N27" t="s">
        <v>307</v>
      </c>
      <c r="O27" t="s">
        <v>308</v>
      </c>
      <c r="R27">
        <f>1</f>
        <v>1</v>
      </c>
      <c r="S27">
        <f>15.9</f>
        <v>15.9</v>
      </c>
      <c r="T27">
        <f>7.5</f>
        <v>7.5</v>
      </c>
      <c r="U27">
        <f>508</f>
        <v>508</v>
      </c>
      <c r="X27">
        <f>0</f>
        <v>0</v>
      </c>
      <c r="Y27" t="s">
        <v>180</v>
      </c>
      <c r="Z27">
        <f>0</f>
        <v>0</v>
      </c>
      <c r="AA27" t="s">
        <v>179</v>
      </c>
      <c r="AB27" t="s">
        <v>179</v>
      </c>
      <c r="AD27">
        <f>0</f>
        <v>0</v>
      </c>
      <c r="AE27">
        <f>0</f>
        <v>0</v>
      </c>
      <c r="AG27" t="s">
        <v>180</v>
      </c>
    </row>
    <row r="28" spans="1:69" x14ac:dyDescent="0.25">
      <c r="A28" t="s">
        <v>309</v>
      </c>
      <c r="B28" t="s">
        <v>170</v>
      </c>
      <c r="C28" s="1">
        <v>46079</v>
      </c>
      <c r="D28" t="s">
        <v>302</v>
      </c>
      <c r="E28" t="s">
        <v>303</v>
      </c>
      <c r="F28" t="s">
        <v>310</v>
      </c>
      <c r="G28" t="s">
        <v>311</v>
      </c>
      <c r="H28">
        <v>799</v>
      </c>
      <c r="I28" t="s">
        <v>3284</v>
      </c>
      <c r="J28">
        <v>84503</v>
      </c>
      <c r="K28" t="s">
        <v>4492</v>
      </c>
      <c r="L28" t="s">
        <v>271</v>
      </c>
      <c r="M28" t="s">
        <v>312</v>
      </c>
      <c r="N28" t="s">
        <v>313</v>
      </c>
      <c r="O28" t="s">
        <v>314</v>
      </c>
      <c r="R28">
        <f>1</f>
        <v>1</v>
      </c>
      <c r="S28">
        <f>11.9</f>
        <v>11.9</v>
      </c>
      <c r="T28">
        <f>7.4</f>
        <v>7.4</v>
      </c>
      <c r="U28">
        <f>499</f>
        <v>499</v>
      </c>
      <c r="X28">
        <f>0</f>
        <v>0</v>
      </c>
      <c r="Y28" t="s">
        <v>180</v>
      </c>
      <c r="Z28">
        <f>0</f>
        <v>0</v>
      </c>
      <c r="AA28" t="s">
        <v>179</v>
      </c>
      <c r="AB28" t="s">
        <v>179</v>
      </c>
      <c r="AD28">
        <f>0</f>
        <v>0</v>
      </c>
      <c r="AE28">
        <f>0</f>
        <v>0</v>
      </c>
      <c r="AG28" t="s">
        <v>180</v>
      </c>
    </row>
    <row r="29" spans="1:69" x14ac:dyDescent="0.25">
      <c r="A29" t="s">
        <v>315</v>
      </c>
      <c r="B29" t="s">
        <v>170</v>
      </c>
      <c r="C29" s="1">
        <v>46085</v>
      </c>
      <c r="D29" t="s">
        <v>302</v>
      </c>
      <c r="E29" t="s">
        <v>303</v>
      </c>
      <c r="F29" t="s">
        <v>310</v>
      </c>
      <c r="G29" t="s">
        <v>311</v>
      </c>
      <c r="H29">
        <v>799</v>
      </c>
      <c r="I29" t="s">
        <v>3284</v>
      </c>
      <c r="J29">
        <v>84503</v>
      </c>
      <c r="K29" t="s">
        <v>4492</v>
      </c>
      <c r="L29" t="s">
        <v>271</v>
      </c>
      <c r="M29" t="s">
        <v>4230</v>
      </c>
      <c r="N29" t="s">
        <v>316</v>
      </c>
      <c r="O29" t="s">
        <v>317</v>
      </c>
      <c r="R29">
        <f>1</f>
        <v>1</v>
      </c>
      <c r="S29">
        <f>11</f>
        <v>11</v>
      </c>
      <c r="T29">
        <f>7.4</f>
        <v>7.4</v>
      </c>
      <c r="U29">
        <f>448</f>
        <v>448</v>
      </c>
      <c r="X29">
        <f>0</f>
        <v>0</v>
      </c>
      <c r="Y29" t="s">
        <v>180</v>
      </c>
      <c r="Z29">
        <f>0</f>
        <v>0</v>
      </c>
      <c r="AA29" t="s">
        <v>179</v>
      </c>
      <c r="AB29" t="s">
        <v>179</v>
      </c>
      <c r="AD29">
        <f>0</f>
        <v>0</v>
      </c>
      <c r="AE29">
        <f>0</f>
        <v>0</v>
      </c>
      <c r="AG29" t="s">
        <v>180</v>
      </c>
    </row>
    <row r="30" spans="1:69" x14ac:dyDescent="0.25">
      <c r="A30" t="s">
        <v>318</v>
      </c>
      <c r="B30" t="s">
        <v>170</v>
      </c>
      <c r="C30" s="1">
        <v>46077</v>
      </c>
      <c r="D30" t="s">
        <v>302</v>
      </c>
      <c r="E30" t="s">
        <v>303</v>
      </c>
      <c r="F30" t="s">
        <v>310</v>
      </c>
      <c r="G30" t="s">
        <v>311</v>
      </c>
      <c r="H30">
        <v>799</v>
      </c>
      <c r="I30" t="s">
        <v>3284</v>
      </c>
      <c r="J30">
        <v>84503</v>
      </c>
      <c r="K30" t="s">
        <v>4492</v>
      </c>
      <c r="L30" t="s">
        <v>271</v>
      </c>
      <c r="M30" t="s">
        <v>319</v>
      </c>
      <c r="N30" t="s">
        <v>320</v>
      </c>
      <c r="O30" t="s">
        <v>321</v>
      </c>
      <c r="R30">
        <f>1</f>
        <v>1</v>
      </c>
      <c r="S30">
        <f>10.7</f>
        <v>10.7</v>
      </c>
      <c r="T30">
        <f>7.6</f>
        <v>7.6</v>
      </c>
      <c r="U30">
        <f>452</f>
        <v>452</v>
      </c>
      <c r="X30">
        <f>0</f>
        <v>0</v>
      </c>
      <c r="Y30" t="s">
        <v>180</v>
      </c>
      <c r="Z30">
        <f>0</f>
        <v>0</v>
      </c>
      <c r="AA30" t="s">
        <v>179</v>
      </c>
      <c r="AB30" t="s">
        <v>179</v>
      </c>
      <c r="AD30">
        <f>0</f>
        <v>0</v>
      </c>
      <c r="AE30">
        <f>0</f>
        <v>0</v>
      </c>
      <c r="AG30" t="s">
        <v>180</v>
      </c>
    </row>
    <row r="31" spans="1:69" x14ac:dyDescent="0.25">
      <c r="A31" t="s">
        <v>322</v>
      </c>
      <c r="B31" t="s">
        <v>170</v>
      </c>
      <c r="C31" s="1">
        <v>46084</v>
      </c>
      <c r="D31" t="s">
        <v>302</v>
      </c>
      <c r="E31" t="s">
        <v>303</v>
      </c>
      <c r="F31" t="s">
        <v>310</v>
      </c>
      <c r="G31" t="s">
        <v>311</v>
      </c>
      <c r="H31">
        <v>799</v>
      </c>
      <c r="I31" t="s">
        <v>3284</v>
      </c>
      <c r="J31">
        <v>84503</v>
      </c>
      <c r="K31" t="s">
        <v>4492</v>
      </c>
      <c r="L31" t="s">
        <v>271</v>
      </c>
      <c r="M31" t="s">
        <v>3839</v>
      </c>
      <c r="N31" t="s">
        <v>4511</v>
      </c>
      <c r="O31" t="s">
        <v>323</v>
      </c>
      <c r="R31">
        <f>1</f>
        <v>1</v>
      </c>
      <c r="S31">
        <f>11.1</f>
        <v>11.1</v>
      </c>
      <c r="T31">
        <f>7.4</f>
        <v>7.4</v>
      </c>
      <c r="U31">
        <f>362</f>
        <v>362</v>
      </c>
      <c r="X31">
        <f>0</f>
        <v>0</v>
      </c>
      <c r="Y31" t="s">
        <v>180</v>
      </c>
      <c r="Z31">
        <f>0</f>
        <v>0</v>
      </c>
      <c r="AA31" t="s">
        <v>179</v>
      </c>
      <c r="AB31" t="s">
        <v>179</v>
      </c>
      <c r="AD31">
        <f>0</f>
        <v>0</v>
      </c>
      <c r="AE31">
        <f>0</f>
        <v>0</v>
      </c>
      <c r="AG31" t="s">
        <v>180</v>
      </c>
    </row>
    <row r="32" spans="1:69" x14ac:dyDescent="0.25">
      <c r="A32" t="s">
        <v>324</v>
      </c>
      <c r="B32" t="s">
        <v>170</v>
      </c>
      <c r="C32" s="1">
        <v>46135</v>
      </c>
      <c r="D32" t="s">
        <v>302</v>
      </c>
      <c r="E32" t="s">
        <v>303</v>
      </c>
      <c r="F32" t="s">
        <v>310</v>
      </c>
      <c r="G32" t="s">
        <v>311</v>
      </c>
      <c r="H32">
        <v>800</v>
      </c>
      <c r="I32" t="s">
        <v>4231</v>
      </c>
      <c r="J32">
        <v>27331</v>
      </c>
      <c r="K32" t="s">
        <v>4492</v>
      </c>
      <c r="L32" t="s">
        <v>325</v>
      </c>
      <c r="M32" t="s">
        <v>326</v>
      </c>
      <c r="N32" t="s">
        <v>3560</v>
      </c>
      <c r="O32" t="s">
        <v>327</v>
      </c>
      <c r="R32">
        <f>1</f>
        <v>1</v>
      </c>
      <c r="S32">
        <f>14</f>
        <v>14</v>
      </c>
      <c r="T32">
        <f>7.2</f>
        <v>7.2</v>
      </c>
      <c r="U32">
        <f>670</f>
        <v>670</v>
      </c>
      <c r="V32">
        <f>0.15</f>
        <v>0.15</v>
      </c>
      <c r="X32">
        <f>0</f>
        <v>0</v>
      </c>
      <c r="Y32" t="s">
        <v>180</v>
      </c>
      <c r="Z32">
        <f>0</f>
        <v>0</v>
      </c>
      <c r="AA32" t="s">
        <v>179</v>
      </c>
      <c r="AB32" t="s">
        <v>179</v>
      </c>
      <c r="AD32">
        <f>0</f>
        <v>0</v>
      </c>
      <c r="AE32">
        <f>0</f>
        <v>0</v>
      </c>
      <c r="AG32" t="s">
        <v>180</v>
      </c>
    </row>
    <row r="33" spans="1:171" x14ac:dyDescent="0.25">
      <c r="A33" t="s">
        <v>328</v>
      </c>
      <c r="B33" t="s">
        <v>170</v>
      </c>
      <c r="C33" s="1">
        <v>46087</v>
      </c>
      <c r="D33" t="s">
        <v>302</v>
      </c>
      <c r="E33" t="s">
        <v>303</v>
      </c>
      <c r="F33" t="s">
        <v>310</v>
      </c>
      <c r="G33" t="s">
        <v>311</v>
      </c>
      <c r="H33">
        <v>800</v>
      </c>
      <c r="I33" t="s">
        <v>4231</v>
      </c>
      <c r="J33">
        <v>27331</v>
      </c>
      <c r="K33" t="s">
        <v>4492</v>
      </c>
      <c r="L33" t="s">
        <v>325</v>
      </c>
      <c r="M33" t="s">
        <v>4232</v>
      </c>
      <c r="N33" t="s">
        <v>3840</v>
      </c>
      <c r="O33" t="s">
        <v>329</v>
      </c>
      <c r="R33">
        <f>1</f>
        <v>1</v>
      </c>
      <c r="S33">
        <f>11.1</f>
        <v>11.1</v>
      </c>
      <c r="T33">
        <f>7.3</f>
        <v>7.3</v>
      </c>
      <c r="U33">
        <f>575</f>
        <v>575</v>
      </c>
      <c r="V33">
        <f>0.14</f>
        <v>0.14000000000000001</v>
      </c>
      <c r="X33">
        <f>0</f>
        <v>0</v>
      </c>
      <c r="Y33" t="s">
        <v>180</v>
      </c>
      <c r="Z33">
        <f>0</f>
        <v>0</v>
      </c>
      <c r="AA33" t="s">
        <v>179</v>
      </c>
      <c r="AB33">
        <f>10</f>
        <v>10</v>
      </c>
      <c r="AD33">
        <f>0</f>
        <v>0</v>
      </c>
      <c r="AE33">
        <f>0</f>
        <v>0</v>
      </c>
      <c r="AG33" t="s">
        <v>180</v>
      </c>
    </row>
    <row r="34" spans="1:171" x14ac:dyDescent="0.25">
      <c r="A34" t="s">
        <v>330</v>
      </c>
      <c r="B34" t="s">
        <v>170</v>
      </c>
      <c r="C34" s="1">
        <v>46090</v>
      </c>
      <c r="D34" t="s">
        <v>302</v>
      </c>
      <c r="E34" t="s">
        <v>303</v>
      </c>
      <c r="F34" t="s">
        <v>310</v>
      </c>
      <c r="G34" t="s">
        <v>311</v>
      </c>
      <c r="H34">
        <v>803</v>
      </c>
      <c r="I34" t="s">
        <v>3285</v>
      </c>
      <c r="J34">
        <v>31048</v>
      </c>
      <c r="K34" t="s">
        <v>4492</v>
      </c>
      <c r="L34" t="s">
        <v>291</v>
      </c>
      <c r="M34" t="s">
        <v>331</v>
      </c>
      <c r="N34" t="s">
        <v>332</v>
      </c>
      <c r="O34" t="s">
        <v>333</v>
      </c>
      <c r="R34">
        <f>1</f>
        <v>1</v>
      </c>
      <c r="S34">
        <f>10.2</f>
        <v>10.199999999999999</v>
      </c>
      <c r="T34">
        <f>7.6</f>
        <v>7.6</v>
      </c>
      <c r="U34">
        <f>465</f>
        <v>465</v>
      </c>
      <c r="X34">
        <f>0</f>
        <v>0</v>
      </c>
      <c r="Y34" t="s">
        <v>180</v>
      </c>
      <c r="Z34">
        <f>0</f>
        <v>0</v>
      </c>
      <c r="AA34" t="s">
        <v>179</v>
      </c>
      <c r="AB34" t="s">
        <v>179</v>
      </c>
      <c r="AD34">
        <f>0</f>
        <v>0</v>
      </c>
      <c r="AE34">
        <f>0</f>
        <v>0</v>
      </c>
      <c r="AG34" t="s">
        <v>180</v>
      </c>
    </row>
    <row r="35" spans="1:171" x14ac:dyDescent="0.25">
      <c r="A35" t="s">
        <v>334</v>
      </c>
      <c r="B35" t="s">
        <v>170</v>
      </c>
      <c r="C35" s="1">
        <v>46128</v>
      </c>
      <c r="D35" t="s">
        <v>216</v>
      </c>
      <c r="E35" t="s">
        <v>217</v>
      </c>
      <c r="F35" t="s">
        <v>3555</v>
      </c>
      <c r="G35" t="s">
        <v>4512</v>
      </c>
      <c r="H35">
        <v>1471</v>
      </c>
      <c r="I35" t="s">
        <v>4512</v>
      </c>
      <c r="J35">
        <v>14988</v>
      </c>
      <c r="K35" t="s">
        <v>4494</v>
      </c>
      <c r="L35" t="s">
        <v>197</v>
      </c>
      <c r="M35" t="s">
        <v>4513</v>
      </c>
      <c r="N35" t="s">
        <v>4514</v>
      </c>
      <c r="O35" t="s">
        <v>335</v>
      </c>
      <c r="Q35" t="s">
        <v>3470</v>
      </c>
      <c r="R35">
        <f>1</f>
        <v>1</v>
      </c>
      <c r="S35">
        <f>12.1</f>
        <v>12.1</v>
      </c>
      <c r="T35">
        <f>8.3</f>
        <v>8.3000000000000007</v>
      </c>
      <c r="U35">
        <f>217</f>
        <v>217</v>
      </c>
      <c r="X35">
        <f>1</f>
        <v>1</v>
      </c>
      <c r="Y35">
        <f>0.09</f>
        <v>0.09</v>
      </c>
      <c r="Z35">
        <f>0</f>
        <v>0</v>
      </c>
      <c r="AA35">
        <f>1</f>
        <v>1</v>
      </c>
      <c r="AB35">
        <f>3</f>
        <v>3</v>
      </c>
      <c r="AC35">
        <f>0</f>
        <v>0</v>
      </c>
      <c r="AD35">
        <f>0</f>
        <v>0</v>
      </c>
      <c r="AE35">
        <f>0</f>
        <v>0</v>
      </c>
      <c r="AG35" t="s">
        <v>220</v>
      </c>
      <c r="AH35">
        <f>0.31</f>
        <v>0.31</v>
      </c>
      <c r="AK35" t="s">
        <v>285</v>
      </c>
      <c r="AL35" t="s">
        <v>181</v>
      </c>
      <c r="AM35">
        <f>4.2</f>
        <v>4.2</v>
      </c>
      <c r="AN35">
        <f>0.08</f>
        <v>0.08</v>
      </c>
      <c r="AO35">
        <f>2</f>
        <v>2</v>
      </c>
      <c r="AP35">
        <f>2.2</f>
        <v>2.2000000000000002</v>
      </c>
      <c r="AQ35" t="s">
        <v>284</v>
      </c>
      <c r="AR35">
        <f>1.2</f>
        <v>1.2</v>
      </c>
      <c r="AS35" t="s">
        <v>336</v>
      </c>
      <c r="AT35" t="s">
        <v>336</v>
      </c>
      <c r="AX35" t="s">
        <v>336</v>
      </c>
      <c r="AY35" t="s">
        <v>336</v>
      </c>
      <c r="AZ35" t="s">
        <v>336</v>
      </c>
      <c r="BA35" t="s">
        <v>336</v>
      </c>
      <c r="BB35" t="s">
        <v>336</v>
      </c>
      <c r="BC35" t="s">
        <v>336</v>
      </c>
      <c r="BD35" t="s">
        <v>336</v>
      </c>
      <c r="BE35" t="s">
        <v>336</v>
      </c>
      <c r="BF35" t="s">
        <v>336</v>
      </c>
      <c r="BG35" t="s">
        <v>336</v>
      </c>
      <c r="BH35" t="s">
        <v>336</v>
      </c>
      <c r="BI35" t="s">
        <v>336</v>
      </c>
      <c r="BJ35" t="s">
        <v>336</v>
      </c>
      <c r="BK35" t="s">
        <v>336</v>
      </c>
      <c r="BL35" t="s">
        <v>336</v>
      </c>
      <c r="BM35" t="s">
        <v>336</v>
      </c>
      <c r="BN35" t="s">
        <v>336</v>
      </c>
      <c r="BO35" t="s">
        <v>336</v>
      </c>
      <c r="BP35" t="s">
        <v>243</v>
      </c>
      <c r="BR35" t="s">
        <v>180</v>
      </c>
      <c r="BS35" t="s">
        <v>337</v>
      </c>
      <c r="BT35">
        <f>0.0018</f>
        <v>1.8E-3</v>
      </c>
      <c r="BU35">
        <f>3.5</f>
        <v>3.5</v>
      </c>
      <c r="BV35" t="s">
        <v>192</v>
      </c>
      <c r="BW35" t="s">
        <v>180</v>
      </c>
      <c r="BX35">
        <f>0.0015</f>
        <v>1.5E-3</v>
      </c>
      <c r="BY35" t="s">
        <v>285</v>
      </c>
      <c r="BZ35" t="s">
        <v>338</v>
      </c>
      <c r="CA35" t="s">
        <v>180</v>
      </c>
      <c r="CB35">
        <f>0.1</f>
        <v>0.1</v>
      </c>
      <c r="CE35">
        <f>0.19</f>
        <v>0.19</v>
      </c>
      <c r="FJ35" t="s">
        <v>339</v>
      </c>
      <c r="FK35" t="s">
        <v>339</v>
      </c>
      <c r="FL35" t="s">
        <v>339</v>
      </c>
      <c r="FM35" t="s">
        <v>339</v>
      </c>
      <c r="FN35" t="s">
        <v>339</v>
      </c>
      <c r="FO35" t="s">
        <v>339</v>
      </c>
    </row>
    <row r="36" spans="1:171" x14ac:dyDescent="0.25">
      <c r="A36" t="s">
        <v>340</v>
      </c>
      <c r="B36" t="s">
        <v>170</v>
      </c>
      <c r="C36" s="1">
        <v>46083</v>
      </c>
      <c r="D36" t="s">
        <v>302</v>
      </c>
      <c r="E36" t="s">
        <v>303</v>
      </c>
      <c r="F36" t="s">
        <v>310</v>
      </c>
      <c r="G36" t="s">
        <v>311</v>
      </c>
      <c r="H36">
        <v>799</v>
      </c>
      <c r="I36" t="s">
        <v>3284</v>
      </c>
      <c r="J36">
        <v>84503</v>
      </c>
      <c r="K36" t="s">
        <v>4492</v>
      </c>
      <c r="L36" t="s">
        <v>271</v>
      </c>
      <c r="M36" t="s">
        <v>4233</v>
      </c>
      <c r="N36" t="s">
        <v>4515</v>
      </c>
      <c r="O36" t="s">
        <v>341</v>
      </c>
      <c r="R36">
        <f>1</f>
        <v>1</v>
      </c>
      <c r="S36">
        <f>10.5</f>
        <v>10.5</v>
      </c>
      <c r="T36">
        <f>7.5</f>
        <v>7.5</v>
      </c>
      <c r="U36">
        <f>460</f>
        <v>460</v>
      </c>
      <c r="X36">
        <f>0</f>
        <v>0</v>
      </c>
      <c r="Y36" t="s">
        <v>180</v>
      </c>
      <c r="Z36">
        <f>0</f>
        <v>0</v>
      </c>
      <c r="AA36" t="s">
        <v>179</v>
      </c>
      <c r="AB36" t="s">
        <v>179</v>
      </c>
      <c r="AD36">
        <f>0</f>
        <v>0</v>
      </c>
      <c r="AE36">
        <f>0</f>
        <v>0</v>
      </c>
      <c r="AG36" t="s">
        <v>180</v>
      </c>
    </row>
    <row r="37" spans="1:171" x14ac:dyDescent="0.25">
      <c r="A37" t="s">
        <v>342</v>
      </c>
      <c r="B37" t="s">
        <v>170</v>
      </c>
      <c r="C37" s="1">
        <v>46114</v>
      </c>
      <c r="D37" t="s">
        <v>302</v>
      </c>
      <c r="E37" t="s">
        <v>303</v>
      </c>
      <c r="F37" t="s">
        <v>310</v>
      </c>
      <c r="G37" t="s">
        <v>311</v>
      </c>
      <c r="H37">
        <v>799</v>
      </c>
      <c r="I37" t="s">
        <v>3284</v>
      </c>
      <c r="J37">
        <v>84503</v>
      </c>
      <c r="K37" t="s">
        <v>4492</v>
      </c>
      <c r="L37" t="s">
        <v>271</v>
      </c>
      <c r="M37" t="s">
        <v>343</v>
      </c>
      <c r="N37" t="s">
        <v>4516</v>
      </c>
      <c r="O37" t="s">
        <v>344</v>
      </c>
      <c r="R37">
        <f>1</f>
        <v>1</v>
      </c>
      <c r="S37">
        <f>11.4</f>
        <v>11.4</v>
      </c>
      <c r="T37">
        <f>7.4</f>
        <v>7.4</v>
      </c>
      <c r="U37">
        <f>535</f>
        <v>535</v>
      </c>
      <c r="X37">
        <f>0</f>
        <v>0</v>
      </c>
      <c r="Y37" t="s">
        <v>180</v>
      </c>
      <c r="Z37">
        <f>0</f>
        <v>0</v>
      </c>
      <c r="AA37" t="s">
        <v>179</v>
      </c>
      <c r="AB37" t="s">
        <v>179</v>
      </c>
      <c r="AD37">
        <f>0</f>
        <v>0</v>
      </c>
      <c r="AE37">
        <f>0</f>
        <v>0</v>
      </c>
      <c r="AG37" t="s">
        <v>180</v>
      </c>
    </row>
    <row r="38" spans="1:171" x14ac:dyDescent="0.25">
      <c r="A38" t="s">
        <v>345</v>
      </c>
      <c r="B38" t="s">
        <v>170</v>
      </c>
      <c r="C38" s="1">
        <v>46114</v>
      </c>
      <c r="D38" t="s">
        <v>302</v>
      </c>
      <c r="E38" t="s">
        <v>303</v>
      </c>
      <c r="F38" t="s">
        <v>310</v>
      </c>
      <c r="G38" t="s">
        <v>311</v>
      </c>
      <c r="H38">
        <v>799</v>
      </c>
      <c r="I38" t="s">
        <v>3284</v>
      </c>
      <c r="J38">
        <v>84503</v>
      </c>
      <c r="K38" t="s">
        <v>4492</v>
      </c>
      <c r="L38" t="s">
        <v>271</v>
      </c>
      <c r="M38" t="s">
        <v>346</v>
      </c>
      <c r="N38" t="s">
        <v>347</v>
      </c>
      <c r="O38" t="s">
        <v>348</v>
      </c>
      <c r="R38">
        <f>1</f>
        <v>1</v>
      </c>
      <c r="S38">
        <f>12.1</f>
        <v>12.1</v>
      </c>
      <c r="T38">
        <f>7.5</f>
        <v>7.5</v>
      </c>
      <c r="U38">
        <f>465</f>
        <v>465</v>
      </c>
      <c r="X38">
        <f>0</f>
        <v>0</v>
      </c>
      <c r="Y38" t="s">
        <v>180</v>
      </c>
      <c r="Z38">
        <f>0</f>
        <v>0</v>
      </c>
      <c r="AA38" t="s">
        <v>179</v>
      </c>
      <c r="AB38" t="s">
        <v>179</v>
      </c>
      <c r="AD38">
        <f>0</f>
        <v>0</v>
      </c>
      <c r="AE38">
        <f>0</f>
        <v>0</v>
      </c>
      <c r="AG38" t="s">
        <v>180</v>
      </c>
      <c r="AH38" t="s">
        <v>193</v>
      </c>
      <c r="AK38" t="s">
        <v>181</v>
      </c>
      <c r="AL38" t="s">
        <v>182</v>
      </c>
      <c r="AM38">
        <f>10</f>
        <v>10</v>
      </c>
      <c r="AN38">
        <f>0.2</f>
        <v>0.2</v>
      </c>
      <c r="AO38">
        <f>23</f>
        <v>23</v>
      </c>
      <c r="AP38">
        <f>17</f>
        <v>17</v>
      </c>
      <c r="AQ38">
        <f>0.13</f>
        <v>0.13</v>
      </c>
    </row>
    <row r="39" spans="1:171" x14ac:dyDescent="0.25">
      <c r="A39" t="s">
        <v>349</v>
      </c>
      <c r="B39" t="s">
        <v>170</v>
      </c>
      <c r="C39" s="1">
        <v>46120</v>
      </c>
      <c r="D39" t="s">
        <v>302</v>
      </c>
      <c r="E39" t="s">
        <v>303</v>
      </c>
      <c r="F39" t="s">
        <v>310</v>
      </c>
      <c r="G39" t="s">
        <v>311</v>
      </c>
      <c r="H39">
        <v>799</v>
      </c>
      <c r="I39" t="s">
        <v>3284</v>
      </c>
      <c r="J39">
        <v>84503</v>
      </c>
      <c r="K39" t="s">
        <v>4492</v>
      </c>
      <c r="L39" t="s">
        <v>271</v>
      </c>
      <c r="M39" t="s">
        <v>350</v>
      </c>
      <c r="N39" t="s">
        <v>3286</v>
      </c>
      <c r="O39" t="s">
        <v>348</v>
      </c>
      <c r="R39">
        <f>1</f>
        <v>1</v>
      </c>
      <c r="S39">
        <f>12.8</f>
        <v>12.8</v>
      </c>
      <c r="T39">
        <f>7.5</f>
        <v>7.5</v>
      </c>
      <c r="U39">
        <f>473</f>
        <v>473</v>
      </c>
      <c r="X39">
        <f>0</f>
        <v>0</v>
      </c>
      <c r="Y39" t="s">
        <v>180</v>
      </c>
      <c r="Z39">
        <f>0</f>
        <v>0</v>
      </c>
      <c r="AA39" t="s">
        <v>179</v>
      </c>
      <c r="AB39" t="s">
        <v>179</v>
      </c>
      <c r="AD39">
        <f>0</f>
        <v>0</v>
      </c>
      <c r="AE39">
        <f>0</f>
        <v>0</v>
      </c>
      <c r="AG39" t="s">
        <v>180</v>
      </c>
    </row>
    <row r="40" spans="1:171" x14ac:dyDescent="0.25">
      <c r="A40" t="s">
        <v>351</v>
      </c>
      <c r="B40" t="s">
        <v>170</v>
      </c>
      <c r="C40" s="1">
        <v>46094</v>
      </c>
      <c r="D40" t="s">
        <v>302</v>
      </c>
      <c r="E40" t="s">
        <v>303</v>
      </c>
      <c r="F40" t="s">
        <v>310</v>
      </c>
      <c r="G40" t="s">
        <v>311</v>
      </c>
      <c r="H40">
        <v>803</v>
      </c>
      <c r="I40" t="s">
        <v>3285</v>
      </c>
      <c r="J40">
        <v>31048</v>
      </c>
      <c r="K40" t="s">
        <v>4492</v>
      </c>
      <c r="L40" t="s">
        <v>291</v>
      </c>
      <c r="M40" t="s">
        <v>352</v>
      </c>
      <c r="N40" t="s">
        <v>3841</v>
      </c>
      <c r="O40" t="s">
        <v>353</v>
      </c>
      <c r="R40">
        <f>1</f>
        <v>1</v>
      </c>
      <c r="S40">
        <f>10.4</f>
        <v>10.4</v>
      </c>
      <c r="T40">
        <f>7.5</f>
        <v>7.5</v>
      </c>
      <c r="U40">
        <f>437</f>
        <v>437</v>
      </c>
      <c r="X40">
        <f>0</f>
        <v>0</v>
      </c>
      <c r="Y40" t="s">
        <v>180</v>
      </c>
      <c r="Z40">
        <f>0</f>
        <v>0</v>
      </c>
      <c r="AA40" t="s">
        <v>179</v>
      </c>
      <c r="AB40" t="s">
        <v>179</v>
      </c>
      <c r="AD40">
        <f>0</f>
        <v>0</v>
      </c>
      <c r="AE40">
        <f>0</f>
        <v>0</v>
      </c>
      <c r="AG40" t="s">
        <v>180</v>
      </c>
    </row>
    <row r="41" spans="1:171" x14ac:dyDescent="0.25">
      <c r="A41" t="s">
        <v>354</v>
      </c>
      <c r="B41" t="s">
        <v>170</v>
      </c>
      <c r="C41" s="1">
        <v>46093</v>
      </c>
      <c r="D41" t="s">
        <v>302</v>
      </c>
      <c r="E41" t="s">
        <v>303</v>
      </c>
      <c r="F41" t="s">
        <v>310</v>
      </c>
      <c r="G41" t="s">
        <v>311</v>
      </c>
      <c r="H41">
        <v>803</v>
      </c>
      <c r="I41" t="s">
        <v>3285</v>
      </c>
      <c r="J41">
        <v>31048</v>
      </c>
      <c r="K41" t="s">
        <v>4492</v>
      </c>
      <c r="L41" t="s">
        <v>291</v>
      </c>
      <c r="M41" t="s">
        <v>355</v>
      </c>
      <c r="N41" t="s">
        <v>356</v>
      </c>
      <c r="O41" t="s">
        <v>357</v>
      </c>
      <c r="R41">
        <f>1</f>
        <v>1</v>
      </c>
      <c r="S41">
        <f>12.5</f>
        <v>12.5</v>
      </c>
      <c r="T41">
        <f>7.7</f>
        <v>7.7</v>
      </c>
      <c r="U41">
        <f>462</f>
        <v>462</v>
      </c>
      <c r="X41">
        <f>0</f>
        <v>0</v>
      </c>
      <c r="Y41" t="s">
        <v>180</v>
      </c>
      <c r="Z41">
        <f>0</f>
        <v>0</v>
      </c>
      <c r="AA41" t="s">
        <v>179</v>
      </c>
      <c r="AB41" t="s">
        <v>179</v>
      </c>
      <c r="AD41">
        <f>0</f>
        <v>0</v>
      </c>
      <c r="AE41">
        <f>0</f>
        <v>0</v>
      </c>
      <c r="AG41" t="s">
        <v>180</v>
      </c>
    </row>
    <row r="42" spans="1:171" x14ac:dyDescent="0.25">
      <c r="A42" t="s">
        <v>358</v>
      </c>
      <c r="B42" t="s">
        <v>170</v>
      </c>
      <c r="C42" s="1">
        <v>46098</v>
      </c>
      <c r="D42" t="s">
        <v>251</v>
      </c>
      <c r="E42" t="s">
        <v>252</v>
      </c>
      <c r="F42" t="s">
        <v>3842</v>
      </c>
      <c r="G42" t="s">
        <v>4517</v>
      </c>
      <c r="H42">
        <v>68</v>
      </c>
      <c r="I42" t="s">
        <v>3843</v>
      </c>
      <c r="J42">
        <v>19573</v>
      </c>
      <c r="K42" t="s">
        <v>4492</v>
      </c>
      <c r="L42" t="s">
        <v>3561</v>
      </c>
      <c r="M42" t="s">
        <v>3844</v>
      </c>
      <c r="N42" t="s">
        <v>3845</v>
      </c>
      <c r="O42" t="s">
        <v>359</v>
      </c>
      <c r="Q42" t="s">
        <v>3471</v>
      </c>
      <c r="R42">
        <f>1</f>
        <v>1</v>
      </c>
      <c r="S42">
        <f>9.6</f>
        <v>9.6</v>
      </c>
      <c r="T42">
        <f>7.9</f>
        <v>7.9</v>
      </c>
      <c r="U42">
        <f>271</f>
        <v>271</v>
      </c>
      <c r="V42">
        <f>0.08</f>
        <v>0.08</v>
      </c>
      <c r="X42">
        <f>0</f>
        <v>0</v>
      </c>
      <c r="Y42">
        <f>0.47</f>
        <v>0.47</v>
      </c>
      <c r="Z42">
        <f>0</f>
        <v>0</v>
      </c>
      <c r="AA42">
        <f>0</f>
        <v>0</v>
      </c>
      <c r="AB42">
        <f>0</f>
        <v>0</v>
      </c>
      <c r="AD42">
        <f>0</f>
        <v>0</v>
      </c>
      <c r="AE42">
        <f>0</f>
        <v>0</v>
      </c>
      <c r="AG42" t="s">
        <v>180</v>
      </c>
    </row>
    <row r="43" spans="1:171" x14ac:dyDescent="0.25">
      <c r="A43" t="s">
        <v>360</v>
      </c>
      <c r="B43" t="s">
        <v>170</v>
      </c>
      <c r="C43" s="1">
        <v>46079</v>
      </c>
      <c r="D43" t="s">
        <v>251</v>
      </c>
      <c r="E43" t="s">
        <v>252</v>
      </c>
      <c r="F43" t="s">
        <v>361</v>
      </c>
      <c r="G43" t="s">
        <v>362</v>
      </c>
      <c r="H43">
        <v>821</v>
      </c>
      <c r="I43" t="s">
        <v>363</v>
      </c>
      <c r="J43">
        <v>9564</v>
      </c>
      <c r="K43" t="s">
        <v>4492</v>
      </c>
      <c r="L43" t="s">
        <v>271</v>
      </c>
      <c r="M43" t="s">
        <v>364</v>
      </c>
      <c r="N43" t="s">
        <v>365</v>
      </c>
      <c r="O43" t="s">
        <v>366</v>
      </c>
      <c r="Q43" t="s">
        <v>3472</v>
      </c>
      <c r="R43">
        <f>1</f>
        <v>1</v>
      </c>
      <c r="S43">
        <f>8.9</f>
        <v>8.9</v>
      </c>
      <c r="T43">
        <f>7.9</f>
        <v>7.9</v>
      </c>
      <c r="U43">
        <f>242</f>
        <v>242</v>
      </c>
      <c r="X43">
        <f>0</f>
        <v>0</v>
      </c>
      <c r="Y43">
        <f>0.11</f>
        <v>0.11</v>
      </c>
      <c r="Z43">
        <f>0</f>
        <v>0</v>
      </c>
      <c r="AA43">
        <f>0</f>
        <v>0</v>
      </c>
      <c r="AB43">
        <f>0</f>
        <v>0</v>
      </c>
      <c r="AD43">
        <f>0</f>
        <v>0</v>
      </c>
      <c r="AE43">
        <f>0</f>
        <v>0</v>
      </c>
      <c r="AG43" t="s">
        <v>180</v>
      </c>
    </row>
    <row r="44" spans="1:171" x14ac:dyDescent="0.25">
      <c r="A44" t="s">
        <v>367</v>
      </c>
      <c r="B44" t="s">
        <v>170</v>
      </c>
      <c r="C44" s="1">
        <v>46121</v>
      </c>
      <c r="D44" t="s">
        <v>216</v>
      </c>
      <c r="E44" t="s">
        <v>217</v>
      </c>
      <c r="F44" t="s">
        <v>368</v>
      </c>
      <c r="G44" t="s">
        <v>4234</v>
      </c>
      <c r="H44">
        <v>242</v>
      </c>
      <c r="I44" t="s">
        <v>4234</v>
      </c>
      <c r="J44">
        <v>5429</v>
      </c>
      <c r="K44" t="s">
        <v>4494</v>
      </c>
      <c r="L44" t="s">
        <v>369</v>
      </c>
      <c r="M44" t="s">
        <v>3287</v>
      </c>
      <c r="N44" t="s">
        <v>3288</v>
      </c>
      <c r="O44" t="s">
        <v>370</v>
      </c>
      <c r="R44">
        <f>1</f>
        <v>1</v>
      </c>
      <c r="S44">
        <f>12</f>
        <v>12</v>
      </c>
      <c r="T44">
        <f>8.4</f>
        <v>8.4</v>
      </c>
      <c r="U44">
        <f>163</f>
        <v>163</v>
      </c>
      <c r="V44">
        <f>0.09</f>
        <v>0.09</v>
      </c>
      <c r="X44">
        <f>1</f>
        <v>1</v>
      </c>
      <c r="Y44">
        <f>0.11</f>
        <v>0.11</v>
      </c>
      <c r="Z44">
        <f>0</f>
        <v>0</v>
      </c>
      <c r="AA44">
        <f>6</f>
        <v>6</v>
      </c>
      <c r="AB44">
        <f>2</f>
        <v>2</v>
      </c>
      <c r="AC44">
        <f>0</f>
        <v>0</v>
      </c>
      <c r="AD44">
        <f>0</f>
        <v>0</v>
      </c>
      <c r="AE44">
        <f>0</f>
        <v>0</v>
      </c>
      <c r="AG44" t="s">
        <v>220</v>
      </c>
    </row>
    <row r="45" spans="1:171" x14ac:dyDescent="0.25">
      <c r="A45" t="s">
        <v>371</v>
      </c>
      <c r="B45" t="s">
        <v>170</v>
      </c>
      <c r="C45" s="1">
        <v>46092</v>
      </c>
      <c r="D45" t="s">
        <v>222</v>
      </c>
      <c r="E45" t="s">
        <v>223</v>
      </c>
      <c r="F45" t="s">
        <v>4508</v>
      </c>
      <c r="G45" t="s">
        <v>4235</v>
      </c>
      <c r="H45">
        <v>1523</v>
      </c>
      <c r="I45" t="s">
        <v>4236</v>
      </c>
      <c r="J45">
        <v>15615</v>
      </c>
      <c r="K45" t="s">
        <v>4492</v>
      </c>
      <c r="L45" t="s">
        <v>291</v>
      </c>
      <c r="M45" t="s">
        <v>3846</v>
      </c>
      <c r="N45" t="s">
        <v>372</v>
      </c>
      <c r="O45" t="s">
        <v>373</v>
      </c>
      <c r="R45">
        <f>1</f>
        <v>1</v>
      </c>
      <c r="S45">
        <f>8.9</f>
        <v>8.9</v>
      </c>
      <c r="T45">
        <f>7.8</f>
        <v>7.8</v>
      </c>
      <c r="U45">
        <f>433</f>
        <v>433</v>
      </c>
      <c r="X45">
        <f>0</f>
        <v>0</v>
      </c>
      <c r="Y45">
        <f>0.22</f>
        <v>0.22</v>
      </c>
      <c r="Z45">
        <f>0</f>
        <v>0</v>
      </c>
      <c r="AA45" t="s">
        <v>179</v>
      </c>
      <c r="AB45" t="s">
        <v>179</v>
      </c>
      <c r="AD45">
        <f>0</f>
        <v>0</v>
      </c>
      <c r="AE45">
        <f>0</f>
        <v>0</v>
      </c>
      <c r="AG45" t="s">
        <v>180</v>
      </c>
    </row>
    <row r="46" spans="1:171" x14ac:dyDescent="0.25">
      <c r="A46" t="s">
        <v>374</v>
      </c>
      <c r="B46" t="s">
        <v>170</v>
      </c>
      <c r="C46" s="1">
        <v>46135</v>
      </c>
      <c r="D46" t="s">
        <v>238</v>
      </c>
      <c r="E46" t="s">
        <v>239</v>
      </c>
      <c r="F46" t="s">
        <v>240</v>
      </c>
      <c r="G46" t="s">
        <v>4237</v>
      </c>
      <c r="H46">
        <v>592</v>
      </c>
      <c r="I46" t="s">
        <v>4237</v>
      </c>
      <c r="J46">
        <v>13513</v>
      </c>
      <c r="K46" t="s">
        <v>4494</v>
      </c>
      <c r="L46" t="s">
        <v>3562</v>
      </c>
      <c r="M46" t="s">
        <v>375</v>
      </c>
      <c r="N46" t="s">
        <v>376</v>
      </c>
      <c r="O46" t="s">
        <v>377</v>
      </c>
      <c r="R46">
        <f>1</f>
        <v>1</v>
      </c>
      <c r="S46">
        <f>12.1</f>
        <v>12.1</v>
      </c>
      <c r="T46">
        <f>7.6</f>
        <v>7.6</v>
      </c>
      <c r="U46">
        <f>396</f>
        <v>396</v>
      </c>
      <c r="X46">
        <f>0</f>
        <v>0</v>
      </c>
      <c r="Y46" t="s">
        <v>180</v>
      </c>
      <c r="Z46">
        <f>0</f>
        <v>0</v>
      </c>
      <c r="AA46" t="s">
        <v>179</v>
      </c>
      <c r="AB46" t="s">
        <v>179</v>
      </c>
      <c r="AC46">
        <f>0</f>
        <v>0</v>
      </c>
      <c r="AD46">
        <f>0</f>
        <v>0</v>
      </c>
      <c r="AE46">
        <f>0</f>
        <v>0</v>
      </c>
      <c r="AG46" t="s">
        <v>220</v>
      </c>
    </row>
    <row r="47" spans="1:171" x14ac:dyDescent="0.25">
      <c r="A47" t="s">
        <v>378</v>
      </c>
      <c r="B47" t="s">
        <v>170</v>
      </c>
      <c r="C47" s="1">
        <v>46128</v>
      </c>
      <c r="D47" t="s">
        <v>171</v>
      </c>
      <c r="E47" t="s">
        <v>172</v>
      </c>
      <c r="F47" t="s">
        <v>173</v>
      </c>
      <c r="G47" t="s">
        <v>174</v>
      </c>
      <c r="H47">
        <v>10</v>
      </c>
      <c r="I47" t="s">
        <v>175</v>
      </c>
      <c r="J47">
        <v>41781</v>
      </c>
      <c r="K47" t="s">
        <v>4492</v>
      </c>
      <c r="L47" t="s">
        <v>176</v>
      </c>
      <c r="M47" t="s">
        <v>3847</v>
      </c>
      <c r="N47" t="s">
        <v>3289</v>
      </c>
      <c r="O47" t="s">
        <v>379</v>
      </c>
      <c r="R47">
        <f>1</f>
        <v>1</v>
      </c>
      <c r="S47">
        <f>10.8</f>
        <v>10.8</v>
      </c>
      <c r="T47">
        <f>7.2</f>
        <v>7.2</v>
      </c>
      <c r="U47">
        <f>540</f>
        <v>540</v>
      </c>
      <c r="X47">
        <f>0</f>
        <v>0</v>
      </c>
      <c r="Y47">
        <f>0.1</f>
        <v>0.1</v>
      </c>
      <c r="Z47">
        <f>0</f>
        <v>0</v>
      </c>
      <c r="AA47" t="s">
        <v>179</v>
      </c>
      <c r="AB47" t="s">
        <v>179</v>
      </c>
      <c r="AD47">
        <f>0</f>
        <v>0</v>
      </c>
      <c r="AE47">
        <f>0</f>
        <v>0</v>
      </c>
      <c r="AG47" t="s">
        <v>180</v>
      </c>
    </row>
    <row r="48" spans="1:171" x14ac:dyDescent="0.25">
      <c r="A48" t="s">
        <v>380</v>
      </c>
      <c r="B48" t="s">
        <v>170</v>
      </c>
      <c r="C48" s="1">
        <v>46087</v>
      </c>
      <c r="D48" t="s">
        <v>222</v>
      </c>
      <c r="E48" t="s">
        <v>223</v>
      </c>
      <c r="F48" t="s">
        <v>296</v>
      </c>
      <c r="G48" t="s">
        <v>297</v>
      </c>
      <c r="H48">
        <v>154</v>
      </c>
      <c r="I48" t="s">
        <v>3283</v>
      </c>
      <c r="J48">
        <v>55177</v>
      </c>
      <c r="K48" t="s">
        <v>4494</v>
      </c>
      <c r="L48" t="s">
        <v>4510</v>
      </c>
      <c r="M48" t="s">
        <v>381</v>
      </c>
      <c r="N48" t="s">
        <v>4518</v>
      </c>
      <c r="O48" t="s">
        <v>382</v>
      </c>
      <c r="R48">
        <f>1</f>
        <v>1</v>
      </c>
      <c r="S48">
        <f>11.1</f>
        <v>11.1</v>
      </c>
      <c r="T48">
        <f>7.8</f>
        <v>7.8</v>
      </c>
      <c r="U48">
        <f>441</f>
        <v>441</v>
      </c>
      <c r="V48">
        <f>0.3</f>
        <v>0.3</v>
      </c>
      <c r="X48">
        <f>1</f>
        <v>1</v>
      </c>
      <c r="Y48">
        <f>0.33</f>
        <v>0.33</v>
      </c>
      <c r="Z48">
        <f>0</f>
        <v>0</v>
      </c>
      <c r="AA48" t="s">
        <v>179</v>
      </c>
      <c r="AB48" t="s">
        <v>179</v>
      </c>
      <c r="AC48">
        <f>0</f>
        <v>0</v>
      </c>
      <c r="AD48">
        <f>0</f>
        <v>0</v>
      </c>
      <c r="AE48">
        <f>0</f>
        <v>0</v>
      </c>
      <c r="AG48" t="s">
        <v>180</v>
      </c>
      <c r="BQ48" t="s">
        <v>300</v>
      </c>
    </row>
    <row r="49" spans="1:171" x14ac:dyDescent="0.25">
      <c r="A49" t="s">
        <v>383</v>
      </c>
      <c r="B49" t="s">
        <v>170</v>
      </c>
      <c r="C49" s="1">
        <v>46077</v>
      </c>
      <c r="D49" t="s">
        <v>184</v>
      </c>
      <c r="E49" t="s">
        <v>185</v>
      </c>
      <c r="F49" t="s">
        <v>384</v>
      </c>
      <c r="G49" t="s">
        <v>385</v>
      </c>
      <c r="H49">
        <v>1701</v>
      </c>
      <c r="I49" t="s">
        <v>4238</v>
      </c>
      <c r="J49">
        <v>138695</v>
      </c>
      <c r="K49" t="s">
        <v>4492</v>
      </c>
      <c r="L49" t="s">
        <v>271</v>
      </c>
      <c r="M49" t="s">
        <v>386</v>
      </c>
      <c r="N49" t="s">
        <v>3563</v>
      </c>
      <c r="O49" t="s">
        <v>387</v>
      </c>
      <c r="R49">
        <f>1</f>
        <v>1</v>
      </c>
      <c r="S49">
        <f>16.4</f>
        <v>16.399999999999999</v>
      </c>
      <c r="T49">
        <f>7.4</f>
        <v>7.4</v>
      </c>
      <c r="U49">
        <f>461</f>
        <v>461</v>
      </c>
      <c r="X49">
        <f>0</f>
        <v>0</v>
      </c>
      <c r="Y49" t="s">
        <v>180</v>
      </c>
      <c r="Z49">
        <f>0</f>
        <v>0</v>
      </c>
      <c r="AA49" t="s">
        <v>179</v>
      </c>
      <c r="AB49" t="s">
        <v>179</v>
      </c>
      <c r="AD49">
        <f>0</f>
        <v>0</v>
      </c>
      <c r="AE49">
        <f>0</f>
        <v>0</v>
      </c>
      <c r="AG49" t="s">
        <v>180</v>
      </c>
    </row>
    <row r="50" spans="1:171" x14ac:dyDescent="0.25">
      <c r="A50" t="s">
        <v>388</v>
      </c>
      <c r="B50" t="s">
        <v>170</v>
      </c>
      <c r="C50" s="1">
        <v>46083</v>
      </c>
      <c r="D50" t="s">
        <v>184</v>
      </c>
      <c r="E50" t="s">
        <v>185</v>
      </c>
      <c r="F50" t="s">
        <v>384</v>
      </c>
      <c r="G50" t="s">
        <v>385</v>
      </c>
      <c r="H50">
        <v>1701</v>
      </c>
      <c r="I50" t="s">
        <v>4238</v>
      </c>
      <c r="J50">
        <v>138695</v>
      </c>
      <c r="K50" t="s">
        <v>4492</v>
      </c>
      <c r="L50" t="s">
        <v>271</v>
      </c>
      <c r="M50" t="s">
        <v>4519</v>
      </c>
      <c r="N50" t="s">
        <v>3290</v>
      </c>
      <c r="O50" t="s">
        <v>389</v>
      </c>
      <c r="R50">
        <f>1</f>
        <v>1</v>
      </c>
      <c r="S50">
        <f>11.7</f>
        <v>11.7</v>
      </c>
      <c r="T50">
        <f>7.5</f>
        <v>7.5</v>
      </c>
      <c r="U50">
        <f>446</f>
        <v>446</v>
      </c>
      <c r="X50">
        <f>0</f>
        <v>0</v>
      </c>
      <c r="Y50" t="s">
        <v>180</v>
      </c>
      <c r="Z50">
        <f>0</f>
        <v>0</v>
      </c>
      <c r="AA50" t="s">
        <v>179</v>
      </c>
      <c r="AB50" t="s">
        <v>179</v>
      </c>
      <c r="AD50">
        <f>0</f>
        <v>0</v>
      </c>
      <c r="AE50">
        <f>0</f>
        <v>0</v>
      </c>
      <c r="AG50" t="s">
        <v>180</v>
      </c>
    </row>
    <row r="51" spans="1:171" x14ac:dyDescent="0.25">
      <c r="A51" t="s">
        <v>390</v>
      </c>
      <c r="B51" t="s">
        <v>170</v>
      </c>
      <c r="C51" s="1">
        <v>46077</v>
      </c>
      <c r="D51" t="s">
        <v>184</v>
      </c>
      <c r="E51" t="s">
        <v>185</v>
      </c>
      <c r="F51" t="s">
        <v>384</v>
      </c>
      <c r="G51" t="s">
        <v>385</v>
      </c>
      <c r="H51">
        <v>1701</v>
      </c>
      <c r="I51" t="s">
        <v>4238</v>
      </c>
      <c r="J51">
        <v>138695</v>
      </c>
      <c r="K51" t="s">
        <v>4492</v>
      </c>
      <c r="L51" t="s">
        <v>271</v>
      </c>
      <c r="M51" t="s">
        <v>391</v>
      </c>
      <c r="N51" t="s">
        <v>392</v>
      </c>
      <c r="O51" t="s">
        <v>393</v>
      </c>
      <c r="R51">
        <f>1</f>
        <v>1</v>
      </c>
      <c r="S51">
        <f>10.8</f>
        <v>10.8</v>
      </c>
      <c r="T51">
        <f>7.6</f>
        <v>7.6</v>
      </c>
      <c r="U51">
        <f>453</f>
        <v>453</v>
      </c>
      <c r="X51">
        <f>0</f>
        <v>0</v>
      </c>
      <c r="Y51">
        <f>0.2</f>
        <v>0.2</v>
      </c>
      <c r="Z51">
        <f>0</f>
        <v>0</v>
      </c>
      <c r="AA51" t="s">
        <v>179</v>
      </c>
      <c r="AB51" t="s">
        <v>179</v>
      </c>
      <c r="AD51">
        <f>0</f>
        <v>0</v>
      </c>
      <c r="AE51">
        <f>0</f>
        <v>0</v>
      </c>
      <c r="AG51" t="s">
        <v>180</v>
      </c>
    </row>
    <row r="52" spans="1:171" x14ac:dyDescent="0.25">
      <c r="A52" t="s">
        <v>394</v>
      </c>
      <c r="B52" t="s">
        <v>170</v>
      </c>
      <c r="C52" s="1">
        <v>46092</v>
      </c>
      <c r="D52" t="s">
        <v>184</v>
      </c>
      <c r="E52" t="s">
        <v>185</v>
      </c>
      <c r="F52" t="s">
        <v>384</v>
      </c>
      <c r="G52" t="s">
        <v>385</v>
      </c>
      <c r="H52">
        <v>1701</v>
      </c>
      <c r="I52" t="s">
        <v>4238</v>
      </c>
      <c r="J52">
        <v>138695</v>
      </c>
      <c r="K52" t="s">
        <v>4492</v>
      </c>
      <c r="L52" t="s">
        <v>271</v>
      </c>
      <c r="M52" t="s">
        <v>3564</v>
      </c>
      <c r="N52" t="s">
        <v>3291</v>
      </c>
      <c r="O52" t="s">
        <v>395</v>
      </c>
      <c r="R52">
        <f>1</f>
        <v>1</v>
      </c>
      <c r="S52">
        <f>9.4</f>
        <v>9.4</v>
      </c>
      <c r="T52">
        <f>7.3</f>
        <v>7.3</v>
      </c>
      <c r="U52">
        <f>413</f>
        <v>413</v>
      </c>
      <c r="X52">
        <f>0</f>
        <v>0</v>
      </c>
      <c r="Y52" t="s">
        <v>180</v>
      </c>
      <c r="Z52">
        <f>0</f>
        <v>0</v>
      </c>
      <c r="AA52" t="s">
        <v>179</v>
      </c>
      <c r="AB52" t="s">
        <v>179</v>
      </c>
      <c r="AD52">
        <f>0</f>
        <v>0</v>
      </c>
      <c r="AE52">
        <f>0</f>
        <v>0</v>
      </c>
      <c r="AG52" t="s">
        <v>180</v>
      </c>
    </row>
    <row r="53" spans="1:171" x14ac:dyDescent="0.25">
      <c r="A53" t="s">
        <v>396</v>
      </c>
      <c r="B53" t="s">
        <v>170</v>
      </c>
      <c r="C53" s="1">
        <v>46083</v>
      </c>
      <c r="D53" t="s">
        <v>184</v>
      </c>
      <c r="E53" t="s">
        <v>185</v>
      </c>
      <c r="F53" t="s">
        <v>384</v>
      </c>
      <c r="G53" t="s">
        <v>385</v>
      </c>
      <c r="H53">
        <v>1701</v>
      </c>
      <c r="I53" t="s">
        <v>4238</v>
      </c>
      <c r="J53">
        <v>138695</v>
      </c>
      <c r="K53" t="s">
        <v>4492</v>
      </c>
      <c r="L53" t="s">
        <v>271</v>
      </c>
      <c r="M53" t="s">
        <v>3848</v>
      </c>
      <c r="N53" t="s">
        <v>397</v>
      </c>
      <c r="O53" t="s">
        <v>398</v>
      </c>
      <c r="R53">
        <f>1</f>
        <v>1</v>
      </c>
      <c r="S53">
        <f>12.5</f>
        <v>12.5</v>
      </c>
      <c r="T53">
        <f>7.4</f>
        <v>7.4</v>
      </c>
      <c r="U53">
        <f>448</f>
        <v>448</v>
      </c>
      <c r="X53">
        <f>0</f>
        <v>0</v>
      </c>
      <c r="Y53" t="s">
        <v>180</v>
      </c>
      <c r="Z53">
        <f>0</f>
        <v>0</v>
      </c>
      <c r="AA53" t="s">
        <v>179</v>
      </c>
      <c r="AB53" t="s">
        <v>179</v>
      </c>
      <c r="AD53">
        <f>0</f>
        <v>0</v>
      </c>
      <c r="AE53">
        <f>0</f>
        <v>0</v>
      </c>
      <c r="AG53" t="s">
        <v>180</v>
      </c>
    </row>
    <row r="54" spans="1:171" x14ac:dyDescent="0.25">
      <c r="A54" t="s">
        <v>399</v>
      </c>
      <c r="B54" t="s">
        <v>170</v>
      </c>
      <c r="C54" s="1">
        <v>46083</v>
      </c>
      <c r="D54" t="s">
        <v>184</v>
      </c>
      <c r="E54" t="s">
        <v>185</v>
      </c>
      <c r="F54" t="s">
        <v>384</v>
      </c>
      <c r="G54" t="s">
        <v>385</v>
      </c>
      <c r="H54">
        <v>1702</v>
      </c>
      <c r="I54" t="s">
        <v>3849</v>
      </c>
      <c r="J54">
        <v>37633</v>
      </c>
      <c r="K54" t="s">
        <v>4492</v>
      </c>
      <c r="L54" t="s">
        <v>271</v>
      </c>
      <c r="M54" t="s">
        <v>3850</v>
      </c>
      <c r="N54" t="s">
        <v>3292</v>
      </c>
      <c r="O54" t="s">
        <v>400</v>
      </c>
      <c r="R54">
        <f>1</f>
        <v>1</v>
      </c>
      <c r="S54">
        <f>9.6</f>
        <v>9.6</v>
      </c>
      <c r="T54">
        <f>7.5</f>
        <v>7.5</v>
      </c>
      <c r="U54">
        <f>481</f>
        <v>481</v>
      </c>
      <c r="X54">
        <f>0</f>
        <v>0</v>
      </c>
      <c r="Y54" t="s">
        <v>180</v>
      </c>
      <c r="Z54">
        <f>0</f>
        <v>0</v>
      </c>
      <c r="AA54" t="s">
        <v>179</v>
      </c>
      <c r="AB54" t="s">
        <v>179</v>
      </c>
      <c r="AD54">
        <f>0</f>
        <v>0</v>
      </c>
      <c r="AE54">
        <f>0</f>
        <v>0</v>
      </c>
      <c r="AG54" t="s">
        <v>180</v>
      </c>
    </row>
    <row r="55" spans="1:171" x14ac:dyDescent="0.25">
      <c r="A55" t="s">
        <v>401</v>
      </c>
      <c r="B55" t="s">
        <v>170</v>
      </c>
      <c r="C55" s="1">
        <v>46092</v>
      </c>
      <c r="D55" t="s">
        <v>184</v>
      </c>
      <c r="E55" t="s">
        <v>185</v>
      </c>
      <c r="F55" t="s">
        <v>384</v>
      </c>
      <c r="G55" t="s">
        <v>385</v>
      </c>
      <c r="H55">
        <v>1702</v>
      </c>
      <c r="I55" t="s">
        <v>3849</v>
      </c>
      <c r="J55">
        <v>37633</v>
      </c>
      <c r="K55" t="s">
        <v>4492</v>
      </c>
      <c r="L55" t="s">
        <v>271</v>
      </c>
      <c r="M55" t="s">
        <v>3851</v>
      </c>
      <c r="N55" t="s">
        <v>402</v>
      </c>
      <c r="O55" t="s">
        <v>403</v>
      </c>
      <c r="R55">
        <f>1</f>
        <v>1</v>
      </c>
      <c r="S55">
        <f>11.2</f>
        <v>11.2</v>
      </c>
      <c r="T55">
        <f>7.2</f>
        <v>7.2</v>
      </c>
      <c r="U55">
        <f>480</f>
        <v>480</v>
      </c>
      <c r="X55">
        <f>0</f>
        <v>0</v>
      </c>
      <c r="Y55" t="s">
        <v>180</v>
      </c>
      <c r="Z55">
        <f>0</f>
        <v>0</v>
      </c>
      <c r="AA55" t="s">
        <v>179</v>
      </c>
      <c r="AB55" t="s">
        <v>179</v>
      </c>
      <c r="AD55">
        <f>0</f>
        <v>0</v>
      </c>
      <c r="AE55">
        <f>0</f>
        <v>0</v>
      </c>
      <c r="AG55" t="s">
        <v>180</v>
      </c>
    </row>
    <row r="56" spans="1:171" x14ac:dyDescent="0.25">
      <c r="A56" t="s">
        <v>404</v>
      </c>
      <c r="B56" t="s">
        <v>170</v>
      </c>
      <c r="C56" s="1">
        <v>46084</v>
      </c>
      <c r="D56" t="s">
        <v>184</v>
      </c>
      <c r="E56" t="s">
        <v>185</v>
      </c>
      <c r="F56" t="s">
        <v>384</v>
      </c>
      <c r="G56" t="s">
        <v>385</v>
      </c>
      <c r="H56">
        <v>1705</v>
      </c>
      <c r="I56" t="s">
        <v>405</v>
      </c>
      <c r="J56">
        <v>28423</v>
      </c>
      <c r="K56" t="s">
        <v>4492</v>
      </c>
      <c r="L56" t="s">
        <v>3562</v>
      </c>
      <c r="M56" t="s">
        <v>4520</v>
      </c>
      <c r="N56" t="s">
        <v>3293</v>
      </c>
      <c r="O56" t="s">
        <v>406</v>
      </c>
      <c r="R56">
        <f>1</f>
        <v>1</v>
      </c>
      <c r="S56">
        <f>15.3</f>
        <v>15.3</v>
      </c>
      <c r="T56">
        <f>7.4</f>
        <v>7.4</v>
      </c>
      <c r="U56">
        <f>446</f>
        <v>446</v>
      </c>
      <c r="X56">
        <f>0</f>
        <v>0</v>
      </c>
      <c r="Y56" t="s">
        <v>180</v>
      </c>
      <c r="Z56">
        <f>0</f>
        <v>0</v>
      </c>
      <c r="AA56" t="s">
        <v>179</v>
      </c>
      <c r="AB56" t="s">
        <v>179</v>
      </c>
      <c r="AD56">
        <f>0</f>
        <v>0</v>
      </c>
      <c r="AE56">
        <f>0</f>
        <v>0</v>
      </c>
      <c r="AG56" t="s">
        <v>180</v>
      </c>
    </row>
    <row r="57" spans="1:171" x14ac:dyDescent="0.25">
      <c r="A57" t="s">
        <v>407</v>
      </c>
      <c r="B57" t="s">
        <v>170</v>
      </c>
      <c r="C57" s="1">
        <v>46083</v>
      </c>
      <c r="D57" t="s">
        <v>216</v>
      </c>
      <c r="E57" t="s">
        <v>217</v>
      </c>
      <c r="F57" t="s">
        <v>408</v>
      </c>
      <c r="G57" t="s">
        <v>409</v>
      </c>
      <c r="H57">
        <v>366</v>
      </c>
      <c r="I57" t="s">
        <v>409</v>
      </c>
      <c r="J57">
        <v>8295</v>
      </c>
      <c r="K57" t="s">
        <v>4494</v>
      </c>
      <c r="L57" t="s">
        <v>197</v>
      </c>
      <c r="M57" t="s">
        <v>3852</v>
      </c>
      <c r="N57" t="s">
        <v>3294</v>
      </c>
      <c r="Q57" t="s">
        <v>3468</v>
      </c>
      <c r="R57">
        <f>1</f>
        <v>1</v>
      </c>
      <c r="S57">
        <f>10.1</f>
        <v>10.1</v>
      </c>
      <c r="T57">
        <f>8.2</f>
        <v>8.1999999999999993</v>
      </c>
      <c r="U57">
        <f>209</f>
        <v>209</v>
      </c>
      <c r="X57">
        <f>1</f>
        <v>1</v>
      </c>
      <c r="Y57">
        <f>0.11</f>
        <v>0.11</v>
      </c>
      <c r="Z57">
        <f>0</f>
        <v>0</v>
      </c>
      <c r="AA57">
        <f>5</f>
        <v>5</v>
      </c>
      <c r="AB57">
        <f>5</f>
        <v>5</v>
      </c>
      <c r="AC57">
        <f>0</f>
        <v>0</v>
      </c>
      <c r="AD57">
        <f>0</f>
        <v>0</v>
      </c>
      <c r="AE57">
        <f>0</f>
        <v>0</v>
      </c>
      <c r="AG57" t="s">
        <v>220</v>
      </c>
    </row>
    <row r="58" spans="1:171" x14ac:dyDescent="0.25">
      <c r="A58" t="s">
        <v>410</v>
      </c>
      <c r="B58" t="s">
        <v>170</v>
      </c>
      <c r="C58" s="1">
        <v>46128</v>
      </c>
      <c r="D58" t="s">
        <v>216</v>
      </c>
      <c r="E58" t="s">
        <v>217</v>
      </c>
      <c r="F58" t="s">
        <v>408</v>
      </c>
      <c r="G58" t="s">
        <v>409</v>
      </c>
      <c r="H58">
        <v>366</v>
      </c>
      <c r="I58" t="s">
        <v>409</v>
      </c>
      <c r="J58">
        <v>8295</v>
      </c>
      <c r="K58" t="s">
        <v>4494</v>
      </c>
      <c r="L58" t="s">
        <v>197</v>
      </c>
      <c r="M58" t="s">
        <v>3853</v>
      </c>
      <c r="N58" t="s">
        <v>3295</v>
      </c>
      <c r="Q58" t="s">
        <v>3468</v>
      </c>
      <c r="R58">
        <f>1</f>
        <v>1</v>
      </c>
      <c r="S58">
        <f>11.8</f>
        <v>11.8</v>
      </c>
      <c r="T58">
        <f>8.2</f>
        <v>8.1999999999999993</v>
      </c>
      <c r="U58">
        <f>217</f>
        <v>217</v>
      </c>
      <c r="X58">
        <f>1</f>
        <v>1</v>
      </c>
      <c r="Y58">
        <f>0.11</f>
        <v>0.11</v>
      </c>
      <c r="Z58">
        <f>0</f>
        <v>0</v>
      </c>
      <c r="AA58">
        <f>1</f>
        <v>1</v>
      </c>
      <c r="AB58">
        <f>2</f>
        <v>2</v>
      </c>
      <c r="AC58">
        <f>0</f>
        <v>0</v>
      </c>
      <c r="AD58">
        <f>0</f>
        <v>0</v>
      </c>
      <c r="AE58">
        <f>0</f>
        <v>0</v>
      </c>
      <c r="AG58" t="s">
        <v>220</v>
      </c>
      <c r="AH58" t="s">
        <v>411</v>
      </c>
      <c r="AK58" t="s">
        <v>285</v>
      </c>
      <c r="AL58" t="s">
        <v>181</v>
      </c>
      <c r="AM58">
        <f>4.1</f>
        <v>4.0999999999999996</v>
      </c>
      <c r="AN58">
        <f>0.08</f>
        <v>0.08</v>
      </c>
      <c r="AO58">
        <f>1.9</f>
        <v>1.9</v>
      </c>
      <c r="AP58">
        <f>2.2</f>
        <v>2.2000000000000002</v>
      </c>
      <c r="AQ58" t="s">
        <v>284</v>
      </c>
    </row>
    <row r="59" spans="1:171" x14ac:dyDescent="0.25">
      <c r="A59" t="s">
        <v>412</v>
      </c>
      <c r="B59" t="s">
        <v>170</v>
      </c>
      <c r="C59" s="1">
        <v>46128</v>
      </c>
      <c r="D59" t="s">
        <v>216</v>
      </c>
      <c r="E59" t="s">
        <v>217</v>
      </c>
      <c r="F59" t="s">
        <v>408</v>
      </c>
      <c r="G59" t="s">
        <v>413</v>
      </c>
      <c r="H59">
        <v>367</v>
      </c>
      <c r="I59" t="s">
        <v>414</v>
      </c>
      <c r="J59">
        <v>29670</v>
      </c>
      <c r="K59" t="s">
        <v>4494</v>
      </c>
      <c r="L59" t="s">
        <v>3565</v>
      </c>
      <c r="M59" t="s">
        <v>3296</v>
      </c>
      <c r="N59" t="s">
        <v>415</v>
      </c>
      <c r="Q59" t="s">
        <v>3468</v>
      </c>
      <c r="R59">
        <f>1</f>
        <v>1</v>
      </c>
      <c r="S59">
        <f>17</f>
        <v>17</v>
      </c>
      <c r="T59">
        <f>8.2</f>
        <v>8.1999999999999993</v>
      </c>
      <c r="U59">
        <f>235</f>
        <v>235</v>
      </c>
      <c r="X59">
        <f>1</f>
        <v>1</v>
      </c>
      <c r="Y59">
        <f>0.28</f>
        <v>0.28000000000000003</v>
      </c>
      <c r="Z59">
        <f>0</f>
        <v>0</v>
      </c>
      <c r="AA59">
        <f>2</f>
        <v>2</v>
      </c>
      <c r="AB59">
        <f>7</f>
        <v>7</v>
      </c>
      <c r="AC59">
        <f>0</f>
        <v>0</v>
      </c>
      <c r="AD59">
        <f>0</f>
        <v>0</v>
      </c>
      <c r="AE59">
        <f>0</f>
        <v>0</v>
      </c>
      <c r="AG59" t="s">
        <v>220</v>
      </c>
      <c r="AR59">
        <f>1.4</f>
        <v>1.4</v>
      </c>
      <c r="AS59" t="s">
        <v>336</v>
      </c>
      <c r="AT59" t="s">
        <v>336</v>
      </c>
      <c r="AX59" t="s">
        <v>336</v>
      </c>
      <c r="AY59" t="s">
        <v>336</v>
      </c>
      <c r="AZ59" t="s">
        <v>336</v>
      </c>
      <c r="BA59" t="s">
        <v>336</v>
      </c>
      <c r="BB59" t="s">
        <v>336</v>
      </c>
      <c r="BC59" t="s">
        <v>336</v>
      </c>
      <c r="BD59" t="s">
        <v>336</v>
      </c>
      <c r="BE59" t="s">
        <v>336</v>
      </c>
      <c r="BF59" t="s">
        <v>336</v>
      </c>
      <c r="BG59" t="s">
        <v>336</v>
      </c>
      <c r="BH59" t="s">
        <v>336</v>
      </c>
      <c r="BI59" t="s">
        <v>336</v>
      </c>
      <c r="BJ59" t="s">
        <v>336</v>
      </c>
      <c r="BK59" t="s">
        <v>336</v>
      </c>
      <c r="BL59" t="s">
        <v>336</v>
      </c>
      <c r="BM59" t="s">
        <v>336</v>
      </c>
      <c r="BN59" t="s">
        <v>336</v>
      </c>
      <c r="BO59" t="s">
        <v>336</v>
      </c>
      <c r="BP59" t="s">
        <v>243</v>
      </c>
      <c r="BQ59" t="s">
        <v>300</v>
      </c>
      <c r="BR59">
        <f>0.11</f>
        <v>0.11</v>
      </c>
      <c r="BS59" t="s">
        <v>337</v>
      </c>
      <c r="BT59">
        <f>0.0037</f>
        <v>3.7000000000000002E-3</v>
      </c>
      <c r="BU59">
        <f>13</f>
        <v>13</v>
      </c>
      <c r="BV59" t="s">
        <v>192</v>
      </c>
      <c r="BW59" t="s">
        <v>180</v>
      </c>
      <c r="BX59">
        <f>0.0034</f>
        <v>3.3999999999999998E-3</v>
      </c>
      <c r="BY59" t="s">
        <v>285</v>
      </c>
      <c r="BZ59" t="s">
        <v>338</v>
      </c>
      <c r="CA59" t="s">
        <v>180</v>
      </c>
      <c r="CB59" t="s">
        <v>180</v>
      </c>
      <c r="CE59">
        <f>0.16</f>
        <v>0.16</v>
      </c>
      <c r="FJ59" t="s">
        <v>339</v>
      </c>
      <c r="FK59" t="s">
        <v>339</v>
      </c>
      <c r="FL59" t="s">
        <v>339</v>
      </c>
      <c r="FM59" t="s">
        <v>339</v>
      </c>
      <c r="FN59" t="s">
        <v>339</v>
      </c>
      <c r="FO59" t="s">
        <v>339</v>
      </c>
    </row>
    <row r="60" spans="1:171" x14ac:dyDescent="0.25">
      <c r="A60" t="s">
        <v>416</v>
      </c>
      <c r="B60" t="s">
        <v>170</v>
      </c>
      <c r="C60" s="1">
        <v>46087</v>
      </c>
      <c r="D60" t="s">
        <v>216</v>
      </c>
      <c r="E60" t="s">
        <v>217</v>
      </c>
      <c r="F60" t="s">
        <v>408</v>
      </c>
      <c r="G60" t="s">
        <v>413</v>
      </c>
      <c r="H60">
        <v>367</v>
      </c>
      <c r="I60" t="s">
        <v>414</v>
      </c>
      <c r="J60">
        <v>29670</v>
      </c>
      <c r="K60" t="s">
        <v>4494</v>
      </c>
      <c r="L60" t="s">
        <v>3565</v>
      </c>
      <c r="M60" t="s">
        <v>4521</v>
      </c>
      <c r="N60" t="s">
        <v>417</v>
      </c>
      <c r="R60">
        <f>1</f>
        <v>1</v>
      </c>
      <c r="S60">
        <f>9.7</f>
        <v>9.6999999999999993</v>
      </c>
      <c r="T60">
        <f>8.1</f>
        <v>8.1</v>
      </c>
      <c r="U60">
        <f>240</f>
        <v>240</v>
      </c>
      <c r="X60">
        <f>1</f>
        <v>1</v>
      </c>
      <c r="Y60">
        <f>0.1</f>
        <v>0.1</v>
      </c>
      <c r="Z60">
        <f>0</f>
        <v>0</v>
      </c>
      <c r="AA60">
        <f>0</f>
        <v>0</v>
      </c>
      <c r="AB60">
        <f>0</f>
        <v>0</v>
      </c>
      <c r="AC60">
        <f>0</f>
        <v>0</v>
      </c>
      <c r="AD60">
        <f>0</f>
        <v>0</v>
      </c>
      <c r="AE60">
        <f>0</f>
        <v>0</v>
      </c>
      <c r="AG60" t="s">
        <v>220</v>
      </c>
      <c r="BQ60" t="s">
        <v>284</v>
      </c>
    </row>
    <row r="61" spans="1:171" x14ac:dyDescent="0.25">
      <c r="A61" t="s">
        <v>418</v>
      </c>
      <c r="B61" t="s">
        <v>170</v>
      </c>
      <c r="C61" s="1">
        <v>46079</v>
      </c>
      <c r="D61" t="s">
        <v>184</v>
      </c>
      <c r="E61" t="s">
        <v>185</v>
      </c>
      <c r="F61" t="s">
        <v>419</v>
      </c>
      <c r="G61" t="s">
        <v>420</v>
      </c>
      <c r="H61">
        <v>1175</v>
      </c>
      <c r="I61" t="s">
        <v>420</v>
      </c>
      <c r="J61">
        <v>14500</v>
      </c>
      <c r="K61" t="s">
        <v>4492</v>
      </c>
      <c r="L61" t="s">
        <v>176</v>
      </c>
      <c r="M61" t="s">
        <v>421</v>
      </c>
      <c r="N61" t="s">
        <v>422</v>
      </c>
      <c r="O61" t="s">
        <v>423</v>
      </c>
      <c r="R61">
        <f>1</f>
        <v>1</v>
      </c>
      <c r="S61">
        <f>9.6</f>
        <v>9.6</v>
      </c>
      <c r="T61">
        <f>7.5</f>
        <v>7.5</v>
      </c>
      <c r="U61">
        <f>517</f>
        <v>517</v>
      </c>
      <c r="X61">
        <f>0</f>
        <v>0</v>
      </c>
      <c r="Y61" t="s">
        <v>180</v>
      </c>
      <c r="Z61">
        <f>0</f>
        <v>0</v>
      </c>
      <c r="AA61" t="s">
        <v>179</v>
      </c>
      <c r="AB61" t="s">
        <v>179</v>
      </c>
      <c r="AD61">
        <f>0</f>
        <v>0</v>
      </c>
      <c r="AE61">
        <f>0</f>
        <v>0</v>
      </c>
      <c r="AG61" t="s">
        <v>180</v>
      </c>
    </row>
    <row r="62" spans="1:171" x14ac:dyDescent="0.25">
      <c r="A62" t="s">
        <v>424</v>
      </c>
      <c r="B62" t="s">
        <v>170</v>
      </c>
      <c r="C62" s="1">
        <v>46091</v>
      </c>
      <c r="D62" t="s">
        <v>425</v>
      </c>
      <c r="E62" t="s">
        <v>426</v>
      </c>
      <c r="F62" t="s">
        <v>4522</v>
      </c>
      <c r="G62" t="s">
        <v>427</v>
      </c>
      <c r="H62">
        <v>25</v>
      </c>
      <c r="I62" t="s">
        <v>428</v>
      </c>
      <c r="J62">
        <v>4319</v>
      </c>
      <c r="K62" t="s">
        <v>4492</v>
      </c>
      <c r="L62" t="s">
        <v>291</v>
      </c>
      <c r="M62" t="s">
        <v>429</v>
      </c>
      <c r="N62" t="s">
        <v>430</v>
      </c>
      <c r="O62" t="s">
        <v>431</v>
      </c>
      <c r="R62">
        <f>1</f>
        <v>1</v>
      </c>
      <c r="S62">
        <f>11</f>
        <v>11</v>
      </c>
      <c r="T62">
        <f>7.8</f>
        <v>7.8</v>
      </c>
      <c r="U62">
        <f>339</f>
        <v>339</v>
      </c>
      <c r="X62">
        <f>0</f>
        <v>0</v>
      </c>
      <c r="Y62" t="s">
        <v>180</v>
      </c>
      <c r="Z62">
        <f>0</f>
        <v>0</v>
      </c>
      <c r="AA62" t="s">
        <v>179</v>
      </c>
      <c r="AB62" t="s">
        <v>179</v>
      </c>
      <c r="AD62">
        <f>0</f>
        <v>0</v>
      </c>
      <c r="AE62">
        <f>0</f>
        <v>0</v>
      </c>
      <c r="AG62" t="s">
        <v>180</v>
      </c>
    </row>
    <row r="63" spans="1:171" x14ac:dyDescent="0.25">
      <c r="A63" t="s">
        <v>432</v>
      </c>
      <c r="B63" t="s">
        <v>170</v>
      </c>
      <c r="C63" s="1">
        <v>46132</v>
      </c>
      <c r="D63" t="s">
        <v>184</v>
      </c>
      <c r="E63" t="s">
        <v>185</v>
      </c>
      <c r="F63" t="s">
        <v>419</v>
      </c>
      <c r="G63" t="s">
        <v>4239</v>
      </c>
      <c r="H63">
        <v>24</v>
      </c>
      <c r="I63" t="s">
        <v>4239</v>
      </c>
      <c r="J63">
        <v>13150</v>
      </c>
      <c r="K63" t="s">
        <v>4492</v>
      </c>
      <c r="L63" t="s">
        <v>176</v>
      </c>
      <c r="M63" t="s">
        <v>3854</v>
      </c>
      <c r="N63" t="s">
        <v>3297</v>
      </c>
      <c r="O63" t="s">
        <v>433</v>
      </c>
      <c r="R63">
        <f>1</f>
        <v>1</v>
      </c>
      <c r="S63">
        <f>11.5</f>
        <v>11.5</v>
      </c>
      <c r="T63">
        <f>7.5</f>
        <v>7.5</v>
      </c>
      <c r="U63">
        <f>497</f>
        <v>497</v>
      </c>
      <c r="X63">
        <f>0</f>
        <v>0</v>
      </c>
      <c r="Y63" t="s">
        <v>180</v>
      </c>
      <c r="Z63">
        <f>0</f>
        <v>0</v>
      </c>
      <c r="AA63" t="s">
        <v>179</v>
      </c>
      <c r="AB63" t="s">
        <v>179</v>
      </c>
      <c r="AD63">
        <f>0</f>
        <v>0</v>
      </c>
      <c r="AE63">
        <f>0</f>
        <v>0</v>
      </c>
      <c r="AG63" t="s">
        <v>180</v>
      </c>
      <c r="AR63">
        <f>0.96</f>
        <v>0.96</v>
      </c>
      <c r="AS63" t="s">
        <v>336</v>
      </c>
      <c r="AT63" t="s">
        <v>336</v>
      </c>
      <c r="AX63" t="s">
        <v>336</v>
      </c>
      <c r="AY63" t="s">
        <v>336</v>
      </c>
      <c r="AZ63" t="s">
        <v>336</v>
      </c>
      <c r="BA63" t="s">
        <v>336</v>
      </c>
      <c r="BB63" t="s">
        <v>336</v>
      </c>
      <c r="BC63" t="s">
        <v>336</v>
      </c>
      <c r="BD63" t="s">
        <v>336</v>
      </c>
      <c r="BE63" t="s">
        <v>336</v>
      </c>
      <c r="BF63" t="s">
        <v>336</v>
      </c>
      <c r="BG63" t="s">
        <v>336</v>
      </c>
      <c r="BH63" t="s">
        <v>336</v>
      </c>
      <c r="BI63" t="s">
        <v>336</v>
      </c>
      <c r="BJ63" t="s">
        <v>336</v>
      </c>
      <c r="BK63" t="s">
        <v>336</v>
      </c>
      <c r="BL63" t="s">
        <v>336</v>
      </c>
      <c r="BM63" t="s">
        <v>336</v>
      </c>
      <c r="BN63" t="s">
        <v>336</v>
      </c>
      <c r="BO63" t="s">
        <v>336</v>
      </c>
      <c r="BP63" t="s">
        <v>243</v>
      </c>
      <c r="BR63" t="s">
        <v>284</v>
      </c>
      <c r="BS63" t="s">
        <v>179</v>
      </c>
      <c r="BT63" t="s">
        <v>286</v>
      </c>
      <c r="BU63" t="s">
        <v>179</v>
      </c>
      <c r="BV63" t="s">
        <v>220</v>
      </c>
      <c r="BW63" t="s">
        <v>284</v>
      </c>
      <c r="BX63">
        <f>0.0022</f>
        <v>2.2000000000000001E-3</v>
      </c>
      <c r="BY63">
        <f>0.06</f>
        <v>0.06</v>
      </c>
      <c r="BZ63" t="s">
        <v>284</v>
      </c>
      <c r="CA63" t="s">
        <v>284</v>
      </c>
      <c r="CB63">
        <f>1.5</f>
        <v>1.5</v>
      </c>
      <c r="CE63">
        <f>0.51</f>
        <v>0.51</v>
      </c>
      <c r="FJ63" t="s">
        <v>339</v>
      </c>
      <c r="FK63" t="s">
        <v>339</v>
      </c>
      <c r="FL63" t="s">
        <v>339</v>
      </c>
      <c r="FM63" t="s">
        <v>339</v>
      </c>
      <c r="FN63" t="s">
        <v>339</v>
      </c>
      <c r="FO63" t="s">
        <v>339</v>
      </c>
    </row>
    <row r="64" spans="1:171" x14ac:dyDescent="0.25">
      <c r="A64" t="s">
        <v>434</v>
      </c>
      <c r="B64" t="s">
        <v>170</v>
      </c>
      <c r="C64" s="1">
        <v>46078</v>
      </c>
      <c r="D64" t="s">
        <v>184</v>
      </c>
      <c r="E64" t="s">
        <v>185</v>
      </c>
      <c r="F64" t="s">
        <v>419</v>
      </c>
      <c r="G64" t="s">
        <v>4239</v>
      </c>
      <c r="H64">
        <v>24</v>
      </c>
      <c r="I64" t="s">
        <v>4239</v>
      </c>
      <c r="J64">
        <v>13150</v>
      </c>
      <c r="K64" t="s">
        <v>4492</v>
      </c>
      <c r="L64" t="s">
        <v>176</v>
      </c>
      <c r="M64" t="s">
        <v>3855</v>
      </c>
      <c r="N64" t="s">
        <v>3298</v>
      </c>
      <c r="O64" t="s">
        <v>435</v>
      </c>
      <c r="R64">
        <f>1</f>
        <v>1</v>
      </c>
      <c r="S64">
        <f>8.1</f>
        <v>8.1</v>
      </c>
      <c r="T64">
        <f>7.6</f>
        <v>7.6</v>
      </c>
      <c r="U64">
        <f>477</f>
        <v>477</v>
      </c>
      <c r="X64">
        <f>0</f>
        <v>0</v>
      </c>
      <c r="Y64">
        <f>0.2</f>
        <v>0.2</v>
      </c>
      <c r="Z64">
        <f>0</f>
        <v>0</v>
      </c>
      <c r="AA64" t="s">
        <v>179</v>
      </c>
      <c r="AB64" t="s">
        <v>179</v>
      </c>
      <c r="AD64">
        <f>0</f>
        <v>0</v>
      </c>
      <c r="AE64">
        <f>0</f>
        <v>0</v>
      </c>
      <c r="AG64" t="s">
        <v>180</v>
      </c>
    </row>
    <row r="65" spans="1:171" x14ac:dyDescent="0.25">
      <c r="A65" t="s">
        <v>436</v>
      </c>
      <c r="B65" t="s">
        <v>170</v>
      </c>
      <c r="C65" s="1">
        <v>46092</v>
      </c>
      <c r="D65" t="s">
        <v>171</v>
      </c>
      <c r="E65" t="s">
        <v>172</v>
      </c>
      <c r="F65" t="s">
        <v>173</v>
      </c>
      <c r="G65" t="s">
        <v>4523</v>
      </c>
      <c r="H65">
        <v>131</v>
      </c>
      <c r="I65" t="s">
        <v>4240</v>
      </c>
      <c r="J65">
        <v>7192</v>
      </c>
      <c r="K65" t="s">
        <v>4492</v>
      </c>
      <c r="L65" t="s">
        <v>176</v>
      </c>
      <c r="M65" t="s">
        <v>437</v>
      </c>
      <c r="N65" t="s">
        <v>438</v>
      </c>
      <c r="O65" t="s">
        <v>439</v>
      </c>
      <c r="R65">
        <f>1</f>
        <v>1</v>
      </c>
      <c r="S65">
        <f>7.9</f>
        <v>7.9</v>
      </c>
      <c r="T65">
        <f>6.7</f>
        <v>6.7</v>
      </c>
      <c r="U65">
        <f>382</f>
        <v>382</v>
      </c>
      <c r="X65">
        <f>0</f>
        <v>0</v>
      </c>
      <c r="Y65">
        <f>0.1</f>
        <v>0.1</v>
      </c>
      <c r="Z65">
        <f>0</f>
        <v>0</v>
      </c>
      <c r="AA65" t="s">
        <v>179</v>
      </c>
      <c r="AB65" t="s">
        <v>179</v>
      </c>
      <c r="AD65">
        <f>0</f>
        <v>0</v>
      </c>
      <c r="AE65">
        <f>0</f>
        <v>0</v>
      </c>
      <c r="AG65" t="s">
        <v>180</v>
      </c>
    </row>
    <row r="66" spans="1:171" x14ac:dyDescent="0.25">
      <c r="A66" t="s">
        <v>440</v>
      </c>
      <c r="B66" t="s">
        <v>170</v>
      </c>
      <c r="C66" s="1">
        <v>46086</v>
      </c>
      <c r="D66" t="s">
        <v>171</v>
      </c>
      <c r="E66" t="s">
        <v>172</v>
      </c>
      <c r="F66" t="s">
        <v>441</v>
      </c>
      <c r="G66" t="s">
        <v>442</v>
      </c>
      <c r="H66">
        <v>1679</v>
      </c>
      <c r="I66" t="s">
        <v>443</v>
      </c>
      <c r="J66">
        <v>12250</v>
      </c>
      <c r="K66" t="s">
        <v>4492</v>
      </c>
      <c r="L66" t="s">
        <v>369</v>
      </c>
      <c r="M66" t="s">
        <v>444</v>
      </c>
      <c r="N66" t="s">
        <v>445</v>
      </c>
      <c r="O66" t="s">
        <v>446</v>
      </c>
      <c r="R66">
        <f>1</f>
        <v>1</v>
      </c>
      <c r="S66">
        <f>8</f>
        <v>8</v>
      </c>
      <c r="T66">
        <f>7</f>
        <v>7</v>
      </c>
      <c r="U66">
        <f>237</f>
        <v>237</v>
      </c>
      <c r="V66">
        <f>0.07</f>
        <v>7.0000000000000007E-2</v>
      </c>
      <c r="X66">
        <f>0</f>
        <v>0</v>
      </c>
      <c r="Y66">
        <f>0.1</f>
        <v>0.1</v>
      </c>
      <c r="Z66">
        <f>0</f>
        <v>0</v>
      </c>
      <c r="AA66" t="s">
        <v>179</v>
      </c>
      <c r="AB66" t="s">
        <v>179</v>
      </c>
      <c r="AD66">
        <f>0</f>
        <v>0</v>
      </c>
      <c r="AE66">
        <f>0</f>
        <v>0</v>
      </c>
      <c r="AG66" t="s">
        <v>180</v>
      </c>
      <c r="AH66" t="s">
        <v>193</v>
      </c>
      <c r="AK66" t="s">
        <v>181</v>
      </c>
      <c r="AL66" t="s">
        <v>182</v>
      </c>
      <c r="AM66">
        <f>8.4</f>
        <v>8.4</v>
      </c>
      <c r="AN66">
        <f>0.17</f>
        <v>0.17</v>
      </c>
      <c r="AO66">
        <f>6.2</f>
        <v>6.2</v>
      </c>
      <c r="AP66">
        <f>4.4</f>
        <v>4.4000000000000004</v>
      </c>
      <c r="AQ66" t="s">
        <v>180</v>
      </c>
    </row>
    <row r="67" spans="1:171" x14ac:dyDescent="0.25">
      <c r="A67" t="s">
        <v>447</v>
      </c>
      <c r="B67" t="s">
        <v>170</v>
      </c>
      <c r="C67" s="1">
        <v>46085</v>
      </c>
      <c r="D67" t="s">
        <v>195</v>
      </c>
      <c r="E67" t="s">
        <v>448</v>
      </c>
      <c r="F67" t="s">
        <v>449</v>
      </c>
      <c r="G67" t="s">
        <v>450</v>
      </c>
      <c r="H67">
        <v>193</v>
      </c>
      <c r="I67" t="s">
        <v>450</v>
      </c>
      <c r="J67">
        <v>10226</v>
      </c>
      <c r="K67" t="s">
        <v>4494</v>
      </c>
      <c r="L67" t="s">
        <v>451</v>
      </c>
      <c r="M67" t="s">
        <v>452</v>
      </c>
      <c r="N67" t="s">
        <v>453</v>
      </c>
      <c r="O67" t="s">
        <v>454</v>
      </c>
      <c r="Q67" t="s">
        <v>455</v>
      </c>
      <c r="R67">
        <f>1</f>
        <v>1</v>
      </c>
      <c r="S67">
        <f>9.8</f>
        <v>9.8000000000000007</v>
      </c>
      <c r="T67">
        <f>7.8</f>
        <v>7.8</v>
      </c>
      <c r="U67">
        <f>358</f>
        <v>358</v>
      </c>
      <c r="X67">
        <f>0</f>
        <v>0</v>
      </c>
      <c r="Y67">
        <f>0.05</f>
        <v>0.05</v>
      </c>
      <c r="Z67">
        <f>0</f>
        <v>0</v>
      </c>
      <c r="AA67">
        <f>2</f>
        <v>2</v>
      </c>
      <c r="AB67">
        <f>8</f>
        <v>8</v>
      </c>
      <c r="AC67">
        <f>0</f>
        <v>0</v>
      </c>
      <c r="AD67">
        <f>0</f>
        <v>0</v>
      </c>
      <c r="AE67">
        <f>0</f>
        <v>0</v>
      </c>
      <c r="AG67" t="s">
        <v>180</v>
      </c>
    </row>
    <row r="68" spans="1:171" x14ac:dyDescent="0.25">
      <c r="A68" t="s">
        <v>456</v>
      </c>
      <c r="B68" t="s">
        <v>170</v>
      </c>
      <c r="C68" s="1">
        <v>46085</v>
      </c>
      <c r="D68" t="s">
        <v>195</v>
      </c>
      <c r="E68" t="s">
        <v>448</v>
      </c>
      <c r="F68" t="s">
        <v>449</v>
      </c>
      <c r="G68" t="s">
        <v>450</v>
      </c>
      <c r="H68">
        <v>193</v>
      </c>
      <c r="I68" t="s">
        <v>450</v>
      </c>
      <c r="J68">
        <v>10226</v>
      </c>
      <c r="K68" t="s">
        <v>4494</v>
      </c>
      <c r="L68" t="s">
        <v>451</v>
      </c>
      <c r="M68" t="s">
        <v>3856</v>
      </c>
      <c r="N68" t="s">
        <v>457</v>
      </c>
      <c r="O68" t="s">
        <v>458</v>
      </c>
      <c r="R68">
        <f>1</f>
        <v>1</v>
      </c>
      <c r="S68">
        <f>9.4</f>
        <v>9.4</v>
      </c>
      <c r="T68">
        <f>8</f>
        <v>8</v>
      </c>
      <c r="U68">
        <f>356</f>
        <v>356</v>
      </c>
      <c r="X68">
        <f>0</f>
        <v>0</v>
      </c>
      <c r="Y68">
        <f>0.02</f>
        <v>0.02</v>
      </c>
      <c r="Z68">
        <f>0</f>
        <v>0</v>
      </c>
      <c r="AA68">
        <f>0</f>
        <v>0</v>
      </c>
      <c r="AB68">
        <f>0</f>
        <v>0</v>
      </c>
      <c r="AC68">
        <f>0</f>
        <v>0</v>
      </c>
      <c r="AD68">
        <f>0</f>
        <v>0</v>
      </c>
      <c r="AE68">
        <f>0</f>
        <v>0</v>
      </c>
      <c r="AG68" t="s">
        <v>180</v>
      </c>
    </row>
    <row r="69" spans="1:171" x14ac:dyDescent="0.25">
      <c r="A69" t="s">
        <v>459</v>
      </c>
      <c r="B69" t="s">
        <v>170</v>
      </c>
      <c r="C69" s="1">
        <v>46078</v>
      </c>
      <c r="D69" t="s">
        <v>195</v>
      </c>
      <c r="E69" t="s">
        <v>196</v>
      </c>
      <c r="F69" t="s">
        <v>3857</v>
      </c>
      <c r="G69" t="s">
        <v>460</v>
      </c>
      <c r="H69">
        <v>328</v>
      </c>
      <c r="I69" t="s">
        <v>460</v>
      </c>
      <c r="J69">
        <v>19000</v>
      </c>
      <c r="K69" t="s">
        <v>4494</v>
      </c>
      <c r="L69" t="s">
        <v>461</v>
      </c>
      <c r="M69" t="s">
        <v>462</v>
      </c>
      <c r="N69" t="s">
        <v>463</v>
      </c>
      <c r="O69" t="s">
        <v>464</v>
      </c>
      <c r="Q69" t="s">
        <v>3858</v>
      </c>
      <c r="R69">
        <f>1</f>
        <v>1</v>
      </c>
      <c r="S69">
        <f>11.6</f>
        <v>11.6</v>
      </c>
      <c r="T69">
        <f>7.5</f>
        <v>7.5</v>
      </c>
      <c r="U69">
        <f>580</f>
        <v>580</v>
      </c>
      <c r="X69">
        <f>0</f>
        <v>0</v>
      </c>
      <c r="Y69">
        <f>0.01</f>
        <v>0.01</v>
      </c>
      <c r="Z69">
        <f>0</f>
        <v>0</v>
      </c>
      <c r="AA69">
        <f>1</f>
        <v>1</v>
      </c>
      <c r="AB69">
        <f>0</f>
        <v>0</v>
      </c>
      <c r="AC69">
        <f>0</f>
        <v>0</v>
      </c>
      <c r="AD69">
        <f>0</f>
        <v>0</v>
      </c>
      <c r="AE69">
        <f>0</f>
        <v>0</v>
      </c>
      <c r="AG69" t="s">
        <v>180</v>
      </c>
    </row>
    <row r="70" spans="1:171" x14ac:dyDescent="0.25">
      <c r="A70" t="s">
        <v>465</v>
      </c>
      <c r="B70" t="s">
        <v>170</v>
      </c>
      <c r="C70" s="1">
        <v>46090</v>
      </c>
      <c r="D70" t="s">
        <v>251</v>
      </c>
      <c r="E70" t="s">
        <v>252</v>
      </c>
      <c r="F70" t="s">
        <v>4241</v>
      </c>
      <c r="G70" t="s">
        <v>4242</v>
      </c>
      <c r="H70">
        <v>83</v>
      </c>
      <c r="I70" t="s">
        <v>4242</v>
      </c>
      <c r="J70">
        <v>1333</v>
      </c>
      <c r="K70" t="s">
        <v>4492</v>
      </c>
      <c r="L70" t="s">
        <v>271</v>
      </c>
      <c r="M70" t="s">
        <v>466</v>
      </c>
      <c r="N70" t="s">
        <v>3299</v>
      </c>
      <c r="O70" t="s">
        <v>467</v>
      </c>
      <c r="Q70" t="s">
        <v>3472</v>
      </c>
      <c r="R70">
        <f>1</f>
        <v>1</v>
      </c>
      <c r="S70">
        <f>9.9</f>
        <v>9.9</v>
      </c>
      <c r="T70">
        <f>7.9</f>
        <v>7.9</v>
      </c>
      <c r="U70">
        <f>212</f>
        <v>212</v>
      </c>
      <c r="X70">
        <f>0</f>
        <v>0</v>
      </c>
      <c r="Y70" t="s">
        <v>180</v>
      </c>
      <c r="Z70">
        <f>0</f>
        <v>0</v>
      </c>
      <c r="AA70">
        <f>0</f>
        <v>0</v>
      </c>
      <c r="AB70">
        <f>0</f>
        <v>0</v>
      </c>
      <c r="AD70">
        <f>0</f>
        <v>0</v>
      </c>
      <c r="AE70">
        <f>0</f>
        <v>0</v>
      </c>
      <c r="AG70" t="s">
        <v>180</v>
      </c>
      <c r="AH70">
        <f>1.1</f>
        <v>1.1000000000000001</v>
      </c>
      <c r="AK70" t="s">
        <v>285</v>
      </c>
      <c r="AL70" t="s">
        <v>286</v>
      </c>
      <c r="AM70">
        <f>2.7</f>
        <v>2.7</v>
      </c>
      <c r="AN70">
        <f>0.054</f>
        <v>5.3999999999999999E-2</v>
      </c>
      <c r="AO70">
        <f>1.2</f>
        <v>1.2</v>
      </c>
      <c r="AP70" t="s">
        <v>284</v>
      </c>
      <c r="AQ70" t="s">
        <v>284</v>
      </c>
    </row>
    <row r="71" spans="1:171" x14ac:dyDescent="0.25">
      <c r="A71" t="s">
        <v>468</v>
      </c>
      <c r="B71" t="s">
        <v>170</v>
      </c>
      <c r="C71" s="1">
        <v>46083</v>
      </c>
      <c r="D71" t="s">
        <v>238</v>
      </c>
      <c r="E71" t="s">
        <v>260</v>
      </c>
      <c r="F71" t="s">
        <v>261</v>
      </c>
      <c r="G71" t="s">
        <v>469</v>
      </c>
      <c r="H71">
        <v>225</v>
      </c>
      <c r="I71" t="s">
        <v>470</v>
      </c>
      <c r="J71">
        <v>2453</v>
      </c>
      <c r="K71" t="s">
        <v>4492</v>
      </c>
      <c r="L71" t="s">
        <v>176</v>
      </c>
      <c r="M71" t="s">
        <v>3688</v>
      </c>
      <c r="N71" t="s">
        <v>4524</v>
      </c>
      <c r="O71" t="s">
        <v>471</v>
      </c>
      <c r="Q71" t="s">
        <v>3473</v>
      </c>
      <c r="R71">
        <f>1</f>
        <v>1</v>
      </c>
      <c r="S71">
        <f>9.8</f>
        <v>9.8000000000000007</v>
      </c>
      <c r="T71">
        <f>7.6</f>
        <v>7.6</v>
      </c>
      <c r="U71">
        <f>374</f>
        <v>374</v>
      </c>
      <c r="X71">
        <f>0</f>
        <v>0</v>
      </c>
      <c r="Y71">
        <f>0.15</f>
        <v>0.15</v>
      </c>
      <c r="Z71">
        <f>0</f>
        <v>0</v>
      </c>
      <c r="AA71" t="s">
        <v>179</v>
      </c>
      <c r="AB71">
        <f>19</f>
        <v>19</v>
      </c>
      <c r="AD71">
        <f>0</f>
        <v>0</v>
      </c>
      <c r="AE71">
        <f>0</f>
        <v>0</v>
      </c>
      <c r="AG71" t="s">
        <v>220</v>
      </c>
    </row>
    <row r="72" spans="1:171" x14ac:dyDescent="0.25">
      <c r="A72" t="s">
        <v>472</v>
      </c>
      <c r="B72" t="s">
        <v>170</v>
      </c>
      <c r="C72" s="1">
        <v>46121</v>
      </c>
      <c r="D72" t="s">
        <v>238</v>
      </c>
      <c r="E72" t="s">
        <v>239</v>
      </c>
      <c r="F72" t="s">
        <v>473</v>
      </c>
      <c r="G72" t="s">
        <v>474</v>
      </c>
      <c r="H72">
        <v>142</v>
      </c>
      <c r="I72" t="s">
        <v>474</v>
      </c>
      <c r="J72">
        <v>5775</v>
      </c>
      <c r="K72" t="s">
        <v>4494</v>
      </c>
      <c r="L72" t="s">
        <v>3562</v>
      </c>
      <c r="M72" t="s">
        <v>3300</v>
      </c>
      <c r="N72" t="s">
        <v>475</v>
      </c>
      <c r="O72" t="s">
        <v>476</v>
      </c>
      <c r="Q72" t="s">
        <v>3859</v>
      </c>
      <c r="R72">
        <f>1</f>
        <v>1</v>
      </c>
      <c r="S72">
        <f>12</f>
        <v>12</v>
      </c>
      <c r="T72">
        <f>7.7</f>
        <v>7.7</v>
      </c>
      <c r="U72">
        <f>393</f>
        <v>393</v>
      </c>
      <c r="X72">
        <f>0</f>
        <v>0</v>
      </c>
      <c r="Y72">
        <f>0.18</f>
        <v>0.18</v>
      </c>
      <c r="Z72">
        <f>0</f>
        <v>0</v>
      </c>
      <c r="AA72" t="s">
        <v>179</v>
      </c>
      <c r="AB72" t="s">
        <v>179</v>
      </c>
      <c r="AC72">
        <f>0</f>
        <v>0</v>
      </c>
      <c r="AD72">
        <f>0</f>
        <v>0</v>
      </c>
      <c r="AE72">
        <f>0</f>
        <v>0</v>
      </c>
      <c r="AG72" t="s">
        <v>220</v>
      </c>
    </row>
    <row r="73" spans="1:171" x14ac:dyDescent="0.25">
      <c r="A73" t="s">
        <v>477</v>
      </c>
      <c r="B73" t="s">
        <v>170</v>
      </c>
      <c r="C73" s="1">
        <v>46083</v>
      </c>
      <c r="D73" t="s">
        <v>238</v>
      </c>
      <c r="E73" t="s">
        <v>239</v>
      </c>
      <c r="F73" t="s">
        <v>478</v>
      </c>
      <c r="G73" t="s">
        <v>479</v>
      </c>
      <c r="H73">
        <v>135</v>
      </c>
      <c r="I73" t="s">
        <v>479</v>
      </c>
      <c r="J73">
        <v>10755</v>
      </c>
      <c r="K73" t="s">
        <v>4492</v>
      </c>
      <c r="L73" t="s">
        <v>176</v>
      </c>
      <c r="M73" t="s">
        <v>480</v>
      </c>
      <c r="N73" t="s">
        <v>481</v>
      </c>
      <c r="O73" t="s">
        <v>482</v>
      </c>
      <c r="R73">
        <f>1</f>
        <v>1</v>
      </c>
      <c r="S73">
        <f>9.2</f>
        <v>9.1999999999999993</v>
      </c>
      <c r="T73">
        <f>7.1</f>
        <v>7.1</v>
      </c>
      <c r="U73">
        <f>625</f>
        <v>625</v>
      </c>
      <c r="X73">
        <f>0</f>
        <v>0</v>
      </c>
      <c r="Y73">
        <f>0.12</f>
        <v>0.12</v>
      </c>
      <c r="Z73">
        <f>0</f>
        <v>0</v>
      </c>
      <c r="AA73" t="s">
        <v>179</v>
      </c>
      <c r="AB73" t="s">
        <v>179</v>
      </c>
      <c r="AD73">
        <f>0</f>
        <v>0</v>
      </c>
      <c r="AE73">
        <f>0</f>
        <v>0</v>
      </c>
      <c r="AG73" t="s">
        <v>220</v>
      </c>
    </row>
    <row r="74" spans="1:171" x14ac:dyDescent="0.25">
      <c r="A74" t="s">
        <v>483</v>
      </c>
      <c r="B74" t="s">
        <v>170</v>
      </c>
      <c r="C74" s="1">
        <v>46091</v>
      </c>
      <c r="D74" t="s">
        <v>425</v>
      </c>
      <c r="E74" t="s">
        <v>426</v>
      </c>
      <c r="F74" t="s">
        <v>4522</v>
      </c>
      <c r="G74" t="s">
        <v>3860</v>
      </c>
      <c r="H74">
        <v>22</v>
      </c>
      <c r="I74" t="s">
        <v>484</v>
      </c>
      <c r="J74">
        <v>4399</v>
      </c>
      <c r="K74" t="s">
        <v>4492</v>
      </c>
      <c r="L74" t="s">
        <v>291</v>
      </c>
      <c r="M74" t="s">
        <v>4243</v>
      </c>
      <c r="N74" t="s">
        <v>485</v>
      </c>
      <c r="O74" t="s">
        <v>486</v>
      </c>
      <c r="R74">
        <f>1</f>
        <v>1</v>
      </c>
      <c r="S74">
        <f>8.9</f>
        <v>8.9</v>
      </c>
      <c r="T74">
        <f>8.1</f>
        <v>8.1</v>
      </c>
      <c r="U74">
        <f>201</f>
        <v>201</v>
      </c>
      <c r="X74">
        <f>0</f>
        <v>0</v>
      </c>
      <c r="Y74" t="s">
        <v>180</v>
      </c>
      <c r="Z74">
        <f>0</f>
        <v>0</v>
      </c>
      <c r="AA74" t="s">
        <v>179</v>
      </c>
      <c r="AB74" t="s">
        <v>179</v>
      </c>
      <c r="AD74">
        <f>0</f>
        <v>0</v>
      </c>
      <c r="AE74">
        <f>0</f>
        <v>0</v>
      </c>
      <c r="AG74" t="s">
        <v>180</v>
      </c>
    </row>
    <row r="75" spans="1:171" x14ac:dyDescent="0.25">
      <c r="A75" t="s">
        <v>487</v>
      </c>
      <c r="B75" t="s">
        <v>170</v>
      </c>
      <c r="C75" s="1">
        <v>46086</v>
      </c>
      <c r="D75" t="s">
        <v>251</v>
      </c>
      <c r="E75" t="s">
        <v>252</v>
      </c>
      <c r="F75" t="s">
        <v>4244</v>
      </c>
      <c r="G75" t="s">
        <v>3689</v>
      </c>
      <c r="H75">
        <v>621</v>
      </c>
      <c r="I75" t="s">
        <v>3689</v>
      </c>
      <c r="J75">
        <v>3602</v>
      </c>
      <c r="K75" t="s">
        <v>4492</v>
      </c>
      <c r="L75" t="s">
        <v>3566</v>
      </c>
      <c r="M75" t="s">
        <v>4525</v>
      </c>
      <c r="N75" t="s">
        <v>3690</v>
      </c>
      <c r="O75" t="s">
        <v>488</v>
      </c>
      <c r="Q75" t="s">
        <v>274</v>
      </c>
      <c r="R75">
        <f>1</f>
        <v>1</v>
      </c>
      <c r="S75">
        <f>10</f>
        <v>10</v>
      </c>
      <c r="T75">
        <f>7.9</f>
        <v>7.9</v>
      </c>
      <c r="U75">
        <f>169</f>
        <v>169</v>
      </c>
      <c r="X75">
        <f>0</f>
        <v>0</v>
      </c>
      <c r="Y75">
        <f>0.14</f>
        <v>0.14000000000000001</v>
      </c>
      <c r="Z75">
        <f>0</f>
        <v>0</v>
      </c>
      <c r="AA75">
        <f>4</f>
        <v>4</v>
      </c>
      <c r="AB75">
        <f>0</f>
        <v>0</v>
      </c>
      <c r="AD75">
        <f>0</f>
        <v>0</v>
      </c>
      <c r="AE75">
        <f>0</f>
        <v>0</v>
      </c>
      <c r="AG75" t="s">
        <v>180</v>
      </c>
    </row>
    <row r="76" spans="1:171" x14ac:dyDescent="0.25">
      <c r="A76" t="s">
        <v>489</v>
      </c>
      <c r="B76" t="s">
        <v>170</v>
      </c>
      <c r="C76" s="1">
        <v>46126</v>
      </c>
      <c r="D76" t="s">
        <v>216</v>
      </c>
      <c r="E76" t="s">
        <v>217</v>
      </c>
      <c r="F76" t="s">
        <v>408</v>
      </c>
      <c r="G76" t="s">
        <v>490</v>
      </c>
      <c r="H76">
        <v>375</v>
      </c>
      <c r="I76" t="s">
        <v>490</v>
      </c>
      <c r="J76">
        <v>2053</v>
      </c>
      <c r="K76" t="s">
        <v>4492</v>
      </c>
      <c r="L76" t="s">
        <v>369</v>
      </c>
      <c r="M76" t="s">
        <v>3861</v>
      </c>
      <c r="N76" t="s">
        <v>4526</v>
      </c>
      <c r="O76" t="s">
        <v>491</v>
      </c>
      <c r="Q76" t="s">
        <v>4527</v>
      </c>
      <c r="R76">
        <f>1</f>
        <v>1</v>
      </c>
      <c r="S76">
        <f>15.5</f>
        <v>15.5</v>
      </c>
      <c r="T76">
        <f>8.3</f>
        <v>8.3000000000000007</v>
      </c>
      <c r="U76">
        <f>236</f>
        <v>236</v>
      </c>
      <c r="V76">
        <f>0.09</f>
        <v>0.09</v>
      </c>
      <c r="X76">
        <f>1</f>
        <v>1</v>
      </c>
      <c r="Y76">
        <f>0.06</f>
        <v>0.06</v>
      </c>
      <c r="Z76">
        <f>0</f>
        <v>0</v>
      </c>
      <c r="AA76">
        <f>0</f>
        <v>0</v>
      </c>
      <c r="AB76">
        <f>0</f>
        <v>0</v>
      </c>
      <c r="AD76">
        <f>0</f>
        <v>0</v>
      </c>
      <c r="AE76">
        <f>0</f>
        <v>0</v>
      </c>
      <c r="AG76" t="s">
        <v>220</v>
      </c>
      <c r="AH76">
        <f>0.35</f>
        <v>0.35</v>
      </c>
      <c r="AK76" t="s">
        <v>285</v>
      </c>
      <c r="AL76" t="s">
        <v>181</v>
      </c>
      <c r="AM76">
        <f>3.4</f>
        <v>3.4</v>
      </c>
      <c r="AN76">
        <f>0.07</f>
        <v>7.0000000000000007E-2</v>
      </c>
      <c r="AO76">
        <f>4</f>
        <v>4</v>
      </c>
      <c r="AP76">
        <f>1.9</f>
        <v>1.9</v>
      </c>
      <c r="AQ76" t="s">
        <v>284</v>
      </c>
    </row>
    <row r="77" spans="1:171" x14ac:dyDescent="0.25">
      <c r="A77" t="s">
        <v>492</v>
      </c>
      <c r="B77" t="s">
        <v>170</v>
      </c>
      <c r="C77" s="1">
        <v>46101</v>
      </c>
      <c r="D77" t="s">
        <v>251</v>
      </c>
      <c r="E77" t="s">
        <v>252</v>
      </c>
      <c r="F77" t="s">
        <v>280</v>
      </c>
      <c r="G77" t="s">
        <v>493</v>
      </c>
      <c r="H77">
        <v>340</v>
      </c>
      <c r="I77" t="s">
        <v>493</v>
      </c>
      <c r="J77">
        <v>3270</v>
      </c>
      <c r="K77" t="s">
        <v>4492</v>
      </c>
      <c r="L77" t="s">
        <v>271</v>
      </c>
      <c r="M77" t="s">
        <v>4528</v>
      </c>
      <c r="N77" t="s">
        <v>494</v>
      </c>
      <c r="O77" t="s">
        <v>495</v>
      </c>
      <c r="Q77" t="s">
        <v>257</v>
      </c>
      <c r="R77">
        <f>1</f>
        <v>1</v>
      </c>
      <c r="S77">
        <f>11.4</f>
        <v>11.4</v>
      </c>
      <c r="T77">
        <f>7.7</f>
        <v>7.7</v>
      </c>
      <c r="U77">
        <f>348</f>
        <v>348</v>
      </c>
      <c r="X77">
        <f>0</f>
        <v>0</v>
      </c>
      <c r="Y77">
        <f>0.11</f>
        <v>0.11</v>
      </c>
      <c r="Z77">
        <f>0</f>
        <v>0</v>
      </c>
      <c r="AA77">
        <f>0</f>
        <v>0</v>
      </c>
      <c r="AB77">
        <f>0</f>
        <v>0</v>
      </c>
      <c r="AD77">
        <f>0</f>
        <v>0</v>
      </c>
      <c r="AE77">
        <f>0</f>
        <v>0</v>
      </c>
      <c r="AG77" t="s">
        <v>180</v>
      </c>
    </row>
    <row r="78" spans="1:171" x14ac:dyDescent="0.25">
      <c r="A78" t="s">
        <v>496</v>
      </c>
      <c r="B78" t="s">
        <v>170</v>
      </c>
      <c r="C78" s="1">
        <v>46128</v>
      </c>
      <c r="D78" t="s">
        <v>184</v>
      </c>
      <c r="E78" t="s">
        <v>185</v>
      </c>
      <c r="F78" t="s">
        <v>288</v>
      </c>
      <c r="G78" t="s">
        <v>4245</v>
      </c>
      <c r="H78">
        <v>336</v>
      </c>
      <c r="I78" t="s">
        <v>4246</v>
      </c>
      <c r="J78">
        <v>7843</v>
      </c>
      <c r="K78" t="s">
        <v>4492</v>
      </c>
      <c r="L78" t="s">
        <v>3567</v>
      </c>
      <c r="M78" t="s">
        <v>4529</v>
      </c>
      <c r="N78" t="s">
        <v>497</v>
      </c>
      <c r="O78" t="s">
        <v>498</v>
      </c>
      <c r="Q78" t="s">
        <v>257</v>
      </c>
      <c r="R78">
        <f>1</f>
        <v>1</v>
      </c>
      <c r="S78">
        <f>11.5</f>
        <v>11.5</v>
      </c>
      <c r="T78">
        <f>7.5</f>
        <v>7.5</v>
      </c>
      <c r="U78">
        <f>470</f>
        <v>470</v>
      </c>
      <c r="X78">
        <f>0</f>
        <v>0</v>
      </c>
      <c r="Y78" t="s">
        <v>180</v>
      </c>
      <c r="Z78">
        <f>0</f>
        <v>0</v>
      </c>
      <c r="AA78">
        <f>42</f>
        <v>42</v>
      </c>
      <c r="AB78">
        <f>22</f>
        <v>22</v>
      </c>
      <c r="AD78">
        <f>0</f>
        <v>0</v>
      </c>
      <c r="AE78">
        <f>0</f>
        <v>0</v>
      </c>
      <c r="AG78" t="s">
        <v>180</v>
      </c>
      <c r="AR78">
        <f>0.75</f>
        <v>0.75</v>
      </c>
      <c r="AS78" t="s">
        <v>336</v>
      </c>
      <c r="AT78" t="s">
        <v>336</v>
      </c>
      <c r="AX78" t="s">
        <v>336</v>
      </c>
      <c r="AY78" t="s">
        <v>336</v>
      </c>
      <c r="AZ78" t="s">
        <v>336</v>
      </c>
      <c r="BA78" t="s">
        <v>336</v>
      </c>
      <c r="BB78" t="s">
        <v>336</v>
      </c>
      <c r="BC78" t="s">
        <v>336</v>
      </c>
      <c r="BD78" t="s">
        <v>336</v>
      </c>
      <c r="BE78" t="s">
        <v>336</v>
      </c>
      <c r="BF78" t="s">
        <v>336</v>
      </c>
      <c r="BG78" t="s">
        <v>336</v>
      </c>
      <c r="BH78" t="s">
        <v>336</v>
      </c>
      <c r="BI78" t="s">
        <v>336</v>
      </c>
      <c r="BJ78" t="s">
        <v>336</v>
      </c>
      <c r="BK78" t="s">
        <v>336</v>
      </c>
      <c r="BL78" t="s">
        <v>336</v>
      </c>
      <c r="BM78" t="s">
        <v>336</v>
      </c>
      <c r="BN78" t="s">
        <v>336</v>
      </c>
      <c r="BO78" t="s">
        <v>336</v>
      </c>
      <c r="BP78" t="s">
        <v>243</v>
      </c>
      <c r="BR78" t="s">
        <v>179</v>
      </c>
      <c r="BS78" t="s">
        <v>179</v>
      </c>
      <c r="BT78" t="s">
        <v>286</v>
      </c>
      <c r="BU78" t="s">
        <v>179</v>
      </c>
      <c r="BV78" t="s">
        <v>284</v>
      </c>
      <c r="BW78" t="s">
        <v>284</v>
      </c>
      <c r="BX78" t="s">
        <v>286</v>
      </c>
      <c r="BY78" t="s">
        <v>284</v>
      </c>
      <c r="BZ78" t="s">
        <v>179</v>
      </c>
      <c r="CA78" t="s">
        <v>179</v>
      </c>
      <c r="CB78" t="s">
        <v>284</v>
      </c>
      <c r="CE78" t="s">
        <v>179</v>
      </c>
      <c r="FJ78" t="s">
        <v>339</v>
      </c>
      <c r="FK78" t="s">
        <v>339</v>
      </c>
      <c r="FL78" t="s">
        <v>339</v>
      </c>
      <c r="FM78" t="s">
        <v>339</v>
      </c>
      <c r="FN78" t="s">
        <v>339</v>
      </c>
      <c r="FO78" t="s">
        <v>339</v>
      </c>
    </row>
    <row r="79" spans="1:171" x14ac:dyDescent="0.25">
      <c r="A79" t="s">
        <v>499</v>
      </c>
      <c r="B79" t="s">
        <v>170</v>
      </c>
      <c r="C79" s="1">
        <v>46086</v>
      </c>
      <c r="D79" t="s">
        <v>184</v>
      </c>
      <c r="E79" t="s">
        <v>185</v>
      </c>
      <c r="F79" t="s">
        <v>288</v>
      </c>
      <c r="G79" t="s">
        <v>4245</v>
      </c>
      <c r="H79">
        <v>336</v>
      </c>
      <c r="I79" t="s">
        <v>4246</v>
      </c>
      <c r="J79">
        <v>7843</v>
      </c>
      <c r="K79" t="s">
        <v>4492</v>
      </c>
      <c r="L79" t="s">
        <v>3567</v>
      </c>
      <c r="M79" t="s">
        <v>4530</v>
      </c>
      <c r="N79" t="s">
        <v>500</v>
      </c>
      <c r="O79" t="s">
        <v>501</v>
      </c>
      <c r="Q79" t="s">
        <v>257</v>
      </c>
      <c r="R79">
        <f>1</f>
        <v>1</v>
      </c>
      <c r="S79">
        <f>8.6</f>
        <v>8.6</v>
      </c>
      <c r="T79">
        <f>7.5</f>
        <v>7.5</v>
      </c>
      <c r="U79">
        <f>469</f>
        <v>469</v>
      </c>
      <c r="X79">
        <f>0</f>
        <v>0</v>
      </c>
      <c r="Y79" t="s">
        <v>180</v>
      </c>
      <c r="Z79">
        <f>0</f>
        <v>0</v>
      </c>
      <c r="AA79">
        <f>0</f>
        <v>0</v>
      </c>
      <c r="AB79">
        <f>0</f>
        <v>0</v>
      </c>
      <c r="AD79">
        <f>0</f>
        <v>0</v>
      </c>
      <c r="AE79">
        <f>0</f>
        <v>0</v>
      </c>
      <c r="AG79" t="s">
        <v>180</v>
      </c>
    </row>
    <row r="80" spans="1:171" x14ac:dyDescent="0.25">
      <c r="A80" t="s">
        <v>502</v>
      </c>
      <c r="B80" t="s">
        <v>170</v>
      </c>
      <c r="C80" s="1">
        <v>46084</v>
      </c>
      <c r="D80" t="s">
        <v>251</v>
      </c>
      <c r="E80" t="s">
        <v>252</v>
      </c>
      <c r="F80" t="s">
        <v>3691</v>
      </c>
      <c r="G80" t="s">
        <v>3692</v>
      </c>
      <c r="H80">
        <v>106</v>
      </c>
      <c r="I80" t="s">
        <v>3692</v>
      </c>
      <c r="J80">
        <v>3216</v>
      </c>
      <c r="K80" t="s">
        <v>4492</v>
      </c>
      <c r="L80" t="s">
        <v>3567</v>
      </c>
      <c r="M80" t="s">
        <v>4531</v>
      </c>
      <c r="N80" t="s">
        <v>3693</v>
      </c>
      <c r="O80" t="s">
        <v>503</v>
      </c>
      <c r="Q80" t="s">
        <v>257</v>
      </c>
      <c r="R80">
        <f>1</f>
        <v>1</v>
      </c>
      <c r="S80">
        <f>9.1</f>
        <v>9.1</v>
      </c>
      <c r="T80">
        <f>8</f>
        <v>8</v>
      </c>
      <c r="U80">
        <f>263</f>
        <v>263</v>
      </c>
      <c r="X80">
        <f>0</f>
        <v>0</v>
      </c>
      <c r="Y80" t="s">
        <v>180</v>
      </c>
      <c r="Z80">
        <f>0</f>
        <v>0</v>
      </c>
      <c r="AA80">
        <f>0</f>
        <v>0</v>
      </c>
      <c r="AB80">
        <f>0</f>
        <v>0</v>
      </c>
      <c r="AD80">
        <f>0</f>
        <v>0</v>
      </c>
      <c r="AE80">
        <f>0</f>
        <v>0</v>
      </c>
      <c r="AG80" t="s">
        <v>180</v>
      </c>
    </row>
    <row r="81" spans="1:171" x14ac:dyDescent="0.25">
      <c r="A81" t="s">
        <v>504</v>
      </c>
      <c r="B81" t="s">
        <v>170</v>
      </c>
      <c r="C81" s="1">
        <v>46091</v>
      </c>
      <c r="D81" t="s">
        <v>425</v>
      </c>
      <c r="E81" t="s">
        <v>426</v>
      </c>
      <c r="F81" t="s">
        <v>4522</v>
      </c>
      <c r="G81" t="s">
        <v>3860</v>
      </c>
      <c r="H81">
        <v>23</v>
      </c>
      <c r="I81" t="s">
        <v>505</v>
      </c>
      <c r="J81">
        <v>4553</v>
      </c>
      <c r="K81" t="s">
        <v>4492</v>
      </c>
      <c r="L81" t="s">
        <v>291</v>
      </c>
      <c r="M81" t="s">
        <v>506</v>
      </c>
      <c r="N81" t="s">
        <v>4532</v>
      </c>
      <c r="O81" t="s">
        <v>507</v>
      </c>
      <c r="R81">
        <f>1</f>
        <v>1</v>
      </c>
      <c r="S81">
        <f>11.8</f>
        <v>11.8</v>
      </c>
      <c r="T81">
        <f>8</f>
        <v>8</v>
      </c>
      <c r="U81">
        <f>200</f>
        <v>200</v>
      </c>
      <c r="X81">
        <f>0</f>
        <v>0</v>
      </c>
      <c r="Y81" t="s">
        <v>180</v>
      </c>
      <c r="Z81">
        <f>0</f>
        <v>0</v>
      </c>
      <c r="AA81" t="s">
        <v>179</v>
      </c>
      <c r="AB81" t="s">
        <v>179</v>
      </c>
      <c r="AD81">
        <f>0</f>
        <v>0</v>
      </c>
      <c r="AE81">
        <f>0</f>
        <v>0</v>
      </c>
      <c r="AG81" t="s">
        <v>180</v>
      </c>
      <c r="AH81" t="s">
        <v>193</v>
      </c>
      <c r="AK81" t="s">
        <v>181</v>
      </c>
      <c r="AL81" t="s">
        <v>182</v>
      </c>
      <c r="AM81">
        <f>2.6</f>
        <v>2.6</v>
      </c>
      <c r="AN81">
        <f>0.05</f>
        <v>0.05</v>
      </c>
      <c r="AO81">
        <f>2.8</f>
        <v>2.8</v>
      </c>
      <c r="AP81">
        <f>0.6</f>
        <v>0.6</v>
      </c>
      <c r="AQ81" t="s">
        <v>180</v>
      </c>
    </row>
    <row r="82" spans="1:171" x14ac:dyDescent="0.25">
      <c r="A82" t="s">
        <v>508</v>
      </c>
      <c r="B82" t="s">
        <v>170</v>
      </c>
      <c r="C82" s="1">
        <v>46097</v>
      </c>
      <c r="D82" t="s">
        <v>222</v>
      </c>
      <c r="E82" t="s">
        <v>223</v>
      </c>
      <c r="F82" t="s">
        <v>509</v>
      </c>
      <c r="G82" t="s">
        <v>4247</v>
      </c>
      <c r="H82">
        <v>1122</v>
      </c>
      <c r="I82" t="s">
        <v>4248</v>
      </c>
      <c r="J82">
        <v>3600</v>
      </c>
      <c r="K82" t="s">
        <v>4492</v>
      </c>
      <c r="L82" t="s">
        <v>510</v>
      </c>
      <c r="M82" t="s">
        <v>3301</v>
      </c>
      <c r="N82" t="s">
        <v>3302</v>
      </c>
      <c r="O82" t="s">
        <v>511</v>
      </c>
      <c r="R82">
        <f>1</f>
        <v>1</v>
      </c>
      <c r="S82">
        <f>13.8</f>
        <v>13.8</v>
      </c>
      <c r="T82">
        <f>7.7</f>
        <v>7.7</v>
      </c>
      <c r="U82">
        <f>507</f>
        <v>507</v>
      </c>
      <c r="V82">
        <f>0.12</f>
        <v>0.12</v>
      </c>
      <c r="X82">
        <f>0</f>
        <v>0</v>
      </c>
      <c r="Y82" t="s">
        <v>180</v>
      </c>
      <c r="Z82">
        <f>0</f>
        <v>0</v>
      </c>
      <c r="AA82" t="s">
        <v>179</v>
      </c>
      <c r="AB82" t="s">
        <v>179</v>
      </c>
      <c r="AD82">
        <f>0</f>
        <v>0</v>
      </c>
      <c r="AE82">
        <f>0</f>
        <v>0</v>
      </c>
      <c r="AG82" t="s">
        <v>180</v>
      </c>
    </row>
    <row r="83" spans="1:171" x14ac:dyDescent="0.25">
      <c r="A83" t="s">
        <v>512</v>
      </c>
      <c r="B83" t="s">
        <v>170</v>
      </c>
      <c r="C83" s="1">
        <v>46090</v>
      </c>
      <c r="D83" t="s">
        <v>222</v>
      </c>
      <c r="E83" t="s">
        <v>260</v>
      </c>
      <c r="F83" t="s">
        <v>4249</v>
      </c>
      <c r="G83" t="s">
        <v>4250</v>
      </c>
      <c r="H83">
        <v>1130</v>
      </c>
      <c r="I83" t="s">
        <v>4250</v>
      </c>
      <c r="J83">
        <v>2600</v>
      </c>
      <c r="K83" t="s">
        <v>4492</v>
      </c>
      <c r="L83" t="s">
        <v>3303</v>
      </c>
      <c r="M83" t="s">
        <v>3304</v>
      </c>
      <c r="N83" t="s">
        <v>3862</v>
      </c>
      <c r="O83" t="s">
        <v>513</v>
      </c>
      <c r="R83">
        <f>1</f>
        <v>1</v>
      </c>
      <c r="S83">
        <f>10.6</f>
        <v>10.6</v>
      </c>
      <c r="T83">
        <f>7.5</f>
        <v>7.5</v>
      </c>
      <c r="U83">
        <f>446</f>
        <v>446</v>
      </c>
      <c r="V83">
        <f>0.16</f>
        <v>0.16</v>
      </c>
      <c r="X83">
        <f>1</f>
        <v>1</v>
      </c>
      <c r="Y83" t="s">
        <v>180</v>
      </c>
      <c r="Z83">
        <f>0</f>
        <v>0</v>
      </c>
      <c r="AA83" t="s">
        <v>179</v>
      </c>
      <c r="AB83" t="s">
        <v>179</v>
      </c>
      <c r="AD83">
        <f>0</f>
        <v>0</v>
      </c>
      <c r="AE83">
        <f>0</f>
        <v>0</v>
      </c>
      <c r="AG83" t="s">
        <v>180</v>
      </c>
    </row>
    <row r="84" spans="1:171" x14ac:dyDescent="0.25">
      <c r="A84" t="s">
        <v>514</v>
      </c>
      <c r="B84" t="s">
        <v>170</v>
      </c>
      <c r="C84" s="1">
        <v>46132</v>
      </c>
      <c r="D84" t="s">
        <v>222</v>
      </c>
      <c r="E84" t="s">
        <v>223</v>
      </c>
      <c r="F84" t="s">
        <v>4533</v>
      </c>
      <c r="G84" t="s">
        <v>515</v>
      </c>
      <c r="H84">
        <v>1132</v>
      </c>
      <c r="I84" t="s">
        <v>515</v>
      </c>
      <c r="J84">
        <v>1430</v>
      </c>
      <c r="K84" t="s">
        <v>4492</v>
      </c>
      <c r="L84" t="s">
        <v>266</v>
      </c>
      <c r="M84" t="s">
        <v>4534</v>
      </c>
      <c r="N84" t="s">
        <v>4535</v>
      </c>
      <c r="O84" t="s">
        <v>516</v>
      </c>
      <c r="R84">
        <f>1</f>
        <v>1</v>
      </c>
      <c r="S84">
        <f>11.4</f>
        <v>11.4</v>
      </c>
      <c r="T84">
        <f>7.7</f>
        <v>7.7</v>
      </c>
      <c r="U84">
        <f>378</f>
        <v>378</v>
      </c>
      <c r="V84">
        <f>0.07</f>
        <v>7.0000000000000007E-2</v>
      </c>
      <c r="X84">
        <f>1</f>
        <v>1</v>
      </c>
      <c r="Y84" t="s">
        <v>180</v>
      </c>
      <c r="Z84">
        <f>0</f>
        <v>0</v>
      </c>
      <c r="AA84" t="s">
        <v>179</v>
      </c>
      <c r="AB84" t="s">
        <v>179</v>
      </c>
      <c r="AD84">
        <f>0</f>
        <v>0</v>
      </c>
      <c r="AE84">
        <f>0</f>
        <v>0</v>
      </c>
      <c r="AG84" t="s">
        <v>180</v>
      </c>
    </row>
    <row r="85" spans="1:171" x14ac:dyDescent="0.25">
      <c r="A85" t="s">
        <v>517</v>
      </c>
      <c r="B85" t="s">
        <v>170</v>
      </c>
      <c r="C85" s="1">
        <v>46086</v>
      </c>
      <c r="D85" t="s">
        <v>222</v>
      </c>
      <c r="E85" t="s">
        <v>260</v>
      </c>
      <c r="F85" t="s">
        <v>518</v>
      </c>
      <c r="G85" t="s">
        <v>519</v>
      </c>
      <c r="H85">
        <v>1144</v>
      </c>
      <c r="I85" t="s">
        <v>519</v>
      </c>
      <c r="J85">
        <v>5410</v>
      </c>
      <c r="K85" t="s">
        <v>4492</v>
      </c>
      <c r="L85" t="s">
        <v>325</v>
      </c>
      <c r="M85" t="s">
        <v>4536</v>
      </c>
      <c r="N85" t="s">
        <v>520</v>
      </c>
      <c r="O85" t="s">
        <v>521</v>
      </c>
      <c r="Q85" t="s">
        <v>3474</v>
      </c>
      <c r="R85">
        <f>1</f>
        <v>1</v>
      </c>
      <c r="S85">
        <f>11.6</f>
        <v>11.6</v>
      </c>
      <c r="T85">
        <f>8</f>
        <v>8</v>
      </c>
      <c r="U85">
        <f>397</f>
        <v>397</v>
      </c>
      <c r="V85">
        <f>0.13</f>
        <v>0.13</v>
      </c>
      <c r="X85">
        <f>1</f>
        <v>1</v>
      </c>
      <c r="Y85">
        <f>0.11</f>
        <v>0.11</v>
      </c>
      <c r="Z85">
        <f>0</f>
        <v>0</v>
      </c>
      <c r="AA85" t="s">
        <v>179</v>
      </c>
      <c r="AB85" t="s">
        <v>179</v>
      </c>
      <c r="AD85">
        <f>0</f>
        <v>0</v>
      </c>
      <c r="AE85">
        <f>0</f>
        <v>0</v>
      </c>
      <c r="AG85" t="s">
        <v>180</v>
      </c>
    </row>
    <row r="86" spans="1:171" x14ac:dyDescent="0.25">
      <c r="A86" t="s">
        <v>522</v>
      </c>
      <c r="B86" t="s">
        <v>170</v>
      </c>
      <c r="C86" s="1">
        <v>46100</v>
      </c>
      <c r="D86" t="s">
        <v>222</v>
      </c>
      <c r="E86" t="s">
        <v>223</v>
      </c>
      <c r="F86" t="s">
        <v>3685</v>
      </c>
      <c r="G86" t="s">
        <v>3863</v>
      </c>
      <c r="H86">
        <v>1145</v>
      </c>
      <c r="I86" t="s">
        <v>3863</v>
      </c>
      <c r="J86">
        <v>4356</v>
      </c>
      <c r="K86" t="s">
        <v>4492</v>
      </c>
      <c r="L86" t="s">
        <v>291</v>
      </c>
      <c r="M86" t="s">
        <v>3864</v>
      </c>
      <c r="N86" t="s">
        <v>4537</v>
      </c>
      <c r="O86" t="s">
        <v>523</v>
      </c>
      <c r="R86">
        <f>1</f>
        <v>1</v>
      </c>
      <c r="S86">
        <f>9.9</f>
        <v>9.9</v>
      </c>
      <c r="T86">
        <f>8</f>
        <v>8</v>
      </c>
      <c r="U86">
        <f>293</f>
        <v>293</v>
      </c>
      <c r="X86">
        <f>0</f>
        <v>0</v>
      </c>
      <c r="Y86">
        <f>0.59</f>
        <v>0.59</v>
      </c>
      <c r="Z86">
        <f>0</f>
        <v>0</v>
      </c>
      <c r="AA86" t="s">
        <v>179</v>
      </c>
      <c r="AB86" t="s">
        <v>179</v>
      </c>
      <c r="AD86">
        <f>0</f>
        <v>0</v>
      </c>
      <c r="AE86">
        <f>0</f>
        <v>0</v>
      </c>
      <c r="AG86" t="s">
        <v>180</v>
      </c>
    </row>
    <row r="87" spans="1:171" x14ac:dyDescent="0.25">
      <c r="A87" t="s">
        <v>524</v>
      </c>
      <c r="B87" t="s">
        <v>170</v>
      </c>
      <c r="C87" s="1">
        <v>46100</v>
      </c>
      <c r="D87" t="s">
        <v>222</v>
      </c>
      <c r="E87" t="s">
        <v>223</v>
      </c>
      <c r="F87" t="s">
        <v>3685</v>
      </c>
      <c r="G87" t="s">
        <v>525</v>
      </c>
      <c r="H87">
        <v>1148</v>
      </c>
      <c r="I87" t="s">
        <v>525</v>
      </c>
      <c r="J87">
        <v>4086</v>
      </c>
      <c r="K87" t="s">
        <v>4492</v>
      </c>
      <c r="L87" t="s">
        <v>291</v>
      </c>
      <c r="M87" t="s">
        <v>526</v>
      </c>
      <c r="N87" t="s">
        <v>527</v>
      </c>
      <c r="O87" t="s">
        <v>528</v>
      </c>
      <c r="R87">
        <f>1</f>
        <v>1</v>
      </c>
      <c r="S87">
        <f>10.2</f>
        <v>10.199999999999999</v>
      </c>
      <c r="T87">
        <f>7.7</f>
        <v>7.7</v>
      </c>
      <c r="U87">
        <f>281</f>
        <v>281</v>
      </c>
      <c r="X87">
        <f>0</f>
        <v>0</v>
      </c>
      <c r="Y87">
        <f>0.44</f>
        <v>0.44</v>
      </c>
      <c r="Z87">
        <f>0</f>
        <v>0</v>
      </c>
      <c r="AA87" t="s">
        <v>179</v>
      </c>
      <c r="AB87" t="s">
        <v>179</v>
      </c>
      <c r="AD87">
        <f>0</f>
        <v>0</v>
      </c>
      <c r="AE87">
        <f>0</f>
        <v>0</v>
      </c>
      <c r="AG87" t="s">
        <v>180</v>
      </c>
    </row>
    <row r="88" spans="1:171" x14ac:dyDescent="0.25">
      <c r="A88" t="s">
        <v>529</v>
      </c>
      <c r="B88" t="s">
        <v>170</v>
      </c>
      <c r="C88" s="1">
        <v>46098</v>
      </c>
      <c r="D88" t="s">
        <v>216</v>
      </c>
      <c r="E88" t="s">
        <v>217</v>
      </c>
      <c r="F88" t="s">
        <v>530</v>
      </c>
      <c r="G88" t="s">
        <v>4251</v>
      </c>
      <c r="H88">
        <v>1351</v>
      </c>
      <c r="I88" t="s">
        <v>4251</v>
      </c>
      <c r="J88">
        <v>648</v>
      </c>
      <c r="K88" t="s">
        <v>4492</v>
      </c>
      <c r="L88" t="s">
        <v>266</v>
      </c>
      <c r="M88" t="s">
        <v>3305</v>
      </c>
      <c r="N88" t="s">
        <v>3306</v>
      </c>
      <c r="O88" t="s">
        <v>531</v>
      </c>
      <c r="Q88" t="s">
        <v>3468</v>
      </c>
      <c r="R88">
        <f>1</f>
        <v>1</v>
      </c>
      <c r="S88">
        <f>10</f>
        <v>10</v>
      </c>
      <c r="T88">
        <f>8.1</f>
        <v>8.1</v>
      </c>
      <c r="U88">
        <f>327</f>
        <v>327</v>
      </c>
      <c r="V88">
        <f>0.13</f>
        <v>0.13</v>
      </c>
      <c r="X88">
        <f>1</f>
        <v>1</v>
      </c>
      <c r="Y88">
        <f>0.15</f>
        <v>0.15</v>
      </c>
      <c r="Z88">
        <f>0</f>
        <v>0</v>
      </c>
      <c r="AA88">
        <f>0</f>
        <v>0</v>
      </c>
      <c r="AB88">
        <f>0</f>
        <v>0</v>
      </c>
      <c r="AD88">
        <f>0</f>
        <v>0</v>
      </c>
      <c r="AE88">
        <f>0</f>
        <v>0</v>
      </c>
      <c r="AG88" t="s">
        <v>220</v>
      </c>
    </row>
    <row r="89" spans="1:171" x14ac:dyDescent="0.25">
      <c r="A89" t="s">
        <v>532</v>
      </c>
      <c r="B89" t="s">
        <v>170</v>
      </c>
      <c r="C89" s="1">
        <v>46091</v>
      </c>
      <c r="D89" t="s">
        <v>302</v>
      </c>
      <c r="E89" t="s">
        <v>303</v>
      </c>
      <c r="F89" t="s">
        <v>310</v>
      </c>
      <c r="G89" t="s">
        <v>311</v>
      </c>
      <c r="H89">
        <v>806</v>
      </c>
      <c r="I89" t="s">
        <v>3307</v>
      </c>
      <c r="J89">
        <v>4002</v>
      </c>
      <c r="K89" t="s">
        <v>4492</v>
      </c>
      <c r="L89" t="s">
        <v>291</v>
      </c>
      <c r="M89" t="s">
        <v>3308</v>
      </c>
      <c r="N89" t="s">
        <v>533</v>
      </c>
      <c r="O89" t="s">
        <v>534</v>
      </c>
      <c r="R89">
        <f>1</f>
        <v>1</v>
      </c>
      <c r="S89">
        <f>8.6</f>
        <v>8.6</v>
      </c>
      <c r="T89">
        <f>7.3</f>
        <v>7.3</v>
      </c>
      <c r="U89">
        <f>481</f>
        <v>481</v>
      </c>
      <c r="X89">
        <f>0</f>
        <v>0</v>
      </c>
      <c r="Y89" t="s">
        <v>180</v>
      </c>
      <c r="Z89">
        <f>0</f>
        <v>0</v>
      </c>
      <c r="AA89" t="s">
        <v>179</v>
      </c>
      <c r="AB89" t="s">
        <v>179</v>
      </c>
      <c r="AD89">
        <f>0</f>
        <v>0</v>
      </c>
      <c r="AE89">
        <f>0</f>
        <v>0</v>
      </c>
      <c r="AG89" t="s">
        <v>180</v>
      </c>
    </row>
    <row r="90" spans="1:171" x14ac:dyDescent="0.25">
      <c r="A90" t="s">
        <v>535</v>
      </c>
      <c r="B90" t="s">
        <v>170</v>
      </c>
      <c r="C90" s="1">
        <v>46090</v>
      </c>
      <c r="D90" t="s">
        <v>222</v>
      </c>
      <c r="E90" t="s">
        <v>223</v>
      </c>
      <c r="F90" t="s">
        <v>536</v>
      </c>
      <c r="G90" t="s">
        <v>537</v>
      </c>
      <c r="H90">
        <v>1124</v>
      </c>
      <c r="I90" t="s">
        <v>537</v>
      </c>
      <c r="J90">
        <v>11300</v>
      </c>
      <c r="K90" t="s">
        <v>4492</v>
      </c>
      <c r="L90" t="s">
        <v>369</v>
      </c>
      <c r="M90" t="s">
        <v>538</v>
      </c>
      <c r="N90" t="s">
        <v>539</v>
      </c>
      <c r="O90" t="s">
        <v>540</v>
      </c>
      <c r="R90">
        <f>1</f>
        <v>1</v>
      </c>
      <c r="S90">
        <f>10.1</f>
        <v>10.1</v>
      </c>
      <c r="T90">
        <f>7.7</f>
        <v>7.7</v>
      </c>
      <c r="U90">
        <f>463</f>
        <v>463</v>
      </c>
      <c r="V90">
        <f>0.31</f>
        <v>0.31</v>
      </c>
      <c r="X90">
        <f>1</f>
        <v>1</v>
      </c>
      <c r="Y90">
        <f>0.19</f>
        <v>0.19</v>
      </c>
      <c r="Z90">
        <f>0</f>
        <v>0</v>
      </c>
      <c r="AA90" t="s">
        <v>179</v>
      </c>
      <c r="AB90" t="s">
        <v>179</v>
      </c>
      <c r="AD90">
        <f>0</f>
        <v>0</v>
      </c>
      <c r="AE90">
        <f>0</f>
        <v>0</v>
      </c>
      <c r="AG90" t="s">
        <v>180</v>
      </c>
    </row>
    <row r="91" spans="1:171" x14ac:dyDescent="0.25">
      <c r="A91" t="s">
        <v>541</v>
      </c>
      <c r="B91" t="s">
        <v>170</v>
      </c>
      <c r="C91" s="1">
        <v>46079</v>
      </c>
      <c r="D91" t="s">
        <v>251</v>
      </c>
      <c r="E91" t="s">
        <v>252</v>
      </c>
      <c r="F91" t="s">
        <v>253</v>
      </c>
      <c r="G91" t="s">
        <v>542</v>
      </c>
      <c r="H91">
        <v>1498</v>
      </c>
      <c r="I91" t="s">
        <v>543</v>
      </c>
      <c r="J91">
        <v>3704</v>
      </c>
      <c r="K91" t="s">
        <v>4492</v>
      </c>
      <c r="L91" t="s">
        <v>266</v>
      </c>
      <c r="M91" t="s">
        <v>3309</v>
      </c>
      <c r="N91" t="s">
        <v>4538</v>
      </c>
      <c r="O91" t="s">
        <v>544</v>
      </c>
      <c r="Q91" t="s">
        <v>3568</v>
      </c>
      <c r="R91">
        <f>1</f>
        <v>1</v>
      </c>
      <c r="S91">
        <f>7.6</f>
        <v>7.6</v>
      </c>
      <c r="T91">
        <f>7.9</f>
        <v>7.9</v>
      </c>
      <c r="U91">
        <f>296</f>
        <v>296</v>
      </c>
      <c r="V91">
        <f>0.04</f>
        <v>0.04</v>
      </c>
      <c r="X91">
        <f>0</f>
        <v>0</v>
      </c>
      <c r="Y91" t="s">
        <v>180</v>
      </c>
      <c r="Z91">
        <f>0</f>
        <v>0</v>
      </c>
      <c r="AA91">
        <f>0</f>
        <v>0</v>
      </c>
      <c r="AB91">
        <f>0</f>
        <v>0</v>
      </c>
      <c r="AD91">
        <f>0</f>
        <v>0</v>
      </c>
      <c r="AE91">
        <f>0</f>
        <v>0</v>
      </c>
      <c r="AG91" t="s">
        <v>180</v>
      </c>
    </row>
    <row r="92" spans="1:171" x14ac:dyDescent="0.25">
      <c r="A92" t="s">
        <v>545</v>
      </c>
      <c r="B92" t="s">
        <v>170</v>
      </c>
      <c r="C92" s="1">
        <v>46080</v>
      </c>
      <c r="D92" t="s">
        <v>184</v>
      </c>
      <c r="E92" t="s">
        <v>546</v>
      </c>
      <c r="F92" t="s">
        <v>547</v>
      </c>
      <c r="G92" t="s">
        <v>4252</v>
      </c>
      <c r="H92">
        <v>1022</v>
      </c>
      <c r="I92" t="s">
        <v>4252</v>
      </c>
      <c r="J92">
        <v>8960</v>
      </c>
      <c r="K92" t="s">
        <v>4494</v>
      </c>
      <c r="L92" t="s">
        <v>176</v>
      </c>
      <c r="M92" t="s">
        <v>548</v>
      </c>
      <c r="N92" t="s">
        <v>549</v>
      </c>
      <c r="O92" t="s">
        <v>550</v>
      </c>
      <c r="R92">
        <f>1</f>
        <v>1</v>
      </c>
      <c r="S92">
        <f>11.9</f>
        <v>11.9</v>
      </c>
      <c r="T92">
        <f>7.4</f>
        <v>7.4</v>
      </c>
      <c r="U92">
        <f>517</f>
        <v>517</v>
      </c>
      <c r="X92">
        <f>0</f>
        <v>0</v>
      </c>
      <c r="Y92" t="s">
        <v>180</v>
      </c>
      <c r="Z92">
        <f>0</f>
        <v>0</v>
      </c>
      <c r="AA92" t="s">
        <v>179</v>
      </c>
      <c r="AB92" t="s">
        <v>179</v>
      </c>
      <c r="AC92">
        <f>0</f>
        <v>0</v>
      </c>
      <c r="AD92">
        <f>0</f>
        <v>0</v>
      </c>
      <c r="AE92">
        <f>0</f>
        <v>0</v>
      </c>
      <c r="AG92" t="s">
        <v>180</v>
      </c>
      <c r="AH92" t="s">
        <v>193</v>
      </c>
      <c r="AK92" t="s">
        <v>181</v>
      </c>
      <c r="AL92" t="s">
        <v>182</v>
      </c>
      <c r="AM92">
        <f>5.3</f>
        <v>5.3</v>
      </c>
      <c r="AN92">
        <f>0.11</f>
        <v>0.11</v>
      </c>
      <c r="AO92">
        <f>6.4</f>
        <v>6.4</v>
      </c>
      <c r="AP92">
        <f>7.5</f>
        <v>7.5</v>
      </c>
      <c r="AQ92" t="s">
        <v>180</v>
      </c>
    </row>
    <row r="93" spans="1:171" x14ac:dyDescent="0.25">
      <c r="A93" t="s">
        <v>551</v>
      </c>
      <c r="B93" t="s">
        <v>170</v>
      </c>
      <c r="C93" s="1">
        <v>46078</v>
      </c>
      <c r="D93" t="s">
        <v>195</v>
      </c>
      <c r="E93" t="s">
        <v>196</v>
      </c>
      <c r="F93" t="s">
        <v>3857</v>
      </c>
      <c r="G93" t="s">
        <v>460</v>
      </c>
      <c r="H93">
        <v>328</v>
      </c>
      <c r="I93" t="s">
        <v>460</v>
      </c>
      <c r="J93">
        <v>19000</v>
      </c>
      <c r="K93" t="s">
        <v>4494</v>
      </c>
      <c r="L93" t="s">
        <v>461</v>
      </c>
      <c r="M93" t="s">
        <v>3569</v>
      </c>
      <c r="N93" t="s">
        <v>3570</v>
      </c>
      <c r="O93" t="s">
        <v>552</v>
      </c>
      <c r="R93">
        <f>1</f>
        <v>1</v>
      </c>
      <c r="S93">
        <f>13.4</f>
        <v>13.4</v>
      </c>
      <c r="T93">
        <f>7.4</f>
        <v>7.4</v>
      </c>
      <c r="U93">
        <f>573</f>
        <v>573</v>
      </c>
      <c r="X93">
        <f>0</f>
        <v>0</v>
      </c>
      <c r="Y93">
        <f>0.01</f>
        <v>0.01</v>
      </c>
      <c r="Z93">
        <f>0</f>
        <v>0</v>
      </c>
      <c r="AA93">
        <f>0</f>
        <v>0</v>
      </c>
      <c r="AB93">
        <f>0</f>
        <v>0</v>
      </c>
      <c r="AC93">
        <f>0</f>
        <v>0</v>
      </c>
      <c r="AD93">
        <f>0</f>
        <v>0</v>
      </c>
      <c r="AE93">
        <f>0</f>
        <v>0</v>
      </c>
      <c r="AG93" t="s">
        <v>180</v>
      </c>
    </row>
    <row r="94" spans="1:171" x14ac:dyDescent="0.25">
      <c r="A94" t="s">
        <v>553</v>
      </c>
      <c r="B94" t="s">
        <v>170</v>
      </c>
      <c r="C94" s="1">
        <v>46128</v>
      </c>
      <c r="D94" t="s">
        <v>302</v>
      </c>
      <c r="E94" t="s">
        <v>303</v>
      </c>
      <c r="F94" t="s">
        <v>304</v>
      </c>
      <c r="G94" t="s">
        <v>305</v>
      </c>
      <c r="H94">
        <v>1586</v>
      </c>
      <c r="I94" t="s">
        <v>554</v>
      </c>
      <c r="J94">
        <v>7900</v>
      </c>
      <c r="K94" t="s">
        <v>4492</v>
      </c>
      <c r="M94" t="s">
        <v>3865</v>
      </c>
      <c r="N94" t="s">
        <v>3571</v>
      </c>
      <c r="O94" t="s">
        <v>555</v>
      </c>
      <c r="R94">
        <f>1</f>
        <v>1</v>
      </c>
      <c r="S94">
        <f>13.1</f>
        <v>13.1</v>
      </c>
      <c r="T94">
        <f>7.6</f>
        <v>7.6</v>
      </c>
      <c r="U94">
        <f>524</f>
        <v>524</v>
      </c>
      <c r="X94">
        <f>0</f>
        <v>0</v>
      </c>
      <c r="Y94" t="s">
        <v>180</v>
      </c>
      <c r="Z94">
        <f>0</f>
        <v>0</v>
      </c>
      <c r="AA94" t="s">
        <v>179</v>
      </c>
      <c r="AB94" t="s">
        <v>179</v>
      </c>
      <c r="AD94">
        <f>0</f>
        <v>0</v>
      </c>
      <c r="AE94">
        <f>0</f>
        <v>0</v>
      </c>
      <c r="AG94" t="s">
        <v>180</v>
      </c>
      <c r="AR94">
        <f>7.2</f>
        <v>7.2</v>
      </c>
      <c r="AS94" t="s">
        <v>336</v>
      </c>
      <c r="AT94" t="s">
        <v>336</v>
      </c>
      <c r="AX94" t="s">
        <v>336</v>
      </c>
      <c r="AY94" t="s">
        <v>336</v>
      </c>
      <c r="AZ94" t="s">
        <v>336</v>
      </c>
      <c r="BA94" t="s">
        <v>336</v>
      </c>
      <c r="BB94" t="s">
        <v>336</v>
      </c>
      <c r="BC94" t="s">
        <v>336</v>
      </c>
      <c r="BD94" t="s">
        <v>336</v>
      </c>
      <c r="BE94" t="s">
        <v>336</v>
      </c>
      <c r="BF94" t="s">
        <v>336</v>
      </c>
      <c r="BG94" t="s">
        <v>336</v>
      </c>
      <c r="BH94" t="s">
        <v>336</v>
      </c>
      <c r="BI94" t="s">
        <v>336</v>
      </c>
      <c r="BJ94" t="s">
        <v>336</v>
      </c>
      <c r="BK94" t="s">
        <v>336</v>
      </c>
      <c r="BL94" t="s">
        <v>336</v>
      </c>
      <c r="BM94" t="s">
        <v>336</v>
      </c>
      <c r="BN94" t="s">
        <v>336</v>
      </c>
      <c r="BO94" t="s">
        <v>336</v>
      </c>
      <c r="BP94" t="s">
        <v>243</v>
      </c>
      <c r="BR94">
        <f>1.5</f>
        <v>1.5</v>
      </c>
      <c r="BS94">
        <f>46</f>
        <v>46</v>
      </c>
      <c r="BT94">
        <f>0.011</f>
        <v>1.0999999999999999E-2</v>
      </c>
      <c r="BU94" t="s">
        <v>179</v>
      </c>
      <c r="BV94" t="s">
        <v>220</v>
      </c>
      <c r="BW94" t="s">
        <v>284</v>
      </c>
      <c r="BX94" t="s">
        <v>556</v>
      </c>
      <c r="BY94">
        <f>0.035</f>
        <v>3.5000000000000003E-2</v>
      </c>
      <c r="BZ94" t="s">
        <v>284</v>
      </c>
      <c r="CA94" t="s">
        <v>284</v>
      </c>
      <c r="CB94">
        <f>1.1</f>
        <v>1.1000000000000001</v>
      </c>
      <c r="CE94">
        <f>2.2</f>
        <v>2.2000000000000002</v>
      </c>
      <c r="FJ94" t="s">
        <v>339</v>
      </c>
      <c r="FK94" t="s">
        <v>339</v>
      </c>
      <c r="FL94" t="s">
        <v>339</v>
      </c>
      <c r="FM94" t="s">
        <v>339</v>
      </c>
      <c r="FN94" t="s">
        <v>339</v>
      </c>
      <c r="FO94" t="s">
        <v>339</v>
      </c>
    </row>
    <row r="95" spans="1:171" x14ac:dyDescent="0.25">
      <c r="A95" t="s">
        <v>557</v>
      </c>
      <c r="B95" t="s">
        <v>170</v>
      </c>
      <c r="C95" s="1">
        <v>46078</v>
      </c>
      <c r="D95" t="s">
        <v>184</v>
      </c>
      <c r="E95" t="s">
        <v>448</v>
      </c>
      <c r="F95" t="s">
        <v>558</v>
      </c>
      <c r="G95" t="s">
        <v>559</v>
      </c>
      <c r="H95">
        <v>642</v>
      </c>
      <c r="I95" t="s">
        <v>560</v>
      </c>
      <c r="J95">
        <v>9716</v>
      </c>
      <c r="K95" t="s">
        <v>4494</v>
      </c>
      <c r="L95" t="s">
        <v>561</v>
      </c>
      <c r="M95" t="s">
        <v>562</v>
      </c>
      <c r="N95" t="s">
        <v>563</v>
      </c>
      <c r="O95" t="s">
        <v>564</v>
      </c>
      <c r="R95">
        <f>1</f>
        <v>1</v>
      </c>
      <c r="S95">
        <f>8.6</f>
        <v>8.6</v>
      </c>
      <c r="T95">
        <f>7.5</f>
        <v>7.5</v>
      </c>
      <c r="U95">
        <f>477</f>
        <v>477</v>
      </c>
      <c r="W95">
        <f>0.2</f>
        <v>0.2</v>
      </c>
      <c r="X95">
        <f>0</f>
        <v>0</v>
      </c>
      <c r="Y95" t="s">
        <v>180</v>
      </c>
      <c r="Z95">
        <f>0</f>
        <v>0</v>
      </c>
      <c r="AA95" t="s">
        <v>179</v>
      </c>
      <c r="AB95" t="s">
        <v>179</v>
      </c>
      <c r="AC95">
        <f>0</f>
        <v>0</v>
      </c>
      <c r="AD95">
        <f>0</f>
        <v>0</v>
      </c>
      <c r="AE95">
        <f>0</f>
        <v>0</v>
      </c>
      <c r="AG95" t="s">
        <v>180</v>
      </c>
    </row>
    <row r="96" spans="1:171" x14ac:dyDescent="0.25">
      <c r="A96" t="s">
        <v>565</v>
      </c>
      <c r="B96" t="s">
        <v>170</v>
      </c>
      <c r="C96" s="1">
        <v>46120</v>
      </c>
      <c r="D96" t="s">
        <v>184</v>
      </c>
      <c r="E96" t="s">
        <v>185</v>
      </c>
      <c r="F96" t="s">
        <v>419</v>
      </c>
      <c r="G96" t="s">
        <v>420</v>
      </c>
      <c r="H96">
        <v>1175</v>
      </c>
      <c r="I96" t="s">
        <v>420</v>
      </c>
      <c r="J96">
        <v>14500</v>
      </c>
      <c r="K96" t="s">
        <v>4492</v>
      </c>
      <c r="L96" t="s">
        <v>176</v>
      </c>
      <c r="M96" t="s">
        <v>3866</v>
      </c>
      <c r="N96" t="s">
        <v>3867</v>
      </c>
      <c r="O96" t="s">
        <v>566</v>
      </c>
      <c r="R96">
        <f>1</f>
        <v>1</v>
      </c>
      <c r="S96">
        <f>11.7</f>
        <v>11.7</v>
      </c>
      <c r="T96">
        <f>7.7</f>
        <v>7.7</v>
      </c>
      <c r="U96">
        <f>434</f>
        <v>434</v>
      </c>
      <c r="X96">
        <f>0</f>
        <v>0</v>
      </c>
      <c r="Y96">
        <f>0.3</f>
        <v>0.3</v>
      </c>
      <c r="Z96">
        <f>0</f>
        <v>0</v>
      </c>
      <c r="AA96" t="s">
        <v>179</v>
      </c>
      <c r="AB96">
        <f>100</f>
        <v>100</v>
      </c>
      <c r="AD96">
        <f>0</f>
        <v>0</v>
      </c>
      <c r="AE96">
        <f>0</f>
        <v>0</v>
      </c>
      <c r="AG96" t="s">
        <v>180</v>
      </c>
    </row>
    <row r="97" spans="1:165" x14ac:dyDescent="0.25">
      <c r="A97" t="s">
        <v>567</v>
      </c>
      <c r="B97" t="s">
        <v>170</v>
      </c>
      <c r="C97" s="1">
        <v>46098</v>
      </c>
      <c r="D97" t="s">
        <v>238</v>
      </c>
      <c r="E97" t="s">
        <v>239</v>
      </c>
      <c r="F97" t="s">
        <v>4224</v>
      </c>
      <c r="G97" t="s">
        <v>4225</v>
      </c>
      <c r="H97">
        <v>796</v>
      </c>
      <c r="I97" t="s">
        <v>4226</v>
      </c>
      <c r="J97">
        <v>12713</v>
      </c>
      <c r="K97" t="s">
        <v>4494</v>
      </c>
      <c r="L97" t="s">
        <v>245</v>
      </c>
      <c r="M97" t="s">
        <v>568</v>
      </c>
      <c r="N97" t="s">
        <v>569</v>
      </c>
      <c r="O97" t="s">
        <v>570</v>
      </c>
      <c r="Q97" t="s">
        <v>4539</v>
      </c>
      <c r="R97">
        <f>1</f>
        <v>1</v>
      </c>
      <c r="S97">
        <f>11.3</f>
        <v>11.3</v>
      </c>
      <c r="T97">
        <f>7.7</f>
        <v>7.7</v>
      </c>
      <c r="U97">
        <f>349</f>
        <v>349</v>
      </c>
      <c r="X97">
        <f>0</f>
        <v>0</v>
      </c>
      <c r="Y97" t="s">
        <v>243</v>
      </c>
      <c r="Z97">
        <f>0</f>
        <v>0</v>
      </c>
      <c r="AA97" t="s">
        <v>179</v>
      </c>
      <c r="AB97" t="s">
        <v>179</v>
      </c>
      <c r="AC97">
        <f>0</f>
        <v>0</v>
      </c>
      <c r="AD97">
        <f>0</f>
        <v>0</v>
      </c>
      <c r="AE97">
        <f>0</f>
        <v>0</v>
      </c>
      <c r="AG97" t="s">
        <v>220</v>
      </c>
    </row>
    <row r="98" spans="1:165" x14ac:dyDescent="0.25">
      <c r="A98" t="s">
        <v>571</v>
      </c>
      <c r="B98" t="s">
        <v>170</v>
      </c>
      <c r="C98" s="1">
        <v>46091</v>
      </c>
      <c r="D98" t="s">
        <v>238</v>
      </c>
      <c r="E98" t="s">
        <v>260</v>
      </c>
      <c r="F98" t="s">
        <v>261</v>
      </c>
      <c r="G98" t="s">
        <v>572</v>
      </c>
      <c r="H98">
        <v>150</v>
      </c>
      <c r="I98" t="s">
        <v>572</v>
      </c>
      <c r="J98">
        <v>3759</v>
      </c>
      <c r="K98" t="s">
        <v>4492</v>
      </c>
      <c r="L98" t="s">
        <v>197</v>
      </c>
      <c r="M98" t="s">
        <v>573</v>
      </c>
      <c r="N98" t="s">
        <v>574</v>
      </c>
      <c r="O98" t="s">
        <v>575</v>
      </c>
      <c r="R98">
        <f>1</f>
        <v>1</v>
      </c>
      <c r="S98">
        <f>9.9</f>
        <v>9.9</v>
      </c>
      <c r="T98">
        <f>7.6</f>
        <v>7.6</v>
      </c>
      <c r="U98">
        <f>406</f>
        <v>406</v>
      </c>
      <c r="X98">
        <f>0</f>
        <v>0</v>
      </c>
      <c r="Y98">
        <f>0.77</f>
        <v>0.77</v>
      </c>
      <c r="Z98">
        <f>0</f>
        <v>0</v>
      </c>
      <c r="AA98" t="s">
        <v>179</v>
      </c>
      <c r="AB98" t="s">
        <v>179</v>
      </c>
      <c r="AD98">
        <f>0</f>
        <v>0</v>
      </c>
      <c r="AE98">
        <f>0</f>
        <v>0</v>
      </c>
      <c r="AG98" t="s">
        <v>220</v>
      </c>
      <c r="AH98">
        <f>0.47</f>
        <v>0.47</v>
      </c>
      <c r="AK98" t="s">
        <v>286</v>
      </c>
      <c r="AL98">
        <f>0.0012</f>
        <v>1.1999999999999999E-3</v>
      </c>
      <c r="AM98">
        <f>5.2</f>
        <v>5.2</v>
      </c>
      <c r="AN98">
        <f>0.104</f>
        <v>0.104</v>
      </c>
      <c r="AO98">
        <f>6.1</f>
        <v>6.1</v>
      </c>
      <c r="AP98">
        <f>3.1</f>
        <v>3.1</v>
      </c>
      <c r="AQ98" t="s">
        <v>192</v>
      </c>
    </row>
    <row r="99" spans="1:165" x14ac:dyDescent="0.25">
      <c r="A99" t="s">
        <v>576</v>
      </c>
      <c r="B99" t="s">
        <v>170</v>
      </c>
      <c r="C99" s="1">
        <v>46101</v>
      </c>
      <c r="D99" t="s">
        <v>251</v>
      </c>
      <c r="E99" t="s">
        <v>252</v>
      </c>
      <c r="F99" t="s">
        <v>280</v>
      </c>
      <c r="G99" t="s">
        <v>577</v>
      </c>
      <c r="H99">
        <v>59</v>
      </c>
      <c r="I99" t="s">
        <v>577</v>
      </c>
      <c r="J99">
        <v>1289</v>
      </c>
      <c r="K99" t="s">
        <v>4492</v>
      </c>
      <c r="L99" t="s">
        <v>271</v>
      </c>
      <c r="M99" t="s">
        <v>3868</v>
      </c>
      <c r="N99" t="s">
        <v>578</v>
      </c>
      <c r="O99" t="s">
        <v>579</v>
      </c>
      <c r="Q99" t="s">
        <v>257</v>
      </c>
      <c r="R99">
        <f>1</f>
        <v>1</v>
      </c>
      <c r="S99">
        <f>11.6</f>
        <v>11.6</v>
      </c>
      <c r="T99">
        <f>7.6</f>
        <v>7.6</v>
      </c>
      <c r="U99">
        <f>333</f>
        <v>333</v>
      </c>
      <c r="X99">
        <f>0</f>
        <v>0</v>
      </c>
      <c r="Y99" t="s">
        <v>180</v>
      </c>
      <c r="Z99">
        <f>0</f>
        <v>0</v>
      </c>
      <c r="AA99">
        <f>0</f>
        <v>0</v>
      </c>
      <c r="AB99">
        <f>0</f>
        <v>0</v>
      </c>
      <c r="AD99">
        <f>0</f>
        <v>0</v>
      </c>
      <c r="AE99">
        <f>0</f>
        <v>0</v>
      </c>
      <c r="AG99" t="s">
        <v>180</v>
      </c>
    </row>
    <row r="100" spans="1:165" x14ac:dyDescent="0.25">
      <c r="A100" t="s">
        <v>580</v>
      </c>
      <c r="B100" t="s">
        <v>170</v>
      </c>
      <c r="C100" s="1">
        <v>46078</v>
      </c>
      <c r="D100" t="s">
        <v>195</v>
      </c>
      <c r="E100" t="s">
        <v>196</v>
      </c>
      <c r="F100" t="s">
        <v>3857</v>
      </c>
      <c r="G100" t="s">
        <v>460</v>
      </c>
      <c r="H100">
        <v>328</v>
      </c>
      <c r="I100" t="s">
        <v>460</v>
      </c>
      <c r="J100">
        <v>19000</v>
      </c>
      <c r="K100" t="s">
        <v>4494</v>
      </c>
      <c r="L100" t="s">
        <v>461</v>
      </c>
      <c r="M100" t="s">
        <v>4540</v>
      </c>
      <c r="N100" t="s">
        <v>581</v>
      </c>
      <c r="O100" t="s">
        <v>582</v>
      </c>
      <c r="R100">
        <f>1</f>
        <v>1</v>
      </c>
      <c r="S100">
        <f>11.1</f>
        <v>11.1</v>
      </c>
      <c r="T100">
        <f>7.4</f>
        <v>7.4</v>
      </c>
      <c r="U100">
        <f>588</f>
        <v>588</v>
      </c>
      <c r="X100">
        <f>0</f>
        <v>0</v>
      </c>
      <c r="Y100">
        <f>0.1</f>
        <v>0.1</v>
      </c>
      <c r="Z100">
        <f>0</f>
        <v>0</v>
      </c>
      <c r="AA100">
        <f>1</f>
        <v>1</v>
      </c>
      <c r="AB100">
        <f>0</f>
        <v>0</v>
      </c>
      <c r="AC100">
        <f>0</f>
        <v>0</v>
      </c>
      <c r="AD100">
        <f>0</f>
        <v>0</v>
      </c>
      <c r="AE100">
        <f>0</f>
        <v>0</v>
      </c>
      <c r="AG100" t="s">
        <v>180</v>
      </c>
    </row>
    <row r="101" spans="1:165" x14ac:dyDescent="0.25">
      <c r="A101" t="s">
        <v>583</v>
      </c>
      <c r="B101" t="s">
        <v>170</v>
      </c>
      <c r="C101" s="1">
        <v>46098</v>
      </c>
      <c r="D101" t="s">
        <v>184</v>
      </c>
      <c r="E101" t="s">
        <v>239</v>
      </c>
      <c r="F101" t="s">
        <v>276</v>
      </c>
      <c r="G101" t="s">
        <v>4227</v>
      </c>
      <c r="H101">
        <v>692</v>
      </c>
      <c r="I101" t="s">
        <v>584</v>
      </c>
      <c r="J101">
        <v>9259</v>
      </c>
      <c r="K101" t="s">
        <v>4494</v>
      </c>
      <c r="L101" t="s">
        <v>277</v>
      </c>
      <c r="M101" t="s">
        <v>585</v>
      </c>
      <c r="N101" t="s">
        <v>586</v>
      </c>
      <c r="O101" t="s">
        <v>587</v>
      </c>
      <c r="R101">
        <f>1</f>
        <v>1</v>
      </c>
      <c r="S101">
        <f>6.8</f>
        <v>6.8</v>
      </c>
      <c r="T101">
        <f>7.6</f>
        <v>7.6</v>
      </c>
      <c r="U101">
        <f>386</f>
        <v>386</v>
      </c>
      <c r="X101">
        <f>0</f>
        <v>0</v>
      </c>
      <c r="Y101" t="s">
        <v>243</v>
      </c>
      <c r="Z101">
        <f>0</f>
        <v>0</v>
      </c>
      <c r="AA101" t="s">
        <v>179</v>
      </c>
      <c r="AB101" t="s">
        <v>179</v>
      </c>
      <c r="AC101">
        <f>0</f>
        <v>0</v>
      </c>
      <c r="AD101">
        <f>0</f>
        <v>0</v>
      </c>
      <c r="AE101">
        <f>0</f>
        <v>0</v>
      </c>
      <c r="AG101" t="s">
        <v>220</v>
      </c>
    </row>
    <row r="102" spans="1:165" x14ac:dyDescent="0.25">
      <c r="A102" t="s">
        <v>588</v>
      </c>
      <c r="B102" t="s">
        <v>170</v>
      </c>
      <c r="C102" s="1">
        <v>46112</v>
      </c>
      <c r="D102" t="s">
        <v>216</v>
      </c>
      <c r="E102" t="s">
        <v>217</v>
      </c>
      <c r="F102" t="s">
        <v>530</v>
      </c>
      <c r="G102" t="s">
        <v>589</v>
      </c>
      <c r="H102">
        <v>1282</v>
      </c>
      <c r="I102" t="s">
        <v>589</v>
      </c>
      <c r="J102">
        <v>1458</v>
      </c>
      <c r="K102" t="s">
        <v>4492</v>
      </c>
      <c r="L102" t="s">
        <v>3553</v>
      </c>
      <c r="M102" t="s">
        <v>4541</v>
      </c>
      <c r="N102" t="s">
        <v>3869</v>
      </c>
      <c r="O102" t="s">
        <v>590</v>
      </c>
      <c r="Q102" t="s">
        <v>3468</v>
      </c>
      <c r="R102">
        <f>1</f>
        <v>1</v>
      </c>
      <c r="S102">
        <f>10.6</f>
        <v>10.6</v>
      </c>
      <c r="T102">
        <f>8.3</f>
        <v>8.3000000000000007</v>
      </c>
      <c r="U102">
        <f>390</f>
        <v>390</v>
      </c>
      <c r="V102">
        <f>0.19</f>
        <v>0.19</v>
      </c>
      <c r="X102">
        <f>1</f>
        <v>1</v>
      </c>
      <c r="Y102">
        <f>0.22</f>
        <v>0.22</v>
      </c>
      <c r="Z102">
        <f>0</f>
        <v>0</v>
      </c>
      <c r="AA102">
        <f>11</f>
        <v>11</v>
      </c>
      <c r="AB102">
        <f>34</f>
        <v>34</v>
      </c>
      <c r="AD102">
        <f>0</f>
        <v>0</v>
      </c>
      <c r="AE102">
        <f>0</f>
        <v>0</v>
      </c>
      <c r="AG102" t="s">
        <v>220</v>
      </c>
    </row>
    <row r="103" spans="1:165" x14ac:dyDescent="0.25">
      <c r="A103" t="s">
        <v>591</v>
      </c>
      <c r="B103" t="s">
        <v>170</v>
      </c>
      <c r="C103" s="1">
        <v>46084</v>
      </c>
      <c r="D103" t="s">
        <v>302</v>
      </c>
      <c r="E103" t="s">
        <v>303</v>
      </c>
      <c r="F103" t="s">
        <v>304</v>
      </c>
      <c r="G103" t="s">
        <v>305</v>
      </c>
      <c r="H103">
        <v>1585</v>
      </c>
      <c r="I103" t="s">
        <v>592</v>
      </c>
      <c r="J103">
        <v>8100</v>
      </c>
      <c r="K103" t="s">
        <v>4492</v>
      </c>
      <c r="L103" t="s">
        <v>593</v>
      </c>
      <c r="M103" t="s">
        <v>3694</v>
      </c>
      <c r="N103" t="s">
        <v>594</v>
      </c>
      <c r="O103" t="s">
        <v>595</v>
      </c>
      <c r="R103">
        <f>1</f>
        <v>1</v>
      </c>
      <c r="S103">
        <f>10.9</f>
        <v>10.9</v>
      </c>
      <c r="T103">
        <f>7.5</f>
        <v>7.5</v>
      </c>
      <c r="U103">
        <f>518</f>
        <v>518</v>
      </c>
      <c r="V103" t="s">
        <v>192</v>
      </c>
      <c r="X103">
        <f>0</f>
        <v>0</v>
      </c>
      <c r="Y103" t="s">
        <v>180</v>
      </c>
      <c r="Z103">
        <f>0</f>
        <v>0</v>
      </c>
      <c r="AA103" t="s">
        <v>179</v>
      </c>
      <c r="AB103" t="s">
        <v>179</v>
      </c>
      <c r="AD103">
        <f>0</f>
        <v>0</v>
      </c>
      <c r="AE103">
        <f>0</f>
        <v>0</v>
      </c>
      <c r="AG103" t="s">
        <v>180</v>
      </c>
    </row>
    <row r="104" spans="1:165" x14ac:dyDescent="0.25">
      <c r="A104" t="s">
        <v>596</v>
      </c>
      <c r="B104" t="s">
        <v>170</v>
      </c>
      <c r="C104" s="1">
        <v>46135</v>
      </c>
      <c r="D104" t="s">
        <v>238</v>
      </c>
      <c r="E104" t="s">
        <v>239</v>
      </c>
      <c r="F104" t="s">
        <v>240</v>
      </c>
      <c r="G104" t="s">
        <v>3695</v>
      </c>
      <c r="H104">
        <v>1699</v>
      </c>
      <c r="I104" t="s">
        <v>3696</v>
      </c>
      <c r="J104">
        <v>2681</v>
      </c>
      <c r="K104" t="s">
        <v>4492</v>
      </c>
      <c r="L104" t="s">
        <v>291</v>
      </c>
      <c r="M104" t="s">
        <v>3870</v>
      </c>
      <c r="N104" t="s">
        <v>3697</v>
      </c>
      <c r="O104" t="s">
        <v>597</v>
      </c>
      <c r="R104">
        <f>1</f>
        <v>1</v>
      </c>
      <c r="S104">
        <f>15.8</f>
        <v>15.8</v>
      </c>
      <c r="T104">
        <f>7.7</f>
        <v>7.7</v>
      </c>
      <c r="U104">
        <f>421</f>
        <v>421</v>
      </c>
      <c r="X104">
        <f>0</f>
        <v>0</v>
      </c>
      <c r="Y104" t="s">
        <v>180</v>
      </c>
      <c r="Z104">
        <f>0</f>
        <v>0</v>
      </c>
      <c r="AA104" t="s">
        <v>179</v>
      </c>
      <c r="AB104" t="s">
        <v>179</v>
      </c>
      <c r="AD104">
        <f>0</f>
        <v>0</v>
      </c>
      <c r="AE104">
        <f>0</f>
        <v>0</v>
      </c>
      <c r="AG104" t="s">
        <v>220</v>
      </c>
      <c r="AH104" t="s">
        <v>411</v>
      </c>
      <c r="AK104" t="s">
        <v>286</v>
      </c>
      <c r="AL104">
        <f>0.0036</f>
        <v>3.5999999999999999E-3</v>
      </c>
      <c r="AM104">
        <f>7.2</f>
        <v>7.2</v>
      </c>
      <c r="AN104">
        <f>0.145</f>
        <v>0.14499999999999999</v>
      </c>
      <c r="AO104">
        <f>3.8</f>
        <v>3.8</v>
      </c>
      <c r="AP104">
        <f>4.5</f>
        <v>4.5</v>
      </c>
      <c r="AQ104" t="s">
        <v>192</v>
      </c>
    </row>
    <row r="105" spans="1:165" x14ac:dyDescent="0.25">
      <c r="A105" t="s">
        <v>598</v>
      </c>
      <c r="B105" t="s">
        <v>170</v>
      </c>
      <c r="C105" s="1">
        <v>46084</v>
      </c>
      <c r="D105" t="s">
        <v>238</v>
      </c>
      <c r="E105" t="s">
        <v>239</v>
      </c>
      <c r="F105" t="s">
        <v>240</v>
      </c>
      <c r="G105" t="s">
        <v>3695</v>
      </c>
      <c r="H105">
        <v>1699</v>
      </c>
      <c r="I105" t="s">
        <v>3696</v>
      </c>
      <c r="J105">
        <v>2681</v>
      </c>
      <c r="K105" t="s">
        <v>4492</v>
      </c>
      <c r="L105" t="s">
        <v>291</v>
      </c>
      <c r="M105" t="s">
        <v>3871</v>
      </c>
      <c r="N105" t="s">
        <v>599</v>
      </c>
      <c r="O105" t="s">
        <v>600</v>
      </c>
      <c r="R105">
        <f>1</f>
        <v>1</v>
      </c>
      <c r="S105">
        <f>11.1</f>
        <v>11.1</v>
      </c>
      <c r="T105">
        <f>7.1</f>
        <v>7.1</v>
      </c>
      <c r="U105">
        <f>415</f>
        <v>415</v>
      </c>
      <c r="X105">
        <f>0</f>
        <v>0</v>
      </c>
      <c r="Y105">
        <f>0.61</f>
        <v>0.61</v>
      </c>
      <c r="Z105">
        <f>0</f>
        <v>0</v>
      </c>
      <c r="AA105" t="s">
        <v>179</v>
      </c>
      <c r="AB105" t="s">
        <v>179</v>
      </c>
      <c r="AD105">
        <f>0</f>
        <v>0</v>
      </c>
      <c r="AE105">
        <f>0</f>
        <v>0</v>
      </c>
      <c r="AG105" t="s">
        <v>220</v>
      </c>
    </row>
    <row r="106" spans="1:165" x14ac:dyDescent="0.25">
      <c r="A106" t="s">
        <v>601</v>
      </c>
      <c r="B106" t="s">
        <v>170</v>
      </c>
      <c r="C106" s="1">
        <v>46084</v>
      </c>
      <c r="D106" t="s">
        <v>184</v>
      </c>
      <c r="E106" t="s">
        <v>185</v>
      </c>
      <c r="F106" t="s">
        <v>384</v>
      </c>
      <c r="G106" t="s">
        <v>385</v>
      </c>
      <c r="H106">
        <v>1708</v>
      </c>
      <c r="I106" t="s">
        <v>4253</v>
      </c>
      <c r="J106">
        <v>14987</v>
      </c>
      <c r="K106" t="s">
        <v>4492</v>
      </c>
      <c r="L106" t="s">
        <v>271</v>
      </c>
      <c r="M106" t="s">
        <v>3698</v>
      </c>
      <c r="N106" t="s">
        <v>3310</v>
      </c>
      <c r="O106" t="s">
        <v>602</v>
      </c>
      <c r="R106">
        <f>1</f>
        <v>1</v>
      </c>
      <c r="S106">
        <f>10.9</f>
        <v>10.9</v>
      </c>
      <c r="T106">
        <f>7.5</f>
        <v>7.5</v>
      </c>
      <c r="U106">
        <f>424</f>
        <v>424</v>
      </c>
      <c r="X106">
        <f>0</f>
        <v>0</v>
      </c>
      <c r="Y106" t="s">
        <v>180</v>
      </c>
      <c r="Z106">
        <f>0</f>
        <v>0</v>
      </c>
      <c r="AA106" t="s">
        <v>179</v>
      </c>
      <c r="AB106" t="s">
        <v>179</v>
      </c>
      <c r="AD106">
        <f>0</f>
        <v>0</v>
      </c>
      <c r="AE106">
        <f>0</f>
        <v>0</v>
      </c>
      <c r="AG106" t="s">
        <v>180</v>
      </c>
      <c r="AH106" t="s">
        <v>193</v>
      </c>
      <c r="AK106" t="s">
        <v>181</v>
      </c>
      <c r="AL106" t="s">
        <v>182</v>
      </c>
      <c r="AM106">
        <f>9.3</f>
        <v>9.3000000000000007</v>
      </c>
      <c r="AN106">
        <f>0.19</f>
        <v>0.19</v>
      </c>
      <c r="AO106">
        <f>8.8</f>
        <v>8.8000000000000007</v>
      </c>
      <c r="AP106">
        <f>5.8</f>
        <v>5.8</v>
      </c>
      <c r="AQ106" t="s">
        <v>180</v>
      </c>
      <c r="FF106">
        <f>0.11</f>
        <v>0.11</v>
      </c>
      <c r="FG106" t="s">
        <v>180</v>
      </c>
      <c r="FI106" t="s">
        <v>220</v>
      </c>
    </row>
    <row r="107" spans="1:165" x14ac:dyDescent="0.25">
      <c r="A107" t="s">
        <v>603</v>
      </c>
      <c r="B107" t="s">
        <v>170</v>
      </c>
      <c r="C107" s="1">
        <v>46125</v>
      </c>
      <c r="D107" t="s">
        <v>184</v>
      </c>
      <c r="E107" t="s">
        <v>185</v>
      </c>
      <c r="F107" t="s">
        <v>384</v>
      </c>
      <c r="G107" t="s">
        <v>385</v>
      </c>
      <c r="H107">
        <v>1703</v>
      </c>
      <c r="I107" t="s">
        <v>3872</v>
      </c>
      <c r="J107">
        <v>19041</v>
      </c>
      <c r="K107" t="s">
        <v>4492</v>
      </c>
      <c r="L107" t="s">
        <v>3282</v>
      </c>
      <c r="M107" t="s">
        <v>604</v>
      </c>
      <c r="N107" t="s">
        <v>605</v>
      </c>
      <c r="O107" t="s">
        <v>606</v>
      </c>
      <c r="R107">
        <f>1</f>
        <v>1</v>
      </c>
      <c r="S107">
        <f>13.9</f>
        <v>13.9</v>
      </c>
      <c r="T107">
        <f>7.3</f>
        <v>7.3</v>
      </c>
      <c r="U107">
        <f>498</f>
        <v>498</v>
      </c>
      <c r="X107">
        <f>0</f>
        <v>0</v>
      </c>
      <c r="Y107" t="s">
        <v>180</v>
      </c>
      <c r="Z107">
        <f>0</f>
        <v>0</v>
      </c>
      <c r="AA107" t="s">
        <v>179</v>
      </c>
      <c r="AB107" t="s">
        <v>179</v>
      </c>
      <c r="AD107">
        <f>0</f>
        <v>0</v>
      </c>
      <c r="AE107">
        <f>0</f>
        <v>0</v>
      </c>
      <c r="AG107" t="s">
        <v>180</v>
      </c>
    </row>
    <row r="108" spans="1:165" x14ac:dyDescent="0.25">
      <c r="A108" t="s">
        <v>607</v>
      </c>
      <c r="B108" t="s">
        <v>170</v>
      </c>
      <c r="C108" s="1">
        <v>46112</v>
      </c>
      <c r="D108" t="s">
        <v>184</v>
      </c>
      <c r="E108" t="s">
        <v>185</v>
      </c>
      <c r="F108" t="s">
        <v>384</v>
      </c>
      <c r="G108" t="s">
        <v>385</v>
      </c>
      <c r="H108">
        <v>1708</v>
      </c>
      <c r="I108" t="s">
        <v>4253</v>
      </c>
      <c r="J108">
        <v>14987</v>
      </c>
      <c r="K108" t="s">
        <v>4492</v>
      </c>
      <c r="L108" t="s">
        <v>271</v>
      </c>
      <c r="M108" t="s">
        <v>608</v>
      </c>
      <c r="N108" t="s">
        <v>609</v>
      </c>
      <c r="O108" t="s">
        <v>610</v>
      </c>
      <c r="R108">
        <f>1</f>
        <v>1</v>
      </c>
      <c r="S108">
        <f>13.5</f>
        <v>13.5</v>
      </c>
      <c r="T108">
        <f>7.4</f>
        <v>7.4</v>
      </c>
      <c r="U108">
        <f>414</f>
        <v>414</v>
      </c>
      <c r="X108">
        <f>0</f>
        <v>0</v>
      </c>
      <c r="Y108" t="s">
        <v>180</v>
      </c>
      <c r="Z108">
        <f>0</f>
        <v>0</v>
      </c>
      <c r="AA108" t="s">
        <v>179</v>
      </c>
      <c r="AB108" t="s">
        <v>179</v>
      </c>
      <c r="AD108">
        <f>0</f>
        <v>0</v>
      </c>
      <c r="AE108">
        <f>0</f>
        <v>0</v>
      </c>
      <c r="AG108" t="s">
        <v>180</v>
      </c>
    </row>
    <row r="109" spans="1:165" x14ac:dyDescent="0.25">
      <c r="A109" t="s">
        <v>611</v>
      </c>
      <c r="B109" t="s">
        <v>170</v>
      </c>
      <c r="C109" s="1">
        <v>46127</v>
      </c>
      <c r="D109" t="s">
        <v>184</v>
      </c>
      <c r="E109" t="s">
        <v>185</v>
      </c>
      <c r="F109" t="s">
        <v>384</v>
      </c>
      <c r="G109" t="s">
        <v>385</v>
      </c>
      <c r="H109">
        <v>1708</v>
      </c>
      <c r="I109" t="s">
        <v>4253</v>
      </c>
      <c r="J109">
        <v>14987</v>
      </c>
      <c r="K109" t="s">
        <v>4492</v>
      </c>
      <c r="L109" t="s">
        <v>271</v>
      </c>
      <c r="M109" t="s">
        <v>3311</v>
      </c>
      <c r="N109" t="s">
        <v>612</v>
      </c>
      <c r="O109" t="s">
        <v>613</v>
      </c>
      <c r="R109">
        <f>1</f>
        <v>1</v>
      </c>
      <c r="S109">
        <f>14</f>
        <v>14</v>
      </c>
      <c r="T109">
        <f>7.2</f>
        <v>7.2</v>
      </c>
      <c r="U109">
        <f>530</f>
        <v>530</v>
      </c>
      <c r="X109">
        <f>0</f>
        <v>0</v>
      </c>
      <c r="Y109" t="s">
        <v>180</v>
      </c>
      <c r="Z109">
        <f>0</f>
        <v>0</v>
      </c>
      <c r="AA109" t="s">
        <v>179</v>
      </c>
      <c r="AB109" t="s">
        <v>179</v>
      </c>
      <c r="AD109">
        <f>0</f>
        <v>0</v>
      </c>
      <c r="AE109">
        <f>0</f>
        <v>0</v>
      </c>
      <c r="AG109" t="s">
        <v>180</v>
      </c>
    </row>
    <row r="110" spans="1:165" x14ac:dyDescent="0.25">
      <c r="A110" t="s">
        <v>614</v>
      </c>
      <c r="B110" t="s">
        <v>170</v>
      </c>
      <c r="C110" s="1">
        <v>46112</v>
      </c>
      <c r="D110" t="s">
        <v>184</v>
      </c>
      <c r="E110" t="s">
        <v>185</v>
      </c>
      <c r="F110" t="s">
        <v>384</v>
      </c>
      <c r="G110" t="s">
        <v>385</v>
      </c>
      <c r="H110">
        <v>1706</v>
      </c>
      <c r="I110" t="s">
        <v>4254</v>
      </c>
      <c r="J110">
        <v>17666</v>
      </c>
      <c r="K110" t="s">
        <v>4492</v>
      </c>
      <c r="L110" t="s">
        <v>176</v>
      </c>
      <c r="M110" t="s">
        <v>615</v>
      </c>
      <c r="N110" t="s">
        <v>3572</v>
      </c>
      <c r="O110" t="s">
        <v>616</v>
      </c>
      <c r="R110">
        <f>1</f>
        <v>1</v>
      </c>
      <c r="S110">
        <f>14</f>
        <v>14</v>
      </c>
      <c r="T110">
        <f>7.5</f>
        <v>7.5</v>
      </c>
      <c r="U110">
        <f>420</f>
        <v>420</v>
      </c>
      <c r="X110">
        <f>0</f>
        <v>0</v>
      </c>
      <c r="Y110">
        <f>0.1</f>
        <v>0.1</v>
      </c>
      <c r="Z110">
        <f>0</f>
        <v>0</v>
      </c>
      <c r="AA110" t="s">
        <v>179</v>
      </c>
      <c r="AB110" t="s">
        <v>179</v>
      </c>
      <c r="AD110">
        <f>0</f>
        <v>0</v>
      </c>
      <c r="AE110">
        <f>0</f>
        <v>0</v>
      </c>
      <c r="AG110" t="s">
        <v>180</v>
      </c>
    </row>
    <row r="111" spans="1:165" x14ac:dyDescent="0.25">
      <c r="A111" t="s">
        <v>617</v>
      </c>
      <c r="B111" t="s">
        <v>170</v>
      </c>
      <c r="C111" s="1">
        <v>46097</v>
      </c>
      <c r="D111" t="s">
        <v>216</v>
      </c>
      <c r="E111" t="s">
        <v>217</v>
      </c>
      <c r="F111" t="s">
        <v>3312</v>
      </c>
      <c r="G111" t="s">
        <v>618</v>
      </c>
      <c r="H111">
        <v>241</v>
      </c>
      <c r="I111" t="s">
        <v>618</v>
      </c>
      <c r="J111">
        <v>1832</v>
      </c>
      <c r="K111" t="s">
        <v>4494</v>
      </c>
      <c r="L111" t="s">
        <v>619</v>
      </c>
      <c r="M111" t="s">
        <v>3873</v>
      </c>
      <c r="N111" t="s">
        <v>620</v>
      </c>
      <c r="R111">
        <f>1</f>
        <v>1</v>
      </c>
      <c r="S111">
        <f>10.8</f>
        <v>10.8</v>
      </c>
      <c r="T111">
        <f>8.3</f>
        <v>8.3000000000000007</v>
      </c>
      <c r="U111">
        <f>289</f>
        <v>289</v>
      </c>
      <c r="V111">
        <f>0.06</f>
        <v>0.06</v>
      </c>
      <c r="X111">
        <f>1</f>
        <v>1</v>
      </c>
      <c r="Y111">
        <f>0.08</f>
        <v>0.08</v>
      </c>
      <c r="Z111">
        <f>0</f>
        <v>0</v>
      </c>
      <c r="AA111">
        <f>0</f>
        <v>0</v>
      </c>
      <c r="AB111">
        <f>2</f>
        <v>2</v>
      </c>
      <c r="AC111">
        <f>0</f>
        <v>0</v>
      </c>
      <c r="AD111">
        <f>0</f>
        <v>0</v>
      </c>
      <c r="AE111">
        <f>0</f>
        <v>0</v>
      </c>
      <c r="AG111" t="s">
        <v>220</v>
      </c>
    </row>
    <row r="112" spans="1:165" x14ac:dyDescent="0.25">
      <c r="A112" t="s">
        <v>621</v>
      </c>
      <c r="B112" t="s">
        <v>170</v>
      </c>
      <c r="C112" s="1">
        <v>46086</v>
      </c>
      <c r="D112" t="s">
        <v>222</v>
      </c>
      <c r="E112" t="s">
        <v>260</v>
      </c>
      <c r="F112" t="s">
        <v>518</v>
      </c>
      <c r="G112" t="s">
        <v>622</v>
      </c>
      <c r="H112">
        <v>890</v>
      </c>
      <c r="I112" t="s">
        <v>622</v>
      </c>
      <c r="J112">
        <v>1195</v>
      </c>
      <c r="K112" t="s">
        <v>4492</v>
      </c>
      <c r="L112" t="s">
        <v>369</v>
      </c>
      <c r="M112" t="s">
        <v>3699</v>
      </c>
      <c r="N112" t="s">
        <v>3874</v>
      </c>
      <c r="O112" t="s">
        <v>623</v>
      </c>
      <c r="Q112" t="s">
        <v>3573</v>
      </c>
      <c r="R112">
        <f>1</f>
        <v>1</v>
      </c>
      <c r="S112">
        <f>9.6</f>
        <v>9.6</v>
      </c>
      <c r="T112">
        <f>7.7</f>
        <v>7.7</v>
      </c>
      <c r="U112">
        <f>365</f>
        <v>365</v>
      </c>
      <c r="V112">
        <f>0.19</f>
        <v>0.19</v>
      </c>
      <c r="X112">
        <f>1</f>
        <v>1</v>
      </c>
      <c r="Y112">
        <f>0.12</f>
        <v>0.12</v>
      </c>
      <c r="Z112">
        <f>0</f>
        <v>0</v>
      </c>
      <c r="AA112" t="s">
        <v>179</v>
      </c>
      <c r="AB112" t="s">
        <v>179</v>
      </c>
      <c r="AD112">
        <f>0</f>
        <v>0</v>
      </c>
      <c r="AE112">
        <f>0</f>
        <v>0</v>
      </c>
      <c r="AG112" t="s">
        <v>180</v>
      </c>
    </row>
    <row r="113" spans="1:165" x14ac:dyDescent="0.25">
      <c r="A113" t="s">
        <v>624</v>
      </c>
      <c r="B113" t="s">
        <v>170</v>
      </c>
      <c r="C113" s="1">
        <v>46090</v>
      </c>
      <c r="D113" t="s">
        <v>222</v>
      </c>
      <c r="E113" t="s">
        <v>223</v>
      </c>
      <c r="F113" t="s">
        <v>625</v>
      </c>
      <c r="G113" t="s">
        <v>4255</v>
      </c>
      <c r="H113">
        <v>1808</v>
      </c>
      <c r="I113" t="s">
        <v>626</v>
      </c>
      <c r="J113">
        <v>6688</v>
      </c>
      <c r="K113" t="s">
        <v>4492</v>
      </c>
      <c r="L113" t="s">
        <v>291</v>
      </c>
      <c r="M113" t="s">
        <v>3313</v>
      </c>
      <c r="N113" t="s">
        <v>3314</v>
      </c>
      <c r="O113" t="s">
        <v>627</v>
      </c>
      <c r="R113">
        <f>1</f>
        <v>1</v>
      </c>
      <c r="S113">
        <f>9.8</f>
        <v>9.8000000000000007</v>
      </c>
      <c r="T113">
        <f>8</f>
        <v>8</v>
      </c>
      <c r="U113">
        <f>299</f>
        <v>299</v>
      </c>
      <c r="X113">
        <f>0</f>
        <v>0</v>
      </c>
      <c r="Y113" t="s">
        <v>180</v>
      </c>
      <c r="Z113">
        <f>0</f>
        <v>0</v>
      </c>
      <c r="AA113" t="s">
        <v>179</v>
      </c>
      <c r="AB113" t="s">
        <v>179</v>
      </c>
      <c r="AD113">
        <f>0</f>
        <v>0</v>
      </c>
      <c r="AE113">
        <f>0</f>
        <v>0</v>
      </c>
      <c r="AG113" t="s">
        <v>180</v>
      </c>
    </row>
    <row r="114" spans="1:165" x14ac:dyDescent="0.25">
      <c r="A114" t="s">
        <v>628</v>
      </c>
      <c r="B114" t="s">
        <v>170</v>
      </c>
      <c r="C114" s="1">
        <v>46097</v>
      </c>
      <c r="D114" t="s">
        <v>222</v>
      </c>
      <c r="E114" t="s">
        <v>223</v>
      </c>
      <c r="F114" t="s">
        <v>625</v>
      </c>
      <c r="G114" t="s">
        <v>4255</v>
      </c>
      <c r="H114">
        <v>1810</v>
      </c>
      <c r="I114" t="s">
        <v>629</v>
      </c>
      <c r="J114">
        <v>1263</v>
      </c>
      <c r="K114" t="s">
        <v>4492</v>
      </c>
      <c r="L114" t="s">
        <v>369</v>
      </c>
      <c r="M114" t="s">
        <v>630</v>
      </c>
      <c r="N114" t="s">
        <v>631</v>
      </c>
      <c r="O114" t="s">
        <v>632</v>
      </c>
      <c r="R114">
        <f>1</f>
        <v>1</v>
      </c>
      <c r="S114">
        <f>12</f>
        <v>12</v>
      </c>
      <c r="T114">
        <f>7.7</f>
        <v>7.7</v>
      </c>
      <c r="U114">
        <f>229</f>
        <v>229</v>
      </c>
      <c r="V114">
        <f>0.12</f>
        <v>0.12</v>
      </c>
      <c r="X114">
        <f>0</f>
        <v>0</v>
      </c>
      <c r="Y114">
        <f>0.42</f>
        <v>0.42</v>
      </c>
      <c r="Z114">
        <f>0</f>
        <v>0</v>
      </c>
      <c r="AA114" t="s">
        <v>179</v>
      </c>
      <c r="AB114" t="s">
        <v>179</v>
      </c>
      <c r="AD114">
        <f>0</f>
        <v>0</v>
      </c>
      <c r="AE114">
        <f>0</f>
        <v>0</v>
      </c>
      <c r="AG114" t="s">
        <v>180</v>
      </c>
      <c r="AH114" t="s">
        <v>193</v>
      </c>
      <c r="AK114" t="s">
        <v>181</v>
      </c>
      <c r="AL114" t="s">
        <v>182</v>
      </c>
      <c r="AM114">
        <f>10</f>
        <v>10</v>
      </c>
      <c r="AN114">
        <f>0.2</f>
        <v>0.2</v>
      </c>
      <c r="AO114">
        <f>14</f>
        <v>14</v>
      </c>
      <c r="AP114">
        <f>2.2</f>
        <v>2.2000000000000002</v>
      </c>
      <c r="AQ114" t="s">
        <v>180</v>
      </c>
    </row>
    <row r="115" spans="1:165" x14ac:dyDescent="0.25">
      <c r="A115" t="s">
        <v>633</v>
      </c>
      <c r="B115" t="s">
        <v>170</v>
      </c>
      <c r="C115" s="1">
        <v>46099</v>
      </c>
      <c r="D115" t="s">
        <v>171</v>
      </c>
      <c r="E115" t="s">
        <v>172</v>
      </c>
      <c r="F115" t="s">
        <v>3875</v>
      </c>
      <c r="G115" t="s">
        <v>634</v>
      </c>
      <c r="H115">
        <v>1837</v>
      </c>
      <c r="I115" t="s">
        <v>635</v>
      </c>
      <c r="J115">
        <v>13800</v>
      </c>
      <c r="K115" t="s">
        <v>4492</v>
      </c>
      <c r="M115" t="s">
        <v>4256</v>
      </c>
      <c r="N115" t="s">
        <v>4257</v>
      </c>
      <c r="O115" t="s">
        <v>636</v>
      </c>
      <c r="R115">
        <f>1</f>
        <v>1</v>
      </c>
      <c r="S115">
        <f>11.1</f>
        <v>11.1</v>
      </c>
      <c r="T115">
        <f>7</f>
        <v>7</v>
      </c>
      <c r="U115">
        <f>383</f>
        <v>383</v>
      </c>
      <c r="X115">
        <f>0</f>
        <v>0</v>
      </c>
      <c r="Y115">
        <f>0.1</f>
        <v>0.1</v>
      </c>
      <c r="Z115">
        <f>0</f>
        <v>0</v>
      </c>
      <c r="AA115" t="s">
        <v>179</v>
      </c>
      <c r="AB115" t="s">
        <v>179</v>
      </c>
      <c r="AD115">
        <f>0</f>
        <v>0</v>
      </c>
      <c r="AE115">
        <f>0</f>
        <v>0</v>
      </c>
      <c r="AG115" t="s">
        <v>180</v>
      </c>
    </row>
    <row r="116" spans="1:165" x14ac:dyDescent="0.25">
      <c r="A116" t="s">
        <v>637</v>
      </c>
      <c r="B116" t="s">
        <v>170</v>
      </c>
      <c r="C116" s="1">
        <v>46120</v>
      </c>
      <c r="D116" t="s">
        <v>184</v>
      </c>
      <c r="E116" t="s">
        <v>546</v>
      </c>
      <c r="F116" t="s">
        <v>638</v>
      </c>
      <c r="G116" t="s">
        <v>639</v>
      </c>
      <c r="H116">
        <v>44</v>
      </c>
      <c r="I116" t="s">
        <v>640</v>
      </c>
      <c r="J116">
        <v>10820</v>
      </c>
      <c r="K116" t="s">
        <v>4494</v>
      </c>
      <c r="L116" t="s">
        <v>266</v>
      </c>
      <c r="M116" t="s">
        <v>3876</v>
      </c>
      <c r="N116" t="s">
        <v>641</v>
      </c>
      <c r="R116">
        <f>1</f>
        <v>1</v>
      </c>
      <c r="S116">
        <f>11.4</f>
        <v>11.4</v>
      </c>
      <c r="T116">
        <f>7.8</f>
        <v>7.8</v>
      </c>
      <c r="U116">
        <f>336</f>
        <v>336</v>
      </c>
      <c r="V116">
        <f>0.16</f>
        <v>0.16</v>
      </c>
      <c r="X116">
        <f>0</f>
        <v>0</v>
      </c>
      <c r="Y116">
        <f>0.1</f>
        <v>0.1</v>
      </c>
      <c r="Z116">
        <f>0</f>
        <v>0</v>
      </c>
      <c r="AA116">
        <f>33</f>
        <v>33</v>
      </c>
      <c r="AB116">
        <f>85</f>
        <v>85</v>
      </c>
      <c r="AC116">
        <f>0</f>
        <v>0</v>
      </c>
      <c r="AD116">
        <f>0</f>
        <v>0</v>
      </c>
      <c r="AE116">
        <f>0</f>
        <v>0</v>
      </c>
      <c r="AG116" t="s">
        <v>180</v>
      </c>
    </row>
    <row r="117" spans="1:165" x14ac:dyDescent="0.25">
      <c r="A117" t="s">
        <v>642</v>
      </c>
      <c r="B117" t="s">
        <v>170</v>
      </c>
      <c r="C117" s="1">
        <v>46087</v>
      </c>
      <c r="D117" t="s">
        <v>251</v>
      </c>
      <c r="E117" t="s">
        <v>252</v>
      </c>
      <c r="F117" t="s">
        <v>280</v>
      </c>
      <c r="G117" t="s">
        <v>643</v>
      </c>
      <c r="H117">
        <v>339</v>
      </c>
      <c r="I117" t="s">
        <v>643</v>
      </c>
      <c r="J117">
        <v>6803</v>
      </c>
      <c r="K117" t="s">
        <v>4494</v>
      </c>
      <c r="L117" t="s">
        <v>619</v>
      </c>
      <c r="M117" t="s">
        <v>644</v>
      </c>
      <c r="N117" t="s">
        <v>645</v>
      </c>
      <c r="Q117" t="s">
        <v>3472</v>
      </c>
      <c r="R117">
        <f>1</f>
        <v>1</v>
      </c>
      <c r="S117">
        <f>8.1</f>
        <v>8.1</v>
      </c>
      <c r="T117">
        <f>7.9</f>
        <v>7.9</v>
      </c>
      <c r="U117">
        <f>273</f>
        <v>273</v>
      </c>
      <c r="V117" t="s">
        <v>258</v>
      </c>
      <c r="X117">
        <f>0</f>
        <v>0</v>
      </c>
      <c r="Y117" t="s">
        <v>180</v>
      </c>
      <c r="Z117">
        <f>0</f>
        <v>0</v>
      </c>
      <c r="AA117">
        <f>0</f>
        <v>0</v>
      </c>
      <c r="AB117">
        <f>0</f>
        <v>0</v>
      </c>
      <c r="AC117">
        <f>0</f>
        <v>0</v>
      </c>
      <c r="AD117">
        <f>0</f>
        <v>0</v>
      </c>
      <c r="AE117">
        <f>0</f>
        <v>0</v>
      </c>
      <c r="AG117" t="s">
        <v>180</v>
      </c>
      <c r="FF117" t="s">
        <v>646</v>
      </c>
      <c r="FG117" t="s">
        <v>646</v>
      </c>
      <c r="FI117" t="s">
        <v>646</v>
      </c>
    </row>
    <row r="118" spans="1:165" x14ac:dyDescent="0.25">
      <c r="A118" t="s">
        <v>647</v>
      </c>
      <c r="B118" t="s">
        <v>170</v>
      </c>
      <c r="C118" s="1">
        <v>46079</v>
      </c>
      <c r="D118" t="s">
        <v>184</v>
      </c>
      <c r="E118" t="s">
        <v>185</v>
      </c>
      <c r="F118" t="s">
        <v>384</v>
      </c>
      <c r="G118" t="s">
        <v>385</v>
      </c>
      <c r="H118">
        <v>1706</v>
      </c>
      <c r="I118" t="s">
        <v>4254</v>
      </c>
      <c r="J118">
        <v>17666</v>
      </c>
      <c r="K118" t="s">
        <v>4492</v>
      </c>
      <c r="L118" t="s">
        <v>176</v>
      </c>
      <c r="M118" t="s">
        <v>648</v>
      </c>
      <c r="N118" t="s">
        <v>3877</v>
      </c>
      <c r="O118" t="s">
        <v>649</v>
      </c>
      <c r="R118">
        <f>1</f>
        <v>1</v>
      </c>
      <c r="S118">
        <f>8.3</f>
        <v>8.3000000000000007</v>
      </c>
      <c r="T118">
        <f>7.6</f>
        <v>7.6</v>
      </c>
      <c r="U118">
        <f>431</f>
        <v>431</v>
      </c>
      <c r="X118">
        <f>0</f>
        <v>0</v>
      </c>
      <c r="Y118" t="s">
        <v>180</v>
      </c>
      <c r="Z118">
        <f>0</f>
        <v>0</v>
      </c>
      <c r="AA118" t="s">
        <v>179</v>
      </c>
      <c r="AB118" t="s">
        <v>179</v>
      </c>
      <c r="AD118">
        <f>0</f>
        <v>0</v>
      </c>
      <c r="AE118">
        <f>0</f>
        <v>0</v>
      </c>
      <c r="AG118" t="s">
        <v>180</v>
      </c>
    </row>
    <row r="119" spans="1:165" x14ac:dyDescent="0.25">
      <c r="A119" t="s">
        <v>650</v>
      </c>
      <c r="B119" t="s">
        <v>170</v>
      </c>
      <c r="C119" s="1">
        <v>46077</v>
      </c>
      <c r="D119" t="s">
        <v>184</v>
      </c>
      <c r="E119" t="s">
        <v>185</v>
      </c>
      <c r="F119" t="s">
        <v>384</v>
      </c>
      <c r="G119" t="s">
        <v>651</v>
      </c>
      <c r="H119">
        <v>338</v>
      </c>
      <c r="I119" t="s">
        <v>651</v>
      </c>
      <c r="J119">
        <v>14369</v>
      </c>
      <c r="K119" t="s">
        <v>4492</v>
      </c>
      <c r="L119" t="s">
        <v>3303</v>
      </c>
      <c r="M119" t="s">
        <v>3700</v>
      </c>
      <c r="N119" t="s">
        <v>652</v>
      </c>
      <c r="O119" t="s">
        <v>653</v>
      </c>
      <c r="R119">
        <f>1</f>
        <v>1</v>
      </c>
      <c r="S119">
        <f>10.9</f>
        <v>10.9</v>
      </c>
      <c r="T119">
        <f>7.5</f>
        <v>7.5</v>
      </c>
      <c r="U119">
        <f>483</f>
        <v>483</v>
      </c>
      <c r="V119">
        <f>0.06</f>
        <v>0.06</v>
      </c>
      <c r="X119">
        <f>0</f>
        <v>0</v>
      </c>
      <c r="Y119">
        <f>0.2</f>
        <v>0.2</v>
      </c>
      <c r="Z119">
        <f>0</f>
        <v>0</v>
      </c>
      <c r="AA119" t="s">
        <v>179</v>
      </c>
      <c r="AB119" t="s">
        <v>179</v>
      </c>
      <c r="AD119">
        <f>0</f>
        <v>0</v>
      </c>
      <c r="AE119">
        <f>0</f>
        <v>0</v>
      </c>
      <c r="AG119" t="s">
        <v>180</v>
      </c>
    </row>
    <row r="120" spans="1:165" x14ac:dyDescent="0.25">
      <c r="A120" t="s">
        <v>654</v>
      </c>
      <c r="B120" t="s">
        <v>170</v>
      </c>
      <c r="C120" s="1">
        <v>46078</v>
      </c>
      <c r="D120" t="s">
        <v>425</v>
      </c>
      <c r="E120" t="s">
        <v>426</v>
      </c>
      <c r="F120" t="s">
        <v>655</v>
      </c>
      <c r="G120" t="s">
        <v>656</v>
      </c>
      <c r="H120">
        <v>34</v>
      </c>
      <c r="I120" t="s">
        <v>656</v>
      </c>
      <c r="J120">
        <v>400</v>
      </c>
      <c r="K120" t="s">
        <v>4494</v>
      </c>
      <c r="L120" t="s">
        <v>266</v>
      </c>
      <c r="M120" t="s">
        <v>3878</v>
      </c>
      <c r="N120" t="s">
        <v>657</v>
      </c>
      <c r="O120" t="s">
        <v>658</v>
      </c>
      <c r="R120">
        <f>1</f>
        <v>1</v>
      </c>
      <c r="S120">
        <f>9.6</f>
        <v>9.6</v>
      </c>
      <c r="T120">
        <f>7.2</f>
        <v>7.2</v>
      </c>
      <c r="U120">
        <f>58</f>
        <v>58</v>
      </c>
      <c r="X120">
        <f>0</f>
        <v>0</v>
      </c>
      <c r="Y120" t="s">
        <v>180</v>
      </c>
      <c r="Z120">
        <f>0</f>
        <v>0</v>
      </c>
      <c r="AA120" t="s">
        <v>179</v>
      </c>
      <c r="AB120" t="s">
        <v>179</v>
      </c>
      <c r="AC120">
        <f>0</f>
        <v>0</v>
      </c>
      <c r="AD120">
        <f>0</f>
        <v>0</v>
      </c>
      <c r="AE120">
        <f>0</f>
        <v>0</v>
      </c>
      <c r="AG120" t="s">
        <v>180</v>
      </c>
    </row>
    <row r="121" spans="1:165" x14ac:dyDescent="0.25">
      <c r="A121" t="s">
        <v>659</v>
      </c>
      <c r="B121" t="s">
        <v>170</v>
      </c>
      <c r="C121" s="1">
        <v>46077</v>
      </c>
      <c r="D121" t="s">
        <v>184</v>
      </c>
      <c r="E121" t="s">
        <v>546</v>
      </c>
      <c r="F121" t="s">
        <v>660</v>
      </c>
      <c r="G121" t="s">
        <v>3879</v>
      </c>
      <c r="H121">
        <v>35</v>
      </c>
      <c r="I121" t="s">
        <v>3879</v>
      </c>
      <c r="J121">
        <v>7224</v>
      </c>
      <c r="K121" t="s">
        <v>4494</v>
      </c>
      <c r="L121" t="s">
        <v>176</v>
      </c>
      <c r="M121" t="s">
        <v>661</v>
      </c>
      <c r="N121" t="s">
        <v>662</v>
      </c>
      <c r="O121" t="s">
        <v>663</v>
      </c>
      <c r="R121">
        <f>1</f>
        <v>1</v>
      </c>
      <c r="S121">
        <f>11</f>
        <v>11</v>
      </c>
      <c r="T121">
        <f>7.3</f>
        <v>7.3</v>
      </c>
      <c r="U121">
        <f>435</f>
        <v>435</v>
      </c>
      <c r="X121">
        <f>0</f>
        <v>0</v>
      </c>
      <c r="Y121">
        <f>0.2</f>
        <v>0.2</v>
      </c>
      <c r="Z121">
        <f>0</f>
        <v>0</v>
      </c>
      <c r="AA121" t="s">
        <v>179</v>
      </c>
      <c r="AB121" t="s">
        <v>179</v>
      </c>
      <c r="AC121">
        <f>0</f>
        <v>0</v>
      </c>
      <c r="AD121">
        <f>0</f>
        <v>0</v>
      </c>
      <c r="AE121">
        <f>0</f>
        <v>0</v>
      </c>
      <c r="AG121" t="s">
        <v>180</v>
      </c>
    </row>
    <row r="122" spans="1:165" x14ac:dyDescent="0.25">
      <c r="A122" t="s">
        <v>664</v>
      </c>
      <c r="B122" t="s">
        <v>170</v>
      </c>
      <c r="C122" s="1">
        <v>46077</v>
      </c>
      <c r="D122" t="s">
        <v>171</v>
      </c>
      <c r="E122" t="s">
        <v>172</v>
      </c>
      <c r="F122" t="s">
        <v>3315</v>
      </c>
      <c r="G122" t="s">
        <v>4258</v>
      </c>
      <c r="H122">
        <v>186</v>
      </c>
      <c r="I122" t="s">
        <v>4259</v>
      </c>
      <c r="J122">
        <v>1433</v>
      </c>
      <c r="K122" t="s">
        <v>4492</v>
      </c>
      <c r="L122" t="s">
        <v>266</v>
      </c>
      <c r="M122" t="s">
        <v>665</v>
      </c>
      <c r="N122" t="s">
        <v>666</v>
      </c>
      <c r="O122" t="s">
        <v>667</v>
      </c>
      <c r="Q122" t="s">
        <v>3475</v>
      </c>
      <c r="R122">
        <f>1</f>
        <v>1</v>
      </c>
      <c r="S122">
        <f>15</f>
        <v>15</v>
      </c>
      <c r="T122">
        <f>6.6</f>
        <v>6.6</v>
      </c>
      <c r="U122">
        <f>247</f>
        <v>247</v>
      </c>
      <c r="V122" t="s">
        <v>192</v>
      </c>
      <c r="X122">
        <f>0</f>
        <v>0</v>
      </c>
      <c r="Y122">
        <f>0.14</f>
        <v>0.14000000000000001</v>
      </c>
      <c r="Z122">
        <f>0</f>
        <v>0</v>
      </c>
      <c r="AA122" t="s">
        <v>179</v>
      </c>
      <c r="AB122" t="s">
        <v>179</v>
      </c>
      <c r="AD122">
        <f>0</f>
        <v>0</v>
      </c>
      <c r="AE122">
        <f>0</f>
        <v>0</v>
      </c>
      <c r="AG122" t="s">
        <v>180</v>
      </c>
    </row>
    <row r="123" spans="1:165" x14ac:dyDescent="0.25">
      <c r="A123" t="s">
        <v>668</v>
      </c>
      <c r="B123" t="s">
        <v>170</v>
      </c>
      <c r="C123" s="1">
        <v>46132</v>
      </c>
      <c r="D123" t="s">
        <v>195</v>
      </c>
      <c r="E123" t="s">
        <v>448</v>
      </c>
      <c r="F123" t="s">
        <v>449</v>
      </c>
      <c r="G123" t="s">
        <v>450</v>
      </c>
      <c r="H123">
        <v>193</v>
      </c>
      <c r="I123" t="s">
        <v>450</v>
      </c>
      <c r="J123">
        <v>10226</v>
      </c>
      <c r="K123" t="s">
        <v>4494</v>
      </c>
      <c r="L123" t="s">
        <v>451</v>
      </c>
      <c r="M123" t="s">
        <v>3880</v>
      </c>
      <c r="N123" t="s">
        <v>4542</v>
      </c>
      <c r="O123" t="s">
        <v>669</v>
      </c>
      <c r="R123">
        <f>1</f>
        <v>1</v>
      </c>
      <c r="S123">
        <f>13.9</f>
        <v>13.9</v>
      </c>
      <c r="T123">
        <f>8</f>
        <v>8</v>
      </c>
      <c r="U123">
        <f>331</f>
        <v>331</v>
      </c>
      <c r="X123">
        <f>0</f>
        <v>0</v>
      </c>
      <c r="Y123">
        <f>0.03</f>
        <v>0.03</v>
      </c>
      <c r="Z123">
        <f>0</f>
        <v>0</v>
      </c>
      <c r="AA123">
        <f>0</f>
        <v>0</v>
      </c>
      <c r="AB123">
        <f>0</f>
        <v>0</v>
      </c>
      <c r="AC123">
        <f>0</f>
        <v>0</v>
      </c>
      <c r="AD123">
        <f>0</f>
        <v>0</v>
      </c>
      <c r="AE123">
        <f>0</f>
        <v>0</v>
      </c>
      <c r="AG123" t="s">
        <v>180</v>
      </c>
    </row>
    <row r="124" spans="1:165" x14ac:dyDescent="0.25">
      <c r="A124" t="s">
        <v>670</v>
      </c>
      <c r="B124" t="s">
        <v>170</v>
      </c>
      <c r="C124" s="1">
        <v>46077</v>
      </c>
      <c r="D124" t="s">
        <v>184</v>
      </c>
      <c r="E124" t="s">
        <v>546</v>
      </c>
      <c r="F124" t="s">
        <v>671</v>
      </c>
      <c r="G124" t="s">
        <v>672</v>
      </c>
      <c r="H124">
        <v>714</v>
      </c>
      <c r="I124" t="s">
        <v>672</v>
      </c>
      <c r="J124">
        <v>1211</v>
      </c>
      <c r="K124" t="s">
        <v>4492</v>
      </c>
      <c r="L124" t="s">
        <v>266</v>
      </c>
      <c r="M124" t="s">
        <v>3881</v>
      </c>
      <c r="N124" t="s">
        <v>673</v>
      </c>
      <c r="O124" t="s">
        <v>674</v>
      </c>
      <c r="R124">
        <f>1</f>
        <v>1</v>
      </c>
      <c r="S124">
        <f>10</f>
        <v>10</v>
      </c>
      <c r="T124">
        <f>7.6</f>
        <v>7.6</v>
      </c>
      <c r="U124">
        <f>398</f>
        <v>398</v>
      </c>
      <c r="V124">
        <f>0.28</f>
        <v>0.28000000000000003</v>
      </c>
      <c r="X124">
        <f>0</f>
        <v>0</v>
      </c>
      <c r="Y124">
        <f>0.3</f>
        <v>0.3</v>
      </c>
      <c r="Z124">
        <f>0</f>
        <v>0</v>
      </c>
      <c r="AA124" t="s">
        <v>179</v>
      </c>
      <c r="AB124">
        <f>12</f>
        <v>12</v>
      </c>
      <c r="AD124">
        <f>0</f>
        <v>0</v>
      </c>
      <c r="AE124">
        <f>0</f>
        <v>0</v>
      </c>
      <c r="AG124" t="s">
        <v>180</v>
      </c>
    </row>
    <row r="125" spans="1:165" x14ac:dyDescent="0.25">
      <c r="A125" t="s">
        <v>675</v>
      </c>
      <c r="B125" t="s">
        <v>170</v>
      </c>
      <c r="C125" s="1">
        <v>46077</v>
      </c>
      <c r="D125" t="s">
        <v>184</v>
      </c>
      <c r="E125" t="s">
        <v>546</v>
      </c>
      <c r="F125" t="s">
        <v>660</v>
      </c>
      <c r="G125" t="s">
        <v>676</v>
      </c>
      <c r="H125">
        <v>732</v>
      </c>
      <c r="I125" t="s">
        <v>676</v>
      </c>
      <c r="J125">
        <v>991</v>
      </c>
      <c r="K125" t="s">
        <v>4492</v>
      </c>
      <c r="L125" t="s">
        <v>176</v>
      </c>
      <c r="M125" t="s">
        <v>677</v>
      </c>
      <c r="N125" t="s">
        <v>678</v>
      </c>
      <c r="O125" t="s">
        <v>679</v>
      </c>
      <c r="R125">
        <f>1</f>
        <v>1</v>
      </c>
      <c r="S125">
        <f>13.5</f>
        <v>13.5</v>
      </c>
      <c r="T125">
        <f>7.1</f>
        <v>7.1</v>
      </c>
      <c r="U125">
        <f>501</f>
        <v>501</v>
      </c>
      <c r="X125">
        <f>0</f>
        <v>0</v>
      </c>
      <c r="Y125" t="s">
        <v>180</v>
      </c>
      <c r="Z125">
        <f>0</f>
        <v>0</v>
      </c>
      <c r="AA125" t="s">
        <v>179</v>
      </c>
      <c r="AB125" t="s">
        <v>179</v>
      </c>
      <c r="AD125">
        <f>0</f>
        <v>0</v>
      </c>
      <c r="AE125">
        <f>0</f>
        <v>0</v>
      </c>
      <c r="AG125" t="s">
        <v>180</v>
      </c>
    </row>
    <row r="126" spans="1:165" x14ac:dyDescent="0.25">
      <c r="A126" t="s">
        <v>680</v>
      </c>
      <c r="B126" t="s">
        <v>170</v>
      </c>
      <c r="C126" s="1">
        <v>46078</v>
      </c>
      <c r="D126" t="s">
        <v>184</v>
      </c>
      <c r="E126" t="s">
        <v>185</v>
      </c>
      <c r="F126" t="s">
        <v>419</v>
      </c>
      <c r="G126" t="s">
        <v>3882</v>
      </c>
      <c r="H126">
        <v>738</v>
      </c>
      <c r="I126" t="s">
        <v>3882</v>
      </c>
      <c r="J126">
        <v>2808</v>
      </c>
      <c r="K126" t="s">
        <v>4492</v>
      </c>
      <c r="L126" t="s">
        <v>176</v>
      </c>
      <c r="M126" t="s">
        <v>681</v>
      </c>
      <c r="N126" t="s">
        <v>3883</v>
      </c>
      <c r="O126" t="s">
        <v>682</v>
      </c>
      <c r="R126">
        <f>1</f>
        <v>1</v>
      </c>
      <c r="S126">
        <f>11.2</f>
        <v>11.2</v>
      </c>
      <c r="T126">
        <f>7.6</f>
        <v>7.6</v>
      </c>
      <c r="U126">
        <f>527</f>
        <v>527</v>
      </c>
      <c r="X126">
        <f>0</f>
        <v>0</v>
      </c>
      <c r="Y126">
        <f>0.2</f>
        <v>0.2</v>
      </c>
      <c r="Z126">
        <f>0</f>
        <v>0</v>
      </c>
      <c r="AA126" t="s">
        <v>179</v>
      </c>
      <c r="AB126" t="s">
        <v>179</v>
      </c>
      <c r="AD126">
        <f>0</f>
        <v>0</v>
      </c>
      <c r="AE126">
        <f>0</f>
        <v>0</v>
      </c>
      <c r="AG126" t="s">
        <v>180</v>
      </c>
    </row>
    <row r="127" spans="1:165" x14ac:dyDescent="0.25">
      <c r="A127" t="s">
        <v>683</v>
      </c>
      <c r="B127" t="s">
        <v>170</v>
      </c>
      <c r="C127" s="1">
        <v>46125</v>
      </c>
      <c r="D127" t="s">
        <v>184</v>
      </c>
      <c r="E127" t="s">
        <v>185</v>
      </c>
      <c r="F127" t="s">
        <v>684</v>
      </c>
      <c r="G127" t="s">
        <v>685</v>
      </c>
      <c r="H127">
        <v>175</v>
      </c>
      <c r="I127" t="s">
        <v>685</v>
      </c>
      <c r="J127">
        <v>4798</v>
      </c>
      <c r="K127" t="s">
        <v>4492</v>
      </c>
      <c r="L127" t="s">
        <v>266</v>
      </c>
      <c r="M127" t="s">
        <v>686</v>
      </c>
      <c r="N127" t="s">
        <v>687</v>
      </c>
      <c r="O127" t="s">
        <v>688</v>
      </c>
      <c r="Q127" t="s">
        <v>3472</v>
      </c>
      <c r="R127">
        <f>1</f>
        <v>1</v>
      </c>
      <c r="S127">
        <f>10.6</f>
        <v>10.6</v>
      </c>
      <c r="T127">
        <f>7.7</f>
        <v>7.7</v>
      </c>
      <c r="U127">
        <f>317</f>
        <v>317</v>
      </c>
      <c r="V127">
        <f>0.06</f>
        <v>0.06</v>
      </c>
      <c r="X127">
        <f>0</f>
        <v>0</v>
      </c>
      <c r="Y127" t="s">
        <v>180</v>
      </c>
      <c r="Z127">
        <f>0</f>
        <v>0</v>
      </c>
      <c r="AA127">
        <f>0</f>
        <v>0</v>
      </c>
      <c r="AB127">
        <f>0</f>
        <v>0</v>
      </c>
      <c r="AD127">
        <f>0</f>
        <v>0</v>
      </c>
      <c r="AE127">
        <f>0</f>
        <v>0</v>
      </c>
      <c r="AG127" t="s">
        <v>180</v>
      </c>
    </row>
    <row r="128" spans="1:165" x14ac:dyDescent="0.25">
      <c r="A128" t="s">
        <v>689</v>
      </c>
      <c r="B128" t="s">
        <v>170</v>
      </c>
      <c r="C128" s="1">
        <v>46129</v>
      </c>
      <c r="D128" t="s">
        <v>195</v>
      </c>
      <c r="E128" t="s">
        <v>196</v>
      </c>
      <c r="F128" t="s">
        <v>3857</v>
      </c>
      <c r="G128" t="s">
        <v>690</v>
      </c>
      <c r="H128">
        <v>747</v>
      </c>
      <c r="I128" t="s">
        <v>690</v>
      </c>
      <c r="J128">
        <v>176</v>
      </c>
      <c r="K128" t="s">
        <v>4494</v>
      </c>
      <c r="L128" t="s">
        <v>691</v>
      </c>
      <c r="M128" t="s">
        <v>692</v>
      </c>
      <c r="N128" t="s">
        <v>4260</v>
      </c>
      <c r="O128" t="s">
        <v>693</v>
      </c>
      <c r="R128">
        <f>1</f>
        <v>1</v>
      </c>
      <c r="S128">
        <f>14.3</f>
        <v>14.3</v>
      </c>
      <c r="T128">
        <f>7.6</f>
        <v>7.6</v>
      </c>
      <c r="U128">
        <f>405</f>
        <v>405</v>
      </c>
      <c r="V128">
        <f>0.07</f>
        <v>7.0000000000000007E-2</v>
      </c>
      <c r="X128">
        <f>0</f>
        <v>0</v>
      </c>
      <c r="Y128">
        <f>0.06</f>
        <v>0.06</v>
      </c>
      <c r="Z128">
        <f>0</f>
        <v>0</v>
      </c>
      <c r="AA128">
        <f>0</f>
        <v>0</v>
      </c>
      <c r="AB128">
        <f>2</f>
        <v>2</v>
      </c>
      <c r="AC128">
        <f>0</f>
        <v>0</v>
      </c>
      <c r="AD128">
        <f>0</f>
        <v>0</v>
      </c>
      <c r="AE128">
        <f>0</f>
        <v>0</v>
      </c>
      <c r="AG128" t="s">
        <v>180</v>
      </c>
    </row>
    <row r="129" spans="1:81" x14ac:dyDescent="0.25">
      <c r="A129" t="s">
        <v>694</v>
      </c>
      <c r="B129" t="s">
        <v>170</v>
      </c>
      <c r="C129" s="1">
        <v>46132</v>
      </c>
      <c r="D129" t="s">
        <v>425</v>
      </c>
      <c r="E129" t="s">
        <v>426</v>
      </c>
      <c r="F129" t="s">
        <v>695</v>
      </c>
      <c r="G129" t="s">
        <v>4261</v>
      </c>
      <c r="H129">
        <v>675</v>
      </c>
      <c r="I129" t="s">
        <v>4262</v>
      </c>
      <c r="J129">
        <v>400</v>
      </c>
      <c r="K129" t="s">
        <v>4494</v>
      </c>
      <c r="L129" t="s">
        <v>266</v>
      </c>
      <c r="M129" t="s">
        <v>4263</v>
      </c>
      <c r="N129" t="s">
        <v>4264</v>
      </c>
      <c r="O129" t="s">
        <v>696</v>
      </c>
      <c r="R129">
        <f>1</f>
        <v>1</v>
      </c>
      <c r="S129">
        <f>11.7</f>
        <v>11.7</v>
      </c>
      <c r="T129">
        <f>8</f>
        <v>8</v>
      </c>
      <c r="U129">
        <f>135</f>
        <v>135</v>
      </c>
      <c r="V129">
        <f>0.11</f>
        <v>0.11</v>
      </c>
      <c r="X129">
        <f>0</f>
        <v>0</v>
      </c>
      <c r="Y129" t="s">
        <v>180</v>
      </c>
      <c r="Z129">
        <f>0</f>
        <v>0</v>
      </c>
      <c r="AA129" t="s">
        <v>179</v>
      </c>
      <c r="AB129" t="s">
        <v>179</v>
      </c>
      <c r="AC129">
        <f>0</f>
        <v>0</v>
      </c>
      <c r="AD129">
        <f>0</f>
        <v>0</v>
      </c>
      <c r="AE129">
        <f>0</f>
        <v>0</v>
      </c>
      <c r="AG129" t="s">
        <v>180</v>
      </c>
      <c r="AH129" t="s">
        <v>193</v>
      </c>
      <c r="AK129" t="s">
        <v>181</v>
      </c>
      <c r="AL129" t="s">
        <v>182</v>
      </c>
      <c r="AM129">
        <f>2.4</f>
        <v>2.4</v>
      </c>
      <c r="AN129">
        <f>0.05</f>
        <v>0.05</v>
      </c>
      <c r="AO129">
        <f>6.8</f>
        <v>6.8</v>
      </c>
      <c r="AP129">
        <f>2.2</f>
        <v>2.2000000000000002</v>
      </c>
      <c r="AQ129" t="s">
        <v>180</v>
      </c>
    </row>
    <row r="130" spans="1:81" x14ac:dyDescent="0.25">
      <c r="A130" t="s">
        <v>697</v>
      </c>
      <c r="B130" t="s">
        <v>170</v>
      </c>
      <c r="C130" s="1">
        <v>46132</v>
      </c>
      <c r="D130" t="s">
        <v>195</v>
      </c>
      <c r="E130" t="s">
        <v>448</v>
      </c>
      <c r="F130" t="s">
        <v>4265</v>
      </c>
      <c r="G130" t="s">
        <v>3701</v>
      </c>
      <c r="H130">
        <v>755</v>
      </c>
      <c r="I130" t="s">
        <v>3701</v>
      </c>
      <c r="J130">
        <v>342</v>
      </c>
      <c r="K130" t="s">
        <v>4494</v>
      </c>
      <c r="L130" t="s">
        <v>593</v>
      </c>
      <c r="M130" t="s">
        <v>3884</v>
      </c>
      <c r="N130" t="s">
        <v>3702</v>
      </c>
      <c r="O130" t="s">
        <v>698</v>
      </c>
      <c r="R130">
        <f>1</f>
        <v>1</v>
      </c>
      <c r="S130">
        <f>13.2</f>
        <v>13.2</v>
      </c>
      <c r="T130">
        <f>7.8</f>
        <v>7.8</v>
      </c>
      <c r="U130">
        <f>434</f>
        <v>434</v>
      </c>
      <c r="V130">
        <f>0.38</f>
        <v>0.38</v>
      </c>
      <c r="X130">
        <f>0</f>
        <v>0</v>
      </c>
      <c r="Y130">
        <f>1.33</f>
        <v>1.33</v>
      </c>
      <c r="Z130">
        <f>0</f>
        <v>0</v>
      </c>
      <c r="AA130">
        <f>0</f>
        <v>0</v>
      </c>
      <c r="AB130">
        <f>0</f>
        <v>0</v>
      </c>
      <c r="AC130">
        <f>0</f>
        <v>0</v>
      </c>
      <c r="AD130">
        <f>0</f>
        <v>0</v>
      </c>
      <c r="AE130">
        <f>0</f>
        <v>0</v>
      </c>
      <c r="AG130" t="s">
        <v>180</v>
      </c>
      <c r="AH130">
        <f>0.58</f>
        <v>0.57999999999999996</v>
      </c>
      <c r="AK130" t="s">
        <v>699</v>
      </c>
      <c r="AL130" t="s">
        <v>286</v>
      </c>
      <c r="AM130" t="s">
        <v>700</v>
      </c>
      <c r="AN130">
        <f>0</f>
        <v>0</v>
      </c>
      <c r="AO130">
        <f>8</f>
        <v>8</v>
      </c>
      <c r="AP130">
        <f>3.2</f>
        <v>3.2</v>
      </c>
      <c r="AQ130" t="s">
        <v>701</v>
      </c>
    </row>
    <row r="131" spans="1:81" x14ac:dyDescent="0.25">
      <c r="A131" t="s">
        <v>702</v>
      </c>
      <c r="B131" t="s">
        <v>170</v>
      </c>
      <c r="C131" s="1">
        <v>46132</v>
      </c>
      <c r="D131" t="s">
        <v>195</v>
      </c>
      <c r="E131" t="s">
        <v>448</v>
      </c>
      <c r="F131" t="s">
        <v>4265</v>
      </c>
      <c r="G131" t="s">
        <v>703</v>
      </c>
      <c r="H131">
        <v>761</v>
      </c>
      <c r="I131" t="s">
        <v>703</v>
      </c>
      <c r="J131">
        <v>270</v>
      </c>
      <c r="K131" t="s">
        <v>4494</v>
      </c>
      <c r="L131" t="s">
        <v>3567</v>
      </c>
      <c r="M131" t="s">
        <v>4543</v>
      </c>
      <c r="N131" t="s">
        <v>704</v>
      </c>
      <c r="Q131" t="s">
        <v>705</v>
      </c>
      <c r="R131">
        <f>1</f>
        <v>1</v>
      </c>
      <c r="S131">
        <f>13.1</f>
        <v>13.1</v>
      </c>
      <c r="T131">
        <f>7.9</f>
        <v>7.9</v>
      </c>
      <c r="U131">
        <f>211</f>
        <v>211</v>
      </c>
      <c r="X131">
        <f>0</f>
        <v>0</v>
      </c>
      <c r="Y131">
        <f>0.24</f>
        <v>0.24</v>
      </c>
      <c r="Z131">
        <f>0</f>
        <v>0</v>
      </c>
      <c r="AA131">
        <f>0</f>
        <v>0</v>
      </c>
      <c r="AB131">
        <f>0</f>
        <v>0</v>
      </c>
      <c r="AC131">
        <f>0</f>
        <v>0</v>
      </c>
      <c r="AD131">
        <f>0</f>
        <v>0</v>
      </c>
      <c r="AE131">
        <f>0</f>
        <v>0</v>
      </c>
      <c r="AG131" t="s">
        <v>180</v>
      </c>
    </row>
    <row r="132" spans="1:81" x14ac:dyDescent="0.25">
      <c r="A132" t="s">
        <v>706</v>
      </c>
      <c r="B132" t="s">
        <v>170</v>
      </c>
      <c r="C132" s="1">
        <v>46132</v>
      </c>
      <c r="D132" t="s">
        <v>195</v>
      </c>
      <c r="E132" t="s">
        <v>448</v>
      </c>
      <c r="F132" t="s">
        <v>707</v>
      </c>
      <c r="G132" t="s">
        <v>708</v>
      </c>
      <c r="H132">
        <v>777</v>
      </c>
      <c r="I132" t="s">
        <v>708</v>
      </c>
      <c r="J132">
        <v>315</v>
      </c>
      <c r="K132" t="s">
        <v>4494</v>
      </c>
      <c r="L132" t="s">
        <v>266</v>
      </c>
      <c r="M132" t="s">
        <v>709</v>
      </c>
      <c r="N132" t="s">
        <v>710</v>
      </c>
      <c r="O132" t="s">
        <v>711</v>
      </c>
      <c r="Q132" t="s">
        <v>3476</v>
      </c>
      <c r="R132">
        <f>1</f>
        <v>1</v>
      </c>
      <c r="S132">
        <f>13.8</f>
        <v>13.8</v>
      </c>
      <c r="T132">
        <f>7.9</f>
        <v>7.9</v>
      </c>
      <c r="U132">
        <f>300</f>
        <v>300</v>
      </c>
      <c r="V132">
        <f>0.22</f>
        <v>0.22</v>
      </c>
      <c r="X132">
        <f>0</f>
        <v>0</v>
      </c>
      <c r="Y132">
        <f>0.05</f>
        <v>0.05</v>
      </c>
      <c r="Z132">
        <f>0</f>
        <v>0</v>
      </c>
      <c r="AA132">
        <f>0</f>
        <v>0</v>
      </c>
      <c r="AB132">
        <f>0</f>
        <v>0</v>
      </c>
      <c r="AC132">
        <f>0</f>
        <v>0</v>
      </c>
      <c r="AD132">
        <f>0</f>
        <v>0</v>
      </c>
      <c r="AE132">
        <f>0</f>
        <v>0</v>
      </c>
      <c r="AG132" t="s">
        <v>180</v>
      </c>
      <c r="AH132">
        <f>0.64</f>
        <v>0.64</v>
      </c>
      <c r="AK132" t="s">
        <v>699</v>
      </c>
      <c r="AL132" t="s">
        <v>286</v>
      </c>
      <c r="AM132">
        <f>2.1</f>
        <v>2.1</v>
      </c>
      <c r="AN132">
        <f>0.04</f>
        <v>0.04</v>
      </c>
      <c r="AO132">
        <f>2.5</f>
        <v>2.5</v>
      </c>
      <c r="AP132">
        <f>4.2</f>
        <v>4.2</v>
      </c>
      <c r="AQ132" t="s">
        <v>701</v>
      </c>
      <c r="CC132">
        <f>0.41</f>
        <v>0.41</v>
      </c>
    </row>
    <row r="133" spans="1:81" x14ac:dyDescent="0.25">
      <c r="A133" t="s">
        <v>712</v>
      </c>
      <c r="B133" t="s">
        <v>170</v>
      </c>
      <c r="C133" s="1">
        <v>46085</v>
      </c>
      <c r="D133" t="s">
        <v>195</v>
      </c>
      <c r="E133" t="s">
        <v>448</v>
      </c>
      <c r="F133" t="s">
        <v>4265</v>
      </c>
      <c r="G133" t="s">
        <v>4266</v>
      </c>
      <c r="H133">
        <v>778</v>
      </c>
      <c r="I133" t="s">
        <v>4266</v>
      </c>
      <c r="J133">
        <v>314</v>
      </c>
      <c r="K133" t="s">
        <v>4494</v>
      </c>
      <c r="L133" t="s">
        <v>266</v>
      </c>
      <c r="M133" t="s">
        <v>692</v>
      </c>
      <c r="N133" t="s">
        <v>4267</v>
      </c>
      <c r="O133" t="s">
        <v>713</v>
      </c>
      <c r="Q133" t="s">
        <v>3316</v>
      </c>
      <c r="R133">
        <f>1</f>
        <v>1</v>
      </c>
      <c r="S133">
        <f>10.6</f>
        <v>10.6</v>
      </c>
      <c r="T133">
        <f>8.1</f>
        <v>8.1</v>
      </c>
      <c r="U133">
        <f>228</f>
        <v>228</v>
      </c>
      <c r="V133">
        <f>0.11</f>
        <v>0.11</v>
      </c>
      <c r="X133">
        <f>0</f>
        <v>0</v>
      </c>
      <c r="Y133">
        <f>0.11</f>
        <v>0.11</v>
      </c>
      <c r="Z133">
        <f>0</f>
        <v>0</v>
      </c>
      <c r="AA133">
        <f>0</f>
        <v>0</v>
      </c>
      <c r="AB133">
        <f>0</f>
        <v>0</v>
      </c>
      <c r="AC133">
        <f>0</f>
        <v>0</v>
      </c>
      <c r="AD133">
        <f>0</f>
        <v>0</v>
      </c>
      <c r="AE133">
        <f>0</f>
        <v>0</v>
      </c>
      <c r="AG133" t="s">
        <v>180</v>
      </c>
    </row>
    <row r="134" spans="1:81" x14ac:dyDescent="0.25">
      <c r="A134" t="s">
        <v>714</v>
      </c>
      <c r="B134" t="s">
        <v>170</v>
      </c>
      <c r="C134" s="1">
        <v>46121</v>
      </c>
      <c r="D134" t="s">
        <v>425</v>
      </c>
      <c r="E134" t="s">
        <v>426</v>
      </c>
      <c r="F134" t="s">
        <v>695</v>
      </c>
      <c r="G134" t="s">
        <v>715</v>
      </c>
      <c r="H134">
        <v>817</v>
      </c>
      <c r="I134" t="s">
        <v>3885</v>
      </c>
      <c r="J134">
        <v>2000</v>
      </c>
      <c r="K134" t="s">
        <v>4492</v>
      </c>
      <c r="L134" t="s">
        <v>291</v>
      </c>
      <c r="M134" t="s">
        <v>3886</v>
      </c>
      <c r="N134" t="s">
        <v>3887</v>
      </c>
      <c r="O134" t="s">
        <v>716</v>
      </c>
      <c r="R134">
        <f>1</f>
        <v>1</v>
      </c>
      <c r="S134">
        <f>11.8</f>
        <v>11.8</v>
      </c>
      <c r="T134">
        <f>7.7</f>
        <v>7.7</v>
      </c>
      <c r="U134">
        <f>353</f>
        <v>353</v>
      </c>
      <c r="X134">
        <f>0</f>
        <v>0</v>
      </c>
      <c r="Y134" t="s">
        <v>180</v>
      </c>
      <c r="Z134">
        <f>0</f>
        <v>0</v>
      </c>
      <c r="AA134" t="s">
        <v>179</v>
      </c>
      <c r="AB134" t="s">
        <v>179</v>
      </c>
      <c r="AD134">
        <f>0</f>
        <v>0</v>
      </c>
      <c r="AE134">
        <f>0</f>
        <v>0</v>
      </c>
      <c r="AG134" t="s">
        <v>180</v>
      </c>
    </row>
    <row r="135" spans="1:81" x14ac:dyDescent="0.25">
      <c r="A135" t="s">
        <v>717</v>
      </c>
      <c r="B135" t="s">
        <v>170</v>
      </c>
      <c r="C135" s="1">
        <v>46083</v>
      </c>
      <c r="D135" t="s">
        <v>238</v>
      </c>
      <c r="E135" t="s">
        <v>260</v>
      </c>
      <c r="F135" t="s">
        <v>261</v>
      </c>
      <c r="G135" t="s">
        <v>4268</v>
      </c>
      <c r="H135">
        <v>229</v>
      </c>
      <c r="I135" t="s">
        <v>4268</v>
      </c>
      <c r="J135">
        <v>956</v>
      </c>
      <c r="K135" t="s">
        <v>4492</v>
      </c>
      <c r="L135" t="s">
        <v>266</v>
      </c>
      <c r="M135" t="s">
        <v>3888</v>
      </c>
      <c r="N135" t="s">
        <v>3317</v>
      </c>
      <c r="O135" t="s">
        <v>718</v>
      </c>
      <c r="R135">
        <f>1</f>
        <v>1</v>
      </c>
      <c r="S135">
        <f>9.7</f>
        <v>9.6999999999999993</v>
      </c>
      <c r="T135">
        <f>7.6</f>
        <v>7.6</v>
      </c>
      <c r="U135">
        <f>376</f>
        <v>376</v>
      </c>
      <c r="V135">
        <f>0.12</f>
        <v>0.12</v>
      </c>
      <c r="X135">
        <f>0</f>
        <v>0</v>
      </c>
      <c r="Y135">
        <f>0.46</f>
        <v>0.46</v>
      </c>
      <c r="Z135">
        <f>0</f>
        <v>0</v>
      </c>
      <c r="AA135" t="s">
        <v>179</v>
      </c>
      <c r="AB135" t="s">
        <v>179</v>
      </c>
      <c r="AD135">
        <f>0</f>
        <v>0</v>
      </c>
      <c r="AE135">
        <f>0</f>
        <v>0</v>
      </c>
      <c r="AG135" t="s">
        <v>220</v>
      </c>
    </row>
    <row r="136" spans="1:81" x14ac:dyDescent="0.25">
      <c r="A136" t="s">
        <v>719</v>
      </c>
      <c r="B136" t="s">
        <v>170</v>
      </c>
      <c r="C136" s="1">
        <v>46097</v>
      </c>
      <c r="D136" t="s">
        <v>216</v>
      </c>
      <c r="E136" t="s">
        <v>217</v>
      </c>
      <c r="F136" t="s">
        <v>368</v>
      </c>
      <c r="G136" t="s">
        <v>3703</v>
      </c>
      <c r="H136">
        <v>251</v>
      </c>
      <c r="I136" t="s">
        <v>3703</v>
      </c>
      <c r="J136">
        <v>256</v>
      </c>
      <c r="K136" t="s">
        <v>4494</v>
      </c>
      <c r="L136" t="s">
        <v>266</v>
      </c>
      <c r="M136" t="s">
        <v>4544</v>
      </c>
      <c r="N136" t="s">
        <v>4545</v>
      </c>
      <c r="O136" t="s">
        <v>720</v>
      </c>
      <c r="Q136" t="s">
        <v>3468</v>
      </c>
      <c r="R136">
        <f>1</f>
        <v>1</v>
      </c>
      <c r="S136">
        <f>11</f>
        <v>11</v>
      </c>
      <c r="T136">
        <f>8.1</f>
        <v>8.1</v>
      </c>
      <c r="U136">
        <f>194</f>
        <v>194</v>
      </c>
      <c r="V136" t="s">
        <v>258</v>
      </c>
      <c r="X136">
        <f>1</f>
        <v>1</v>
      </c>
      <c r="Y136">
        <f>0.11</f>
        <v>0.11</v>
      </c>
      <c r="Z136">
        <f>0</f>
        <v>0</v>
      </c>
      <c r="AA136">
        <f>0</f>
        <v>0</v>
      </c>
      <c r="AB136">
        <f>0</f>
        <v>0</v>
      </c>
      <c r="AC136">
        <f>0</f>
        <v>0</v>
      </c>
      <c r="AD136">
        <f>0</f>
        <v>0</v>
      </c>
      <c r="AE136">
        <f>0</f>
        <v>0</v>
      </c>
      <c r="AG136" t="s">
        <v>220</v>
      </c>
    </row>
    <row r="137" spans="1:81" x14ac:dyDescent="0.25">
      <c r="A137" t="s">
        <v>721</v>
      </c>
      <c r="B137" t="s">
        <v>170</v>
      </c>
      <c r="C137" s="1">
        <v>46112</v>
      </c>
      <c r="D137" t="s">
        <v>222</v>
      </c>
      <c r="E137" t="s">
        <v>223</v>
      </c>
      <c r="F137" t="s">
        <v>296</v>
      </c>
      <c r="G137" t="s">
        <v>722</v>
      </c>
      <c r="H137">
        <v>881</v>
      </c>
      <c r="I137" t="s">
        <v>3704</v>
      </c>
      <c r="J137">
        <v>789</v>
      </c>
      <c r="K137" t="s">
        <v>4492</v>
      </c>
      <c r="L137" t="s">
        <v>369</v>
      </c>
      <c r="M137" t="s">
        <v>4546</v>
      </c>
      <c r="N137" t="s">
        <v>723</v>
      </c>
      <c r="O137" t="s">
        <v>724</v>
      </c>
      <c r="R137">
        <f>1</f>
        <v>1</v>
      </c>
      <c r="S137">
        <f>8.3</f>
        <v>8.3000000000000007</v>
      </c>
      <c r="T137">
        <f>8.2</f>
        <v>8.1999999999999993</v>
      </c>
      <c r="U137">
        <f>477</f>
        <v>477</v>
      </c>
      <c r="V137">
        <f>0.17</f>
        <v>0.17</v>
      </c>
      <c r="X137">
        <f>1</f>
        <v>1</v>
      </c>
      <c r="Y137" t="s">
        <v>180</v>
      </c>
      <c r="Z137">
        <f>0</f>
        <v>0</v>
      </c>
      <c r="AA137" t="s">
        <v>179</v>
      </c>
      <c r="AB137" t="s">
        <v>179</v>
      </c>
      <c r="AD137">
        <f>0</f>
        <v>0</v>
      </c>
      <c r="AE137">
        <f>0</f>
        <v>0</v>
      </c>
      <c r="AG137" t="s">
        <v>180</v>
      </c>
      <c r="AH137">
        <f>0.5</f>
        <v>0.5</v>
      </c>
      <c r="AK137" t="s">
        <v>181</v>
      </c>
      <c r="AL137" t="s">
        <v>182</v>
      </c>
      <c r="AM137">
        <f>3.7</f>
        <v>3.7</v>
      </c>
      <c r="AN137">
        <f>0.07</f>
        <v>7.0000000000000007E-2</v>
      </c>
      <c r="AO137">
        <f>8.4</f>
        <v>8.4</v>
      </c>
      <c r="AP137">
        <f>1.5</f>
        <v>1.5</v>
      </c>
      <c r="AQ137" t="s">
        <v>180</v>
      </c>
    </row>
    <row r="138" spans="1:81" x14ac:dyDescent="0.25">
      <c r="A138" t="s">
        <v>725</v>
      </c>
      <c r="B138" t="s">
        <v>170</v>
      </c>
      <c r="C138" s="1">
        <v>46125</v>
      </c>
      <c r="D138" t="s">
        <v>216</v>
      </c>
      <c r="E138" t="s">
        <v>217</v>
      </c>
      <c r="F138" t="s">
        <v>368</v>
      </c>
      <c r="G138" t="s">
        <v>726</v>
      </c>
      <c r="H138">
        <v>247</v>
      </c>
      <c r="I138" t="s">
        <v>726</v>
      </c>
      <c r="J138">
        <v>514</v>
      </c>
      <c r="K138" t="s">
        <v>4494</v>
      </c>
      <c r="L138" t="s">
        <v>266</v>
      </c>
      <c r="M138" t="s">
        <v>4547</v>
      </c>
      <c r="N138" t="s">
        <v>727</v>
      </c>
      <c r="O138" t="s">
        <v>728</v>
      </c>
      <c r="R138">
        <f>1</f>
        <v>1</v>
      </c>
      <c r="S138">
        <f>13.1</f>
        <v>13.1</v>
      </c>
      <c r="T138">
        <f>8.4</f>
        <v>8.4</v>
      </c>
      <c r="U138">
        <f>205</f>
        <v>205</v>
      </c>
      <c r="V138">
        <f>0.08</f>
        <v>0.08</v>
      </c>
      <c r="X138">
        <f>1</f>
        <v>1</v>
      </c>
      <c r="Y138">
        <f>0.12</f>
        <v>0.12</v>
      </c>
      <c r="Z138">
        <f>0</f>
        <v>0</v>
      </c>
      <c r="AA138">
        <f>0</f>
        <v>0</v>
      </c>
      <c r="AB138">
        <f>0</f>
        <v>0</v>
      </c>
      <c r="AC138">
        <f>0</f>
        <v>0</v>
      </c>
      <c r="AD138">
        <f>0</f>
        <v>0</v>
      </c>
      <c r="AE138">
        <f>0</f>
        <v>0</v>
      </c>
      <c r="AG138" t="s">
        <v>220</v>
      </c>
      <c r="AH138" t="s">
        <v>411</v>
      </c>
      <c r="AK138" t="s">
        <v>285</v>
      </c>
      <c r="AL138" t="s">
        <v>181</v>
      </c>
      <c r="AM138">
        <f>2.5</f>
        <v>2.5</v>
      </c>
      <c r="AN138">
        <f>0.05</f>
        <v>0.05</v>
      </c>
      <c r="AO138">
        <f>6.9</f>
        <v>6.9</v>
      </c>
      <c r="AP138">
        <f>1.5</f>
        <v>1.5</v>
      </c>
      <c r="AQ138" t="s">
        <v>284</v>
      </c>
    </row>
    <row r="139" spans="1:81" x14ac:dyDescent="0.25">
      <c r="A139" t="s">
        <v>729</v>
      </c>
      <c r="B139" t="s">
        <v>170</v>
      </c>
      <c r="C139" s="1">
        <v>46104</v>
      </c>
      <c r="D139" t="s">
        <v>222</v>
      </c>
      <c r="E139" t="s">
        <v>223</v>
      </c>
      <c r="F139" t="s">
        <v>625</v>
      </c>
      <c r="G139" t="s">
        <v>4269</v>
      </c>
      <c r="H139">
        <v>912</v>
      </c>
      <c r="I139" t="s">
        <v>4269</v>
      </c>
      <c r="J139">
        <v>577</v>
      </c>
      <c r="K139" t="s">
        <v>4492</v>
      </c>
      <c r="L139" t="s">
        <v>369</v>
      </c>
      <c r="M139" t="s">
        <v>3318</v>
      </c>
      <c r="N139" t="s">
        <v>3319</v>
      </c>
      <c r="O139" t="s">
        <v>730</v>
      </c>
      <c r="R139">
        <f>1</f>
        <v>1</v>
      </c>
      <c r="S139">
        <f>10.8</f>
        <v>10.8</v>
      </c>
      <c r="T139">
        <f>7.9</f>
        <v>7.9</v>
      </c>
      <c r="U139">
        <f>182</f>
        <v>182</v>
      </c>
      <c r="V139">
        <f>0.22</f>
        <v>0.22</v>
      </c>
      <c r="X139">
        <f>1</f>
        <v>1</v>
      </c>
      <c r="Y139">
        <f>0.53</f>
        <v>0.53</v>
      </c>
      <c r="Z139">
        <f>0</f>
        <v>0</v>
      </c>
      <c r="AA139" t="s">
        <v>179</v>
      </c>
      <c r="AB139" t="s">
        <v>179</v>
      </c>
      <c r="AD139">
        <f>0</f>
        <v>0</v>
      </c>
      <c r="AE139">
        <f>0</f>
        <v>0</v>
      </c>
      <c r="AG139" t="s">
        <v>180</v>
      </c>
    </row>
    <row r="140" spans="1:81" x14ac:dyDescent="0.25">
      <c r="A140" t="s">
        <v>731</v>
      </c>
      <c r="B140" t="s">
        <v>170</v>
      </c>
      <c r="C140" s="1">
        <v>46092</v>
      </c>
      <c r="D140" t="s">
        <v>425</v>
      </c>
      <c r="E140" t="s">
        <v>426</v>
      </c>
      <c r="F140" t="s">
        <v>655</v>
      </c>
      <c r="G140" t="s">
        <v>732</v>
      </c>
      <c r="H140">
        <v>43</v>
      </c>
      <c r="I140" t="s">
        <v>733</v>
      </c>
      <c r="J140">
        <v>530</v>
      </c>
      <c r="K140" t="s">
        <v>4492</v>
      </c>
      <c r="L140" t="s">
        <v>266</v>
      </c>
      <c r="M140" t="s">
        <v>3889</v>
      </c>
      <c r="N140" t="s">
        <v>734</v>
      </c>
      <c r="O140" t="s">
        <v>735</v>
      </c>
      <c r="R140">
        <f>1</f>
        <v>1</v>
      </c>
      <c r="S140">
        <f>9.2</f>
        <v>9.1999999999999993</v>
      </c>
      <c r="T140">
        <f>8</f>
        <v>8</v>
      </c>
      <c r="U140">
        <f>275</f>
        <v>275</v>
      </c>
      <c r="X140">
        <f>0</f>
        <v>0</v>
      </c>
      <c r="Y140" t="s">
        <v>180</v>
      </c>
      <c r="Z140">
        <f>0</f>
        <v>0</v>
      </c>
      <c r="AA140" t="s">
        <v>179</v>
      </c>
      <c r="AB140" t="s">
        <v>179</v>
      </c>
      <c r="AD140">
        <f>0</f>
        <v>0</v>
      </c>
      <c r="AE140">
        <f>0</f>
        <v>0</v>
      </c>
      <c r="AG140" t="s">
        <v>180</v>
      </c>
    </row>
    <row r="141" spans="1:81" x14ac:dyDescent="0.25">
      <c r="A141" t="s">
        <v>736</v>
      </c>
      <c r="B141" t="s">
        <v>170</v>
      </c>
      <c r="C141" s="1">
        <v>46125</v>
      </c>
      <c r="D141" t="s">
        <v>216</v>
      </c>
      <c r="E141" t="s">
        <v>217</v>
      </c>
      <c r="F141" t="s">
        <v>368</v>
      </c>
      <c r="G141" t="s">
        <v>737</v>
      </c>
      <c r="H141">
        <v>402</v>
      </c>
      <c r="I141" t="s">
        <v>737</v>
      </c>
      <c r="J141">
        <v>375</v>
      </c>
      <c r="K141" t="s">
        <v>4494</v>
      </c>
      <c r="L141" t="s">
        <v>266</v>
      </c>
      <c r="M141" t="s">
        <v>4548</v>
      </c>
      <c r="N141" t="s">
        <v>4549</v>
      </c>
      <c r="O141" t="s">
        <v>738</v>
      </c>
      <c r="R141">
        <f>1</f>
        <v>1</v>
      </c>
      <c r="S141">
        <f>13</f>
        <v>13</v>
      </c>
      <c r="T141">
        <f>8.1</f>
        <v>8.1</v>
      </c>
      <c r="U141">
        <f>218</f>
        <v>218</v>
      </c>
      <c r="V141">
        <f>0.08</f>
        <v>0.08</v>
      </c>
      <c r="X141">
        <f>1</f>
        <v>1</v>
      </c>
      <c r="Y141">
        <f>0.17</f>
        <v>0.17</v>
      </c>
      <c r="Z141">
        <f>0</f>
        <v>0</v>
      </c>
      <c r="AA141">
        <f>0</f>
        <v>0</v>
      </c>
      <c r="AB141">
        <f>0</f>
        <v>0</v>
      </c>
      <c r="AC141">
        <f>0</f>
        <v>0</v>
      </c>
      <c r="AD141">
        <f>0</f>
        <v>0</v>
      </c>
      <c r="AE141">
        <f>0</f>
        <v>0</v>
      </c>
      <c r="AG141" t="s">
        <v>220</v>
      </c>
      <c r="AH141" t="s">
        <v>411</v>
      </c>
      <c r="AK141" t="s">
        <v>285</v>
      </c>
      <c r="AL141" t="s">
        <v>181</v>
      </c>
      <c r="AM141">
        <f>3.6</f>
        <v>3.6</v>
      </c>
      <c r="AN141">
        <f>0.07</f>
        <v>7.0000000000000007E-2</v>
      </c>
      <c r="AO141">
        <f>1.7</f>
        <v>1.7</v>
      </c>
      <c r="AP141" t="s">
        <v>284</v>
      </c>
      <c r="AQ141" t="s">
        <v>284</v>
      </c>
    </row>
    <row r="142" spans="1:81" x14ac:dyDescent="0.25">
      <c r="A142" t="s">
        <v>739</v>
      </c>
      <c r="B142" t="s">
        <v>170</v>
      </c>
      <c r="C142" s="1">
        <v>46112</v>
      </c>
      <c r="D142" t="s">
        <v>216</v>
      </c>
      <c r="E142" t="s">
        <v>217</v>
      </c>
      <c r="F142" t="s">
        <v>3312</v>
      </c>
      <c r="G142" t="s">
        <v>3705</v>
      </c>
      <c r="H142">
        <v>412</v>
      </c>
      <c r="I142" t="s">
        <v>3705</v>
      </c>
      <c r="J142">
        <v>264</v>
      </c>
      <c r="K142" t="s">
        <v>4494</v>
      </c>
      <c r="L142" t="s">
        <v>619</v>
      </c>
      <c r="M142" t="s">
        <v>4543</v>
      </c>
      <c r="N142" t="s">
        <v>4550</v>
      </c>
      <c r="O142" t="s">
        <v>740</v>
      </c>
      <c r="R142">
        <f>1</f>
        <v>1</v>
      </c>
      <c r="S142">
        <f>12</f>
        <v>12</v>
      </c>
      <c r="T142">
        <f>8</f>
        <v>8</v>
      </c>
      <c r="U142">
        <f>360</f>
        <v>360</v>
      </c>
      <c r="V142">
        <f>0.22</f>
        <v>0.22</v>
      </c>
      <c r="X142">
        <f>1</f>
        <v>1</v>
      </c>
      <c r="Y142">
        <f>0.2</f>
        <v>0.2</v>
      </c>
      <c r="Z142">
        <f>0</f>
        <v>0</v>
      </c>
      <c r="AA142">
        <f>0</f>
        <v>0</v>
      </c>
      <c r="AB142">
        <f>0</f>
        <v>0</v>
      </c>
      <c r="AC142">
        <f>0</f>
        <v>0</v>
      </c>
      <c r="AD142">
        <f>0</f>
        <v>0</v>
      </c>
      <c r="AE142">
        <f>0</f>
        <v>0</v>
      </c>
      <c r="AG142" t="s">
        <v>220</v>
      </c>
    </row>
    <row r="143" spans="1:81" x14ac:dyDescent="0.25">
      <c r="A143" t="s">
        <v>741</v>
      </c>
      <c r="B143" t="s">
        <v>170</v>
      </c>
      <c r="C143" s="1">
        <v>46132</v>
      </c>
      <c r="D143" t="s">
        <v>425</v>
      </c>
      <c r="E143" t="s">
        <v>426</v>
      </c>
      <c r="F143" t="s">
        <v>655</v>
      </c>
      <c r="G143" t="s">
        <v>742</v>
      </c>
      <c r="H143">
        <v>933</v>
      </c>
      <c r="I143" t="s">
        <v>742</v>
      </c>
      <c r="J143">
        <v>2000</v>
      </c>
      <c r="K143" t="s">
        <v>4494</v>
      </c>
      <c r="L143" t="s">
        <v>369</v>
      </c>
      <c r="M143" t="s">
        <v>3890</v>
      </c>
      <c r="N143" t="s">
        <v>743</v>
      </c>
      <c r="O143" t="s">
        <v>744</v>
      </c>
      <c r="R143">
        <f>1</f>
        <v>1</v>
      </c>
      <c r="S143">
        <f>11.9</f>
        <v>11.9</v>
      </c>
      <c r="T143">
        <f>7.8</f>
        <v>7.8</v>
      </c>
      <c r="U143">
        <f>618</f>
        <v>618</v>
      </c>
      <c r="V143">
        <f>0.11</f>
        <v>0.11</v>
      </c>
      <c r="X143">
        <f>0</f>
        <v>0</v>
      </c>
      <c r="Y143" t="s">
        <v>180</v>
      </c>
      <c r="Z143">
        <f>0</f>
        <v>0</v>
      </c>
      <c r="AA143" t="s">
        <v>179</v>
      </c>
      <c r="AB143" t="s">
        <v>179</v>
      </c>
      <c r="AC143">
        <f>0</f>
        <v>0</v>
      </c>
      <c r="AD143">
        <f>0</f>
        <v>0</v>
      </c>
      <c r="AE143">
        <f>0</f>
        <v>0</v>
      </c>
      <c r="AG143" t="s">
        <v>180</v>
      </c>
      <c r="AH143" t="s">
        <v>193</v>
      </c>
      <c r="AK143" t="s">
        <v>181</v>
      </c>
      <c r="AL143" t="s">
        <v>182</v>
      </c>
      <c r="AM143">
        <f>8.4</f>
        <v>8.4</v>
      </c>
      <c r="AN143">
        <f>0.17</f>
        <v>0.17</v>
      </c>
      <c r="AO143">
        <f>47</f>
        <v>47</v>
      </c>
      <c r="AP143">
        <f>15</f>
        <v>15</v>
      </c>
      <c r="AQ143">
        <f>0.13</f>
        <v>0.13</v>
      </c>
    </row>
    <row r="144" spans="1:81" x14ac:dyDescent="0.25">
      <c r="A144" t="s">
        <v>745</v>
      </c>
      <c r="B144" t="s">
        <v>170</v>
      </c>
      <c r="C144" s="1">
        <v>46086</v>
      </c>
      <c r="D144" t="s">
        <v>184</v>
      </c>
      <c r="E144" t="s">
        <v>185</v>
      </c>
      <c r="F144" t="s">
        <v>288</v>
      </c>
      <c r="G144" t="s">
        <v>746</v>
      </c>
      <c r="H144">
        <v>335</v>
      </c>
      <c r="I144" t="s">
        <v>4270</v>
      </c>
      <c r="J144">
        <v>4432</v>
      </c>
      <c r="K144" t="s">
        <v>4492</v>
      </c>
      <c r="L144" t="s">
        <v>4551</v>
      </c>
      <c r="M144" t="s">
        <v>4552</v>
      </c>
      <c r="N144" t="s">
        <v>3320</v>
      </c>
      <c r="O144" t="s">
        <v>747</v>
      </c>
      <c r="Q144" t="s">
        <v>257</v>
      </c>
      <c r="R144">
        <f>1</f>
        <v>1</v>
      </c>
      <c r="S144">
        <f>10</f>
        <v>10</v>
      </c>
      <c r="T144">
        <f>7.5</f>
        <v>7.5</v>
      </c>
      <c r="U144">
        <f>531</f>
        <v>531</v>
      </c>
      <c r="V144">
        <f>0.19</f>
        <v>0.19</v>
      </c>
      <c r="X144">
        <f>0</f>
        <v>0</v>
      </c>
      <c r="Y144" t="s">
        <v>180</v>
      </c>
      <c r="Z144">
        <f>0</f>
        <v>0</v>
      </c>
      <c r="AA144">
        <f>0</f>
        <v>0</v>
      </c>
      <c r="AB144">
        <f>2</f>
        <v>2</v>
      </c>
      <c r="AD144">
        <f>0</f>
        <v>0</v>
      </c>
      <c r="AE144">
        <f>0</f>
        <v>0</v>
      </c>
      <c r="AG144" t="s">
        <v>180</v>
      </c>
    </row>
    <row r="145" spans="1:81" x14ac:dyDescent="0.25">
      <c r="A145" t="s">
        <v>748</v>
      </c>
      <c r="B145" t="s">
        <v>170</v>
      </c>
      <c r="C145" s="1">
        <v>46086</v>
      </c>
      <c r="D145" t="s">
        <v>184</v>
      </c>
      <c r="E145" t="s">
        <v>185</v>
      </c>
      <c r="F145" t="s">
        <v>288</v>
      </c>
      <c r="G145" t="s">
        <v>749</v>
      </c>
      <c r="H145">
        <v>935</v>
      </c>
      <c r="I145" t="s">
        <v>749</v>
      </c>
      <c r="J145">
        <v>7079</v>
      </c>
      <c r="K145" t="s">
        <v>4492</v>
      </c>
      <c r="L145" t="s">
        <v>3574</v>
      </c>
      <c r="M145" t="s">
        <v>4553</v>
      </c>
      <c r="N145" t="s">
        <v>3575</v>
      </c>
      <c r="O145" t="s">
        <v>750</v>
      </c>
      <c r="Q145" t="s">
        <v>257</v>
      </c>
      <c r="R145">
        <f>1</f>
        <v>1</v>
      </c>
      <c r="S145">
        <f>10.6</f>
        <v>10.6</v>
      </c>
      <c r="T145">
        <f>7.5</f>
        <v>7.5</v>
      </c>
      <c r="U145">
        <f>373</f>
        <v>373</v>
      </c>
      <c r="X145">
        <f>0</f>
        <v>0</v>
      </c>
      <c r="Y145" t="s">
        <v>180</v>
      </c>
      <c r="Z145">
        <f>0</f>
        <v>0</v>
      </c>
      <c r="AA145">
        <f>0</f>
        <v>0</v>
      </c>
      <c r="AB145">
        <f>2</f>
        <v>2</v>
      </c>
      <c r="AD145">
        <f>0</f>
        <v>0</v>
      </c>
      <c r="AE145">
        <f>0</f>
        <v>0</v>
      </c>
      <c r="AG145" t="s">
        <v>180</v>
      </c>
    </row>
    <row r="146" spans="1:81" x14ac:dyDescent="0.25">
      <c r="A146" t="s">
        <v>751</v>
      </c>
      <c r="B146" t="s">
        <v>170</v>
      </c>
      <c r="C146" s="1">
        <v>46132</v>
      </c>
      <c r="D146" t="s">
        <v>425</v>
      </c>
      <c r="E146" t="s">
        <v>426</v>
      </c>
      <c r="F146" t="s">
        <v>695</v>
      </c>
      <c r="G146" t="s">
        <v>4271</v>
      </c>
      <c r="H146">
        <v>949</v>
      </c>
      <c r="I146" t="s">
        <v>4271</v>
      </c>
      <c r="J146">
        <v>600</v>
      </c>
      <c r="K146" t="s">
        <v>4494</v>
      </c>
      <c r="L146" t="s">
        <v>176</v>
      </c>
      <c r="M146" t="s">
        <v>4272</v>
      </c>
      <c r="N146" t="s">
        <v>4273</v>
      </c>
      <c r="O146" t="s">
        <v>752</v>
      </c>
      <c r="R146">
        <f>1</f>
        <v>1</v>
      </c>
      <c r="S146">
        <f>11.7</f>
        <v>11.7</v>
      </c>
      <c r="T146">
        <f>7.8</f>
        <v>7.8</v>
      </c>
      <c r="U146">
        <f>353</f>
        <v>353</v>
      </c>
      <c r="X146">
        <f>0</f>
        <v>0</v>
      </c>
      <c r="Y146" t="s">
        <v>180</v>
      </c>
      <c r="Z146">
        <f>0</f>
        <v>0</v>
      </c>
      <c r="AA146" t="s">
        <v>179</v>
      </c>
      <c r="AB146" t="s">
        <v>179</v>
      </c>
      <c r="AC146">
        <f>0</f>
        <v>0</v>
      </c>
      <c r="AD146">
        <f>0</f>
        <v>0</v>
      </c>
      <c r="AE146">
        <f>0</f>
        <v>0</v>
      </c>
      <c r="AG146" t="s">
        <v>180</v>
      </c>
      <c r="AH146" t="s">
        <v>193</v>
      </c>
      <c r="AK146" t="s">
        <v>181</v>
      </c>
      <c r="AL146" t="s">
        <v>182</v>
      </c>
      <c r="AM146">
        <f>3</f>
        <v>3</v>
      </c>
      <c r="AN146">
        <f>0.06</f>
        <v>0.06</v>
      </c>
      <c r="AO146">
        <f>14</f>
        <v>14</v>
      </c>
      <c r="AP146">
        <f>1.2</f>
        <v>1.2</v>
      </c>
      <c r="AQ146" t="s">
        <v>180</v>
      </c>
    </row>
    <row r="147" spans="1:81" x14ac:dyDescent="0.25">
      <c r="A147" t="s">
        <v>753</v>
      </c>
      <c r="B147" t="s">
        <v>170</v>
      </c>
      <c r="C147" s="1">
        <v>46134</v>
      </c>
      <c r="D147" t="s">
        <v>216</v>
      </c>
      <c r="E147" t="s">
        <v>217</v>
      </c>
      <c r="F147" t="s">
        <v>368</v>
      </c>
      <c r="G147" t="s">
        <v>4274</v>
      </c>
      <c r="H147">
        <v>437</v>
      </c>
      <c r="I147" t="s">
        <v>4274</v>
      </c>
      <c r="J147">
        <v>589</v>
      </c>
      <c r="K147" t="s">
        <v>4494</v>
      </c>
      <c r="L147" t="s">
        <v>3303</v>
      </c>
      <c r="M147" t="s">
        <v>4554</v>
      </c>
      <c r="N147" t="s">
        <v>3321</v>
      </c>
      <c r="O147" t="s">
        <v>754</v>
      </c>
      <c r="Q147" t="s">
        <v>3477</v>
      </c>
      <c r="R147">
        <f>1</f>
        <v>1</v>
      </c>
      <c r="S147">
        <f>13.5</f>
        <v>13.5</v>
      </c>
      <c r="T147">
        <f>8.3</f>
        <v>8.3000000000000007</v>
      </c>
      <c r="U147">
        <f>215</f>
        <v>215</v>
      </c>
      <c r="V147">
        <f>0.07</f>
        <v>7.0000000000000007E-2</v>
      </c>
      <c r="X147">
        <f>1</f>
        <v>1</v>
      </c>
      <c r="Y147">
        <f>0.25</f>
        <v>0.25</v>
      </c>
      <c r="Z147">
        <f>0</f>
        <v>0</v>
      </c>
      <c r="AA147">
        <f>2</f>
        <v>2</v>
      </c>
      <c r="AB147">
        <f>22</f>
        <v>22</v>
      </c>
      <c r="AC147">
        <f>0</f>
        <v>0</v>
      </c>
      <c r="AD147">
        <f>0</f>
        <v>0</v>
      </c>
      <c r="AE147">
        <f>0</f>
        <v>0</v>
      </c>
      <c r="AG147" t="s">
        <v>220</v>
      </c>
      <c r="AH147">
        <f>0.33</f>
        <v>0.33</v>
      </c>
      <c r="AK147" t="s">
        <v>285</v>
      </c>
      <c r="AL147" t="s">
        <v>181</v>
      </c>
      <c r="AM147">
        <f>3.1</f>
        <v>3.1</v>
      </c>
      <c r="AN147">
        <f>0.06</f>
        <v>0.06</v>
      </c>
      <c r="AO147">
        <f>3.6</f>
        <v>3.6</v>
      </c>
      <c r="AP147" t="s">
        <v>284</v>
      </c>
      <c r="AQ147" t="s">
        <v>284</v>
      </c>
    </row>
    <row r="148" spans="1:81" x14ac:dyDescent="0.25">
      <c r="A148" t="s">
        <v>755</v>
      </c>
      <c r="B148" t="s">
        <v>170</v>
      </c>
      <c r="C148" s="1">
        <v>46125</v>
      </c>
      <c r="D148" t="s">
        <v>216</v>
      </c>
      <c r="E148" t="s">
        <v>217</v>
      </c>
      <c r="F148" t="s">
        <v>368</v>
      </c>
      <c r="G148" t="s">
        <v>3706</v>
      </c>
      <c r="H148">
        <v>250</v>
      </c>
      <c r="I148" t="s">
        <v>3707</v>
      </c>
      <c r="J148">
        <v>330</v>
      </c>
      <c r="K148" t="s">
        <v>4494</v>
      </c>
      <c r="L148" t="s">
        <v>266</v>
      </c>
      <c r="M148" t="s">
        <v>4554</v>
      </c>
      <c r="N148" t="s">
        <v>4555</v>
      </c>
      <c r="O148" t="s">
        <v>756</v>
      </c>
      <c r="R148">
        <f>1</f>
        <v>1</v>
      </c>
      <c r="S148">
        <f>10.3</f>
        <v>10.3</v>
      </c>
      <c r="T148">
        <f>8.1</f>
        <v>8.1</v>
      </c>
      <c r="U148">
        <f>278</f>
        <v>278</v>
      </c>
      <c r="V148" t="s">
        <v>192</v>
      </c>
      <c r="X148">
        <f>1</f>
        <v>1</v>
      </c>
      <c r="Y148">
        <f>0.07</f>
        <v>7.0000000000000007E-2</v>
      </c>
      <c r="Z148">
        <f>0</f>
        <v>0</v>
      </c>
      <c r="AA148">
        <f>0</f>
        <v>0</v>
      </c>
      <c r="AB148">
        <f>0</f>
        <v>0</v>
      </c>
      <c r="AC148">
        <f>0</f>
        <v>0</v>
      </c>
      <c r="AD148">
        <f>0</f>
        <v>0</v>
      </c>
      <c r="AE148">
        <f>0</f>
        <v>0</v>
      </c>
      <c r="AG148" t="s">
        <v>220</v>
      </c>
      <c r="AH148">
        <f>0.6</f>
        <v>0.6</v>
      </c>
      <c r="AK148" t="s">
        <v>285</v>
      </c>
      <c r="AL148" t="s">
        <v>181</v>
      </c>
      <c r="AM148">
        <f>3.3</f>
        <v>3.3</v>
      </c>
      <c r="AN148">
        <f>0.07</f>
        <v>7.0000000000000007E-2</v>
      </c>
      <c r="AO148">
        <f>1.3</f>
        <v>1.3</v>
      </c>
      <c r="AP148" t="s">
        <v>284</v>
      </c>
      <c r="AQ148" t="s">
        <v>284</v>
      </c>
    </row>
    <row r="149" spans="1:81" x14ac:dyDescent="0.25">
      <c r="A149" t="s">
        <v>757</v>
      </c>
      <c r="B149" t="s">
        <v>170</v>
      </c>
      <c r="C149" s="1">
        <v>46099</v>
      </c>
      <c r="D149" t="s">
        <v>251</v>
      </c>
      <c r="E149" t="s">
        <v>252</v>
      </c>
      <c r="F149" t="s">
        <v>758</v>
      </c>
      <c r="G149" t="s">
        <v>4275</v>
      </c>
      <c r="H149">
        <v>69</v>
      </c>
      <c r="I149" t="s">
        <v>4275</v>
      </c>
      <c r="J149">
        <v>667</v>
      </c>
      <c r="K149" t="s">
        <v>4492</v>
      </c>
      <c r="L149" t="s">
        <v>3567</v>
      </c>
      <c r="M149" t="s">
        <v>3322</v>
      </c>
      <c r="N149" t="s">
        <v>3323</v>
      </c>
      <c r="O149" t="s">
        <v>759</v>
      </c>
      <c r="Q149" t="s">
        <v>257</v>
      </c>
      <c r="R149">
        <f>1</f>
        <v>1</v>
      </c>
      <c r="S149">
        <f>5.8</f>
        <v>5.8</v>
      </c>
      <c r="T149">
        <f>8.1</f>
        <v>8.1</v>
      </c>
      <c r="U149">
        <f>172</f>
        <v>172</v>
      </c>
      <c r="X149">
        <f>0</f>
        <v>0</v>
      </c>
      <c r="Y149" t="s">
        <v>180</v>
      </c>
      <c r="Z149">
        <f>0</f>
        <v>0</v>
      </c>
      <c r="AA149">
        <f>0</f>
        <v>0</v>
      </c>
      <c r="AB149">
        <f>0</f>
        <v>0</v>
      </c>
      <c r="AD149">
        <f>0</f>
        <v>0</v>
      </c>
      <c r="AE149">
        <f>0</f>
        <v>0</v>
      </c>
      <c r="AG149" t="s">
        <v>180</v>
      </c>
    </row>
    <row r="150" spans="1:81" x14ac:dyDescent="0.25">
      <c r="A150" t="s">
        <v>760</v>
      </c>
      <c r="B150" t="s">
        <v>170</v>
      </c>
      <c r="C150" s="1">
        <v>46077</v>
      </c>
      <c r="D150" t="s">
        <v>184</v>
      </c>
      <c r="E150" t="s">
        <v>185</v>
      </c>
      <c r="F150" t="s">
        <v>761</v>
      </c>
      <c r="G150" t="s">
        <v>762</v>
      </c>
      <c r="H150">
        <v>1079</v>
      </c>
      <c r="I150" t="s">
        <v>762</v>
      </c>
      <c r="J150">
        <v>1257</v>
      </c>
      <c r="K150" t="s">
        <v>4492</v>
      </c>
      <c r="L150" t="s">
        <v>3567</v>
      </c>
      <c r="M150" t="s">
        <v>3891</v>
      </c>
      <c r="N150" t="s">
        <v>763</v>
      </c>
      <c r="O150" t="s">
        <v>764</v>
      </c>
      <c r="R150">
        <f>1</f>
        <v>1</v>
      </c>
      <c r="S150">
        <f>10.6</f>
        <v>10.6</v>
      </c>
      <c r="T150">
        <f>7.7</f>
        <v>7.7</v>
      </c>
      <c r="U150">
        <f>598</f>
        <v>598</v>
      </c>
      <c r="X150">
        <f>0</f>
        <v>0</v>
      </c>
      <c r="Y150" t="s">
        <v>180</v>
      </c>
      <c r="Z150">
        <f>0</f>
        <v>0</v>
      </c>
      <c r="AA150" t="s">
        <v>179</v>
      </c>
      <c r="AB150" t="s">
        <v>179</v>
      </c>
      <c r="AD150">
        <f>0</f>
        <v>0</v>
      </c>
      <c r="AE150">
        <f>0</f>
        <v>0</v>
      </c>
      <c r="AG150" t="s">
        <v>180</v>
      </c>
    </row>
    <row r="151" spans="1:81" x14ac:dyDescent="0.25">
      <c r="A151" t="s">
        <v>765</v>
      </c>
      <c r="B151" t="s">
        <v>766</v>
      </c>
      <c r="C151" s="1">
        <v>46084</v>
      </c>
      <c r="D151" t="s">
        <v>251</v>
      </c>
      <c r="E151" t="s">
        <v>252</v>
      </c>
      <c r="F151" t="s">
        <v>3691</v>
      </c>
      <c r="G151" t="s">
        <v>767</v>
      </c>
      <c r="H151">
        <v>723</v>
      </c>
      <c r="I151" t="s">
        <v>767</v>
      </c>
      <c r="J151">
        <v>800</v>
      </c>
      <c r="K151" t="s">
        <v>4492</v>
      </c>
      <c r="L151" t="s">
        <v>3553</v>
      </c>
      <c r="M151" t="s">
        <v>4556</v>
      </c>
      <c r="N151" t="s">
        <v>768</v>
      </c>
      <c r="O151" t="s">
        <v>769</v>
      </c>
      <c r="Q151" t="s">
        <v>257</v>
      </c>
      <c r="R151">
        <f>1</f>
        <v>1</v>
      </c>
      <c r="S151">
        <f>8.7</f>
        <v>8.6999999999999993</v>
      </c>
      <c r="T151">
        <f>8</f>
        <v>8</v>
      </c>
      <c r="U151">
        <f>133</f>
        <v>133</v>
      </c>
      <c r="V151">
        <f>0.04</f>
        <v>0.04</v>
      </c>
      <c r="X151">
        <f>0</f>
        <v>0</v>
      </c>
      <c r="Y151" t="s">
        <v>180</v>
      </c>
      <c r="Z151">
        <f>25</f>
        <v>25</v>
      </c>
      <c r="AA151">
        <f>11</f>
        <v>11</v>
      </c>
      <c r="AB151">
        <f>3</f>
        <v>3</v>
      </c>
      <c r="AD151">
        <f>0</f>
        <v>0</v>
      </c>
      <c r="AE151">
        <f>28</f>
        <v>28</v>
      </c>
      <c r="AG151" t="s">
        <v>180</v>
      </c>
      <c r="AH151" t="s">
        <v>284</v>
      </c>
      <c r="AK151" t="s">
        <v>285</v>
      </c>
      <c r="AL151" t="s">
        <v>286</v>
      </c>
      <c r="AM151" t="s">
        <v>284</v>
      </c>
      <c r="AN151" t="s">
        <v>285</v>
      </c>
      <c r="AO151">
        <f>7.7</f>
        <v>7.7</v>
      </c>
      <c r="AP151" t="s">
        <v>284</v>
      </c>
      <c r="AQ151" t="s">
        <v>284</v>
      </c>
    </row>
    <row r="152" spans="1:81" x14ac:dyDescent="0.25">
      <c r="A152" t="s">
        <v>770</v>
      </c>
      <c r="B152" t="s">
        <v>170</v>
      </c>
      <c r="C152" s="1">
        <v>46132</v>
      </c>
      <c r="D152" t="s">
        <v>251</v>
      </c>
      <c r="E152" t="s">
        <v>252</v>
      </c>
      <c r="F152" t="s">
        <v>3691</v>
      </c>
      <c r="G152" t="s">
        <v>771</v>
      </c>
      <c r="H152">
        <v>108</v>
      </c>
      <c r="I152" t="s">
        <v>3708</v>
      </c>
      <c r="J152">
        <v>450</v>
      </c>
      <c r="K152" t="s">
        <v>4492</v>
      </c>
      <c r="L152" t="s">
        <v>271</v>
      </c>
      <c r="M152" t="s">
        <v>772</v>
      </c>
      <c r="N152" t="s">
        <v>773</v>
      </c>
      <c r="O152" t="s">
        <v>774</v>
      </c>
      <c r="Q152" t="s">
        <v>3472</v>
      </c>
      <c r="R152">
        <f>1</f>
        <v>1</v>
      </c>
      <c r="S152">
        <f>11</f>
        <v>11</v>
      </c>
      <c r="T152">
        <f>6.5</f>
        <v>6.5</v>
      </c>
      <c r="U152">
        <f>16</f>
        <v>16</v>
      </c>
      <c r="X152">
        <f>0</f>
        <v>0</v>
      </c>
      <c r="Y152">
        <f>2.4</f>
        <v>2.4</v>
      </c>
      <c r="Z152">
        <f>0</f>
        <v>0</v>
      </c>
      <c r="AA152">
        <f>0</f>
        <v>0</v>
      </c>
      <c r="AB152">
        <f>0</f>
        <v>0</v>
      </c>
      <c r="AD152">
        <f>0</f>
        <v>0</v>
      </c>
      <c r="AE152">
        <f>0</f>
        <v>0</v>
      </c>
      <c r="AG152" t="s">
        <v>180</v>
      </c>
      <c r="AH152" t="s">
        <v>284</v>
      </c>
      <c r="AK152" t="s">
        <v>285</v>
      </c>
      <c r="AL152" t="s">
        <v>286</v>
      </c>
      <c r="AM152">
        <f>1.2</f>
        <v>1.2</v>
      </c>
      <c r="AN152">
        <f>0.024</f>
        <v>2.4E-2</v>
      </c>
      <c r="AO152">
        <f>1.1</f>
        <v>1.1000000000000001</v>
      </c>
      <c r="AP152" t="s">
        <v>284</v>
      </c>
      <c r="AQ152" t="s">
        <v>284</v>
      </c>
    </row>
    <row r="153" spans="1:81" x14ac:dyDescent="0.25">
      <c r="A153" t="s">
        <v>775</v>
      </c>
      <c r="B153" t="s">
        <v>170</v>
      </c>
      <c r="C153" s="1">
        <v>46136</v>
      </c>
      <c r="D153" t="s">
        <v>302</v>
      </c>
      <c r="E153" t="s">
        <v>303</v>
      </c>
      <c r="F153" t="s">
        <v>4557</v>
      </c>
      <c r="G153" t="s">
        <v>4276</v>
      </c>
      <c r="H153">
        <v>1048</v>
      </c>
      <c r="I153" t="s">
        <v>4277</v>
      </c>
      <c r="J153">
        <v>500</v>
      </c>
      <c r="K153" t="s">
        <v>4494</v>
      </c>
      <c r="L153" t="s">
        <v>3324</v>
      </c>
      <c r="M153" t="s">
        <v>4278</v>
      </c>
      <c r="N153" t="s">
        <v>4279</v>
      </c>
      <c r="O153" t="s">
        <v>776</v>
      </c>
      <c r="R153">
        <f>1</f>
        <v>1</v>
      </c>
      <c r="S153">
        <f>12.2</f>
        <v>12.2</v>
      </c>
      <c r="T153">
        <f>7.6</f>
        <v>7.6</v>
      </c>
      <c r="U153">
        <f>106</f>
        <v>106</v>
      </c>
      <c r="X153">
        <f>0</f>
        <v>0</v>
      </c>
      <c r="Y153" t="s">
        <v>180</v>
      </c>
      <c r="Z153">
        <f>0</f>
        <v>0</v>
      </c>
      <c r="AA153" t="s">
        <v>179</v>
      </c>
      <c r="AB153" t="s">
        <v>179</v>
      </c>
      <c r="AC153">
        <f>0</f>
        <v>0</v>
      </c>
      <c r="AD153">
        <f>0</f>
        <v>0</v>
      </c>
      <c r="AE153">
        <f>0</f>
        <v>0</v>
      </c>
      <c r="AG153" t="s">
        <v>180</v>
      </c>
      <c r="AH153" t="s">
        <v>193</v>
      </c>
      <c r="AK153" t="s">
        <v>181</v>
      </c>
      <c r="AL153" t="s">
        <v>182</v>
      </c>
      <c r="AM153">
        <f>1.8</f>
        <v>1.8</v>
      </c>
      <c r="AN153">
        <f>0.04</f>
        <v>0.04</v>
      </c>
      <c r="AO153">
        <f>3.2</f>
        <v>3.2</v>
      </c>
      <c r="AP153">
        <f>16</f>
        <v>16</v>
      </c>
      <c r="AQ153" t="s">
        <v>180</v>
      </c>
      <c r="CC153" t="s">
        <v>701</v>
      </c>
    </row>
    <row r="154" spans="1:81" x14ac:dyDescent="0.25">
      <c r="A154" t="s">
        <v>777</v>
      </c>
      <c r="B154" t="s">
        <v>170</v>
      </c>
      <c r="C154" s="1">
        <v>46097</v>
      </c>
      <c r="D154" t="s">
        <v>251</v>
      </c>
      <c r="E154" t="s">
        <v>252</v>
      </c>
      <c r="F154" t="s">
        <v>4280</v>
      </c>
      <c r="G154" t="s">
        <v>778</v>
      </c>
      <c r="H154">
        <v>1088</v>
      </c>
      <c r="I154" t="s">
        <v>778</v>
      </c>
      <c r="J154">
        <v>700</v>
      </c>
      <c r="K154" t="s">
        <v>4492</v>
      </c>
      <c r="L154" t="s">
        <v>266</v>
      </c>
      <c r="M154" t="s">
        <v>4558</v>
      </c>
      <c r="N154" t="s">
        <v>3892</v>
      </c>
      <c r="O154" t="s">
        <v>779</v>
      </c>
      <c r="Q154" t="s">
        <v>274</v>
      </c>
      <c r="R154">
        <f>1</f>
        <v>1</v>
      </c>
      <c r="S154">
        <f>11.7</f>
        <v>11.7</v>
      </c>
      <c r="T154">
        <f>7.8</f>
        <v>7.8</v>
      </c>
      <c r="U154">
        <f>333</f>
        <v>333</v>
      </c>
      <c r="V154">
        <f>0.07</f>
        <v>7.0000000000000007E-2</v>
      </c>
      <c r="X154">
        <f>0</f>
        <v>0</v>
      </c>
      <c r="Y154" t="s">
        <v>180</v>
      </c>
      <c r="Z154">
        <f>0</f>
        <v>0</v>
      </c>
      <c r="AA154">
        <f>0</f>
        <v>0</v>
      </c>
      <c r="AB154">
        <f>0</f>
        <v>0</v>
      </c>
      <c r="AD154">
        <f>0</f>
        <v>0</v>
      </c>
      <c r="AE154">
        <f>0</f>
        <v>0</v>
      </c>
      <c r="AG154" t="s">
        <v>180</v>
      </c>
    </row>
    <row r="155" spans="1:81" x14ac:dyDescent="0.25">
      <c r="A155" t="s">
        <v>780</v>
      </c>
      <c r="B155" t="s">
        <v>170</v>
      </c>
      <c r="C155" s="1">
        <v>46132</v>
      </c>
      <c r="D155" t="s">
        <v>222</v>
      </c>
      <c r="E155" t="s">
        <v>223</v>
      </c>
      <c r="F155" t="s">
        <v>4533</v>
      </c>
      <c r="G155" t="s">
        <v>781</v>
      </c>
      <c r="H155">
        <v>1129</v>
      </c>
      <c r="I155" t="s">
        <v>781</v>
      </c>
      <c r="J155">
        <v>1080</v>
      </c>
      <c r="K155" t="s">
        <v>4492</v>
      </c>
      <c r="L155" t="s">
        <v>266</v>
      </c>
      <c r="M155" t="s">
        <v>782</v>
      </c>
      <c r="N155" t="s">
        <v>783</v>
      </c>
      <c r="O155" t="s">
        <v>784</v>
      </c>
      <c r="R155">
        <f>1</f>
        <v>1</v>
      </c>
      <c r="S155">
        <f>13.1</f>
        <v>13.1</v>
      </c>
      <c r="T155">
        <f>7.8</f>
        <v>7.8</v>
      </c>
      <c r="U155">
        <f>404</f>
        <v>404</v>
      </c>
      <c r="V155">
        <f>0.13</f>
        <v>0.13</v>
      </c>
      <c r="X155">
        <f>1</f>
        <v>1</v>
      </c>
      <c r="Y155" t="s">
        <v>180</v>
      </c>
      <c r="Z155">
        <f>0</f>
        <v>0</v>
      </c>
      <c r="AA155" t="s">
        <v>179</v>
      </c>
      <c r="AB155" t="s">
        <v>179</v>
      </c>
      <c r="AD155">
        <f>0</f>
        <v>0</v>
      </c>
      <c r="AE155">
        <f>0</f>
        <v>0</v>
      </c>
      <c r="AG155" t="s">
        <v>180</v>
      </c>
    </row>
    <row r="156" spans="1:81" x14ac:dyDescent="0.25">
      <c r="A156" t="s">
        <v>785</v>
      </c>
      <c r="B156" t="s">
        <v>170</v>
      </c>
      <c r="C156" s="1">
        <v>46113</v>
      </c>
      <c r="D156" t="s">
        <v>222</v>
      </c>
      <c r="E156" t="s">
        <v>260</v>
      </c>
      <c r="F156" t="s">
        <v>518</v>
      </c>
      <c r="G156" t="s">
        <v>786</v>
      </c>
      <c r="H156">
        <v>828</v>
      </c>
      <c r="I156" t="s">
        <v>786</v>
      </c>
      <c r="J156">
        <v>690</v>
      </c>
      <c r="K156" t="s">
        <v>4492</v>
      </c>
      <c r="L156" t="s">
        <v>3303</v>
      </c>
      <c r="M156" t="s">
        <v>4559</v>
      </c>
      <c r="N156" t="s">
        <v>787</v>
      </c>
      <c r="O156" t="s">
        <v>788</v>
      </c>
      <c r="R156">
        <f>1</f>
        <v>1</v>
      </c>
      <c r="S156">
        <f>13.8</f>
        <v>13.8</v>
      </c>
      <c r="T156">
        <f>7.5</f>
        <v>7.5</v>
      </c>
      <c r="U156">
        <f>472</f>
        <v>472</v>
      </c>
      <c r="V156">
        <f>0.22</f>
        <v>0.22</v>
      </c>
      <c r="X156">
        <f>0</f>
        <v>0</v>
      </c>
      <c r="Y156">
        <f>0.23</f>
        <v>0.23</v>
      </c>
      <c r="Z156">
        <f>0</f>
        <v>0</v>
      </c>
      <c r="AA156" t="s">
        <v>179</v>
      </c>
      <c r="AB156" t="s">
        <v>179</v>
      </c>
      <c r="AD156">
        <f>0</f>
        <v>0</v>
      </c>
      <c r="AE156">
        <f>0</f>
        <v>0</v>
      </c>
      <c r="AG156" t="s">
        <v>180</v>
      </c>
      <c r="AH156" t="s">
        <v>193</v>
      </c>
      <c r="AK156" t="s">
        <v>181</v>
      </c>
      <c r="AL156" t="s">
        <v>182</v>
      </c>
      <c r="AM156">
        <f>5.8</f>
        <v>5.8</v>
      </c>
      <c r="AN156">
        <f>0.12</f>
        <v>0.12</v>
      </c>
      <c r="AO156">
        <f>14</f>
        <v>14</v>
      </c>
      <c r="AP156">
        <f>5.3</f>
        <v>5.3</v>
      </c>
      <c r="AQ156" t="s">
        <v>180</v>
      </c>
    </row>
    <row r="157" spans="1:81" x14ac:dyDescent="0.25">
      <c r="A157" t="s">
        <v>789</v>
      </c>
      <c r="B157" t="s">
        <v>170</v>
      </c>
      <c r="C157" s="1">
        <v>46114</v>
      </c>
      <c r="D157" t="s">
        <v>222</v>
      </c>
      <c r="E157" t="s">
        <v>223</v>
      </c>
      <c r="F157" t="s">
        <v>3685</v>
      </c>
      <c r="G157" t="s">
        <v>3893</v>
      </c>
      <c r="H157">
        <v>1146</v>
      </c>
      <c r="I157" t="s">
        <v>3893</v>
      </c>
      <c r="J157">
        <v>1009</v>
      </c>
      <c r="K157" t="s">
        <v>4492</v>
      </c>
      <c r="L157" t="s">
        <v>291</v>
      </c>
      <c r="M157" t="s">
        <v>4560</v>
      </c>
      <c r="N157" t="s">
        <v>4561</v>
      </c>
      <c r="O157" t="s">
        <v>790</v>
      </c>
      <c r="R157">
        <f>1</f>
        <v>1</v>
      </c>
      <c r="S157">
        <f>9</f>
        <v>9</v>
      </c>
      <c r="T157">
        <f>7.3</f>
        <v>7.3</v>
      </c>
      <c r="U157">
        <f>309</f>
        <v>309</v>
      </c>
      <c r="X157">
        <f>1</f>
        <v>1</v>
      </c>
      <c r="Y157" t="s">
        <v>180</v>
      </c>
      <c r="Z157">
        <f>0</f>
        <v>0</v>
      </c>
      <c r="AA157" t="s">
        <v>179</v>
      </c>
      <c r="AB157" t="s">
        <v>179</v>
      </c>
      <c r="AD157">
        <f>0</f>
        <v>0</v>
      </c>
      <c r="AE157">
        <f>0</f>
        <v>0</v>
      </c>
      <c r="AG157" t="s">
        <v>180</v>
      </c>
    </row>
    <row r="158" spans="1:81" x14ac:dyDescent="0.25">
      <c r="A158" t="s">
        <v>791</v>
      </c>
      <c r="B158" t="s">
        <v>170</v>
      </c>
      <c r="C158" s="1">
        <v>46093</v>
      </c>
      <c r="D158" t="s">
        <v>222</v>
      </c>
      <c r="E158" t="s">
        <v>223</v>
      </c>
      <c r="F158" t="s">
        <v>4508</v>
      </c>
      <c r="G158" t="s">
        <v>4281</v>
      </c>
      <c r="H158">
        <v>1149</v>
      </c>
      <c r="I158" t="s">
        <v>4281</v>
      </c>
      <c r="J158">
        <v>505</v>
      </c>
      <c r="K158" t="s">
        <v>4492</v>
      </c>
      <c r="L158" t="s">
        <v>369</v>
      </c>
      <c r="M158" t="s">
        <v>3325</v>
      </c>
      <c r="N158" t="s">
        <v>4562</v>
      </c>
      <c r="O158" t="s">
        <v>792</v>
      </c>
      <c r="R158">
        <f>1</f>
        <v>1</v>
      </c>
      <c r="S158">
        <f>10.3</f>
        <v>10.3</v>
      </c>
      <c r="T158">
        <f>7.5</f>
        <v>7.5</v>
      </c>
      <c r="U158">
        <f>601</f>
        <v>601</v>
      </c>
      <c r="V158">
        <f>0.17</f>
        <v>0.17</v>
      </c>
      <c r="X158">
        <f>0</f>
        <v>0</v>
      </c>
      <c r="Y158" t="s">
        <v>180</v>
      </c>
      <c r="Z158">
        <f>0</f>
        <v>0</v>
      </c>
      <c r="AA158" t="s">
        <v>179</v>
      </c>
      <c r="AB158" t="s">
        <v>179</v>
      </c>
      <c r="AD158">
        <f>0</f>
        <v>0</v>
      </c>
      <c r="AE158">
        <f>0</f>
        <v>0</v>
      </c>
      <c r="AG158" t="s">
        <v>180</v>
      </c>
    </row>
    <row r="159" spans="1:81" x14ac:dyDescent="0.25">
      <c r="A159" t="s">
        <v>793</v>
      </c>
      <c r="B159" t="s">
        <v>170</v>
      </c>
      <c r="C159" s="1">
        <v>46093</v>
      </c>
      <c r="D159" t="s">
        <v>222</v>
      </c>
      <c r="E159" t="s">
        <v>223</v>
      </c>
      <c r="F159" t="s">
        <v>4508</v>
      </c>
      <c r="G159" t="s">
        <v>794</v>
      </c>
      <c r="H159">
        <v>1152</v>
      </c>
      <c r="I159" t="s">
        <v>794</v>
      </c>
      <c r="J159">
        <v>1106</v>
      </c>
      <c r="K159" t="s">
        <v>4492</v>
      </c>
      <c r="L159" t="s">
        <v>369</v>
      </c>
      <c r="M159" t="s">
        <v>4563</v>
      </c>
      <c r="N159" t="s">
        <v>795</v>
      </c>
      <c r="O159" t="s">
        <v>796</v>
      </c>
      <c r="R159">
        <f>1</f>
        <v>1</v>
      </c>
      <c r="S159">
        <f>10.7</f>
        <v>10.7</v>
      </c>
      <c r="T159">
        <f>7.4</f>
        <v>7.4</v>
      </c>
      <c r="U159">
        <f>515</f>
        <v>515</v>
      </c>
      <c r="V159">
        <f>0.09</f>
        <v>0.09</v>
      </c>
      <c r="X159">
        <f>0</f>
        <v>0</v>
      </c>
      <c r="Y159">
        <f>0.15</f>
        <v>0.15</v>
      </c>
      <c r="Z159">
        <f>0</f>
        <v>0</v>
      </c>
      <c r="AA159" t="s">
        <v>179</v>
      </c>
      <c r="AB159" t="s">
        <v>179</v>
      </c>
      <c r="AD159">
        <f>0</f>
        <v>0</v>
      </c>
      <c r="AE159">
        <f>0</f>
        <v>0</v>
      </c>
      <c r="AG159" t="s">
        <v>180</v>
      </c>
    </row>
    <row r="160" spans="1:81" x14ac:dyDescent="0.25">
      <c r="A160" t="s">
        <v>797</v>
      </c>
      <c r="B160" t="s">
        <v>170</v>
      </c>
      <c r="C160" s="1">
        <v>46083</v>
      </c>
      <c r="D160" t="s">
        <v>238</v>
      </c>
      <c r="E160" t="s">
        <v>260</v>
      </c>
      <c r="F160" t="s">
        <v>261</v>
      </c>
      <c r="G160" t="s">
        <v>798</v>
      </c>
      <c r="H160">
        <v>310</v>
      </c>
      <c r="I160" t="s">
        <v>798</v>
      </c>
      <c r="J160">
        <v>910</v>
      </c>
      <c r="K160" t="s">
        <v>4492</v>
      </c>
      <c r="L160" t="s">
        <v>176</v>
      </c>
      <c r="M160" t="s">
        <v>799</v>
      </c>
      <c r="N160" t="s">
        <v>4564</v>
      </c>
      <c r="O160" t="s">
        <v>800</v>
      </c>
      <c r="R160">
        <f>1</f>
        <v>1</v>
      </c>
      <c r="S160">
        <f>11</f>
        <v>11</v>
      </c>
      <c r="T160">
        <f>8.1</f>
        <v>8.1</v>
      </c>
      <c r="U160">
        <f>468</f>
        <v>468</v>
      </c>
      <c r="X160">
        <f>0</f>
        <v>0</v>
      </c>
      <c r="Y160" t="s">
        <v>243</v>
      </c>
      <c r="Z160">
        <f>0</f>
        <v>0</v>
      </c>
      <c r="AA160" t="s">
        <v>179</v>
      </c>
      <c r="AB160" t="s">
        <v>179</v>
      </c>
      <c r="AD160">
        <f>0</f>
        <v>0</v>
      </c>
      <c r="AE160">
        <f>0</f>
        <v>0</v>
      </c>
      <c r="AG160" t="s">
        <v>220</v>
      </c>
    </row>
    <row r="161" spans="1:82" x14ac:dyDescent="0.25">
      <c r="A161" t="s">
        <v>801</v>
      </c>
      <c r="B161" t="s">
        <v>170</v>
      </c>
      <c r="C161" s="1">
        <v>46125</v>
      </c>
      <c r="D161" t="s">
        <v>222</v>
      </c>
      <c r="E161" t="s">
        <v>223</v>
      </c>
      <c r="F161" t="s">
        <v>296</v>
      </c>
      <c r="G161" t="s">
        <v>297</v>
      </c>
      <c r="H161">
        <v>720</v>
      </c>
      <c r="I161" t="s">
        <v>802</v>
      </c>
      <c r="J161">
        <v>626</v>
      </c>
      <c r="K161" t="s">
        <v>4494</v>
      </c>
      <c r="L161" t="s">
        <v>619</v>
      </c>
      <c r="M161" t="s">
        <v>803</v>
      </c>
      <c r="N161" t="s">
        <v>804</v>
      </c>
      <c r="O161" t="s">
        <v>805</v>
      </c>
      <c r="R161">
        <f>1</f>
        <v>1</v>
      </c>
      <c r="S161">
        <f>12.2</f>
        <v>12.2</v>
      </c>
      <c r="T161">
        <f>7.7</f>
        <v>7.7</v>
      </c>
      <c r="U161">
        <f>389</f>
        <v>389</v>
      </c>
      <c r="V161">
        <f>0.3</f>
        <v>0.3</v>
      </c>
      <c r="X161">
        <f>1</f>
        <v>1</v>
      </c>
      <c r="Y161" t="s">
        <v>180</v>
      </c>
      <c r="Z161">
        <f>0</f>
        <v>0</v>
      </c>
      <c r="AA161" t="s">
        <v>179</v>
      </c>
      <c r="AB161" t="s">
        <v>179</v>
      </c>
      <c r="AC161">
        <f>0</f>
        <v>0</v>
      </c>
      <c r="AD161">
        <f>0</f>
        <v>0</v>
      </c>
      <c r="AE161">
        <f>0</f>
        <v>0</v>
      </c>
      <c r="AG161" t="s">
        <v>180</v>
      </c>
    </row>
    <row r="162" spans="1:82" x14ac:dyDescent="0.25">
      <c r="A162" t="s">
        <v>806</v>
      </c>
      <c r="B162" t="s">
        <v>170</v>
      </c>
      <c r="C162" s="1">
        <v>46113</v>
      </c>
      <c r="D162" t="s">
        <v>216</v>
      </c>
      <c r="E162" t="s">
        <v>217</v>
      </c>
      <c r="F162" t="s">
        <v>3312</v>
      </c>
      <c r="G162" t="s">
        <v>4282</v>
      </c>
      <c r="H162">
        <v>419</v>
      </c>
      <c r="I162" t="s">
        <v>4282</v>
      </c>
      <c r="J162">
        <v>369</v>
      </c>
      <c r="K162" t="s">
        <v>4494</v>
      </c>
      <c r="L162" t="s">
        <v>619</v>
      </c>
      <c r="M162" t="s">
        <v>4565</v>
      </c>
      <c r="N162" t="s">
        <v>4566</v>
      </c>
      <c r="O162" t="s">
        <v>807</v>
      </c>
      <c r="Q162" t="s">
        <v>808</v>
      </c>
      <c r="R162">
        <f>1</f>
        <v>1</v>
      </c>
      <c r="S162">
        <f>11.4</f>
        <v>11.4</v>
      </c>
      <c r="T162">
        <f>8.1</f>
        <v>8.1</v>
      </c>
      <c r="U162">
        <f>319</f>
        <v>319</v>
      </c>
      <c r="V162">
        <f>0.24</f>
        <v>0.24</v>
      </c>
      <c r="X162">
        <f>1</f>
        <v>1</v>
      </c>
      <c r="Y162">
        <f>0.26</f>
        <v>0.26</v>
      </c>
      <c r="Z162">
        <f>0</f>
        <v>0</v>
      </c>
      <c r="AA162">
        <f>0</f>
        <v>0</v>
      </c>
      <c r="AB162">
        <f>0</f>
        <v>0</v>
      </c>
      <c r="AC162">
        <f>0</f>
        <v>0</v>
      </c>
      <c r="AD162">
        <f>0</f>
        <v>0</v>
      </c>
      <c r="AE162">
        <f>0</f>
        <v>0</v>
      </c>
      <c r="AG162" t="s">
        <v>220</v>
      </c>
      <c r="AH162">
        <f>0.33</f>
        <v>0.33</v>
      </c>
      <c r="AK162" t="s">
        <v>285</v>
      </c>
      <c r="AL162" t="s">
        <v>181</v>
      </c>
      <c r="AM162">
        <f>5</f>
        <v>5</v>
      </c>
      <c r="AN162">
        <f>0.1</f>
        <v>0.1</v>
      </c>
      <c r="AO162">
        <f>5.3</f>
        <v>5.3</v>
      </c>
      <c r="AP162">
        <f>2.3</f>
        <v>2.2999999999999998</v>
      </c>
      <c r="AQ162" t="s">
        <v>284</v>
      </c>
    </row>
    <row r="163" spans="1:82" x14ac:dyDescent="0.25">
      <c r="A163" t="s">
        <v>809</v>
      </c>
      <c r="B163" t="s">
        <v>170</v>
      </c>
      <c r="C163" s="1">
        <v>46079</v>
      </c>
      <c r="D163" t="s">
        <v>184</v>
      </c>
      <c r="E163" t="s">
        <v>185</v>
      </c>
      <c r="F163" t="s">
        <v>384</v>
      </c>
      <c r="G163" t="s">
        <v>810</v>
      </c>
      <c r="H163">
        <v>178</v>
      </c>
      <c r="I163" t="s">
        <v>810</v>
      </c>
      <c r="J163">
        <v>3488</v>
      </c>
      <c r="K163" t="s">
        <v>4492</v>
      </c>
      <c r="L163" t="s">
        <v>245</v>
      </c>
      <c r="M163" t="s">
        <v>4283</v>
      </c>
      <c r="N163" t="s">
        <v>3894</v>
      </c>
      <c r="O163" t="s">
        <v>811</v>
      </c>
      <c r="R163">
        <f>1</f>
        <v>1</v>
      </c>
      <c r="S163">
        <f>9.6</f>
        <v>9.6</v>
      </c>
      <c r="T163">
        <f>7.4</f>
        <v>7.4</v>
      </c>
      <c r="U163">
        <f>507</f>
        <v>507</v>
      </c>
      <c r="W163">
        <f>0.13</f>
        <v>0.13</v>
      </c>
      <c r="X163">
        <f>0</f>
        <v>0</v>
      </c>
      <c r="Y163" t="s">
        <v>180</v>
      </c>
      <c r="Z163">
        <f>0</f>
        <v>0</v>
      </c>
      <c r="AA163" t="s">
        <v>179</v>
      </c>
      <c r="AB163" t="s">
        <v>179</v>
      </c>
      <c r="AD163">
        <f>0</f>
        <v>0</v>
      </c>
      <c r="AE163">
        <f>0</f>
        <v>0</v>
      </c>
      <c r="AG163" t="s">
        <v>180</v>
      </c>
    </row>
    <row r="164" spans="1:82" x14ac:dyDescent="0.25">
      <c r="A164" t="s">
        <v>812</v>
      </c>
      <c r="B164" t="s">
        <v>766</v>
      </c>
      <c r="C164" s="1">
        <v>46083</v>
      </c>
      <c r="D164" t="s">
        <v>216</v>
      </c>
      <c r="E164" t="s">
        <v>217</v>
      </c>
      <c r="F164" t="s">
        <v>4567</v>
      </c>
      <c r="G164" t="s">
        <v>813</v>
      </c>
      <c r="H164">
        <v>1284</v>
      </c>
      <c r="I164" t="s">
        <v>813</v>
      </c>
      <c r="J164">
        <v>200</v>
      </c>
      <c r="K164" t="s">
        <v>4494</v>
      </c>
      <c r="L164" t="s">
        <v>3567</v>
      </c>
      <c r="M164" t="s">
        <v>4543</v>
      </c>
      <c r="N164" t="s">
        <v>814</v>
      </c>
      <c r="O164" t="s">
        <v>815</v>
      </c>
      <c r="Q164" t="s">
        <v>3478</v>
      </c>
      <c r="R164">
        <f>1</f>
        <v>1</v>
      </c>
      <c r="S164">
        <f>11.1</f>
        <v>11.1</v>
      </c>
      <c r="T164">
        <f>8</f>
        <v>8</v>
      </c>
      <c r="U164">
        <f>327</f>
        <v>327</v>
      </c>
      <c r="X164">
        <f>1</f>
        <v>1</v>
      </c>
      <c r="Y164">
        <f>0.29</f>
        <v>0.28999999999999998</v>
      </c>
      <c r="Z164">
        <f>0</f>
        <v>0</v>
      </c>
      <c r="AA164">
        <f>120</f>
        <v>120</v>
      </c>
      <c r="AB164">
        <f>42</f>
        <v>42</v>
      </c>
      <c r="AC164">
        <f>0</f>
        <v>0</v>
      </c>
      <c r="AD164">
        <f>0</f>
        <v>0</v>
      </c>
      <c r="AE164">
        <f>3</f>
        <v>3</v>
      </c>
      <c r="AG164" t="s">
        <v>220</v>
      </c>
      <c r="CC164">
        <f>0.28</f>
        <v>0.28000000000000003</v>
      </c>
    </row>
    <row r="165" spans="1:82" x14ac:dyDescent="0.25">
      <c r="A165" t="s">
        <v>816</v>
      </c>
      <c r="B165" t="s">
        <v>170</v>
      </c>
      <c r="C165" s="1">
        <v>46112</v>
      </c>
      <c r="D165" t="s">
        <v>216</v>
      </c>
      <c r="E165" t="s">
        <v>217</v>
      </c>
      <c r="F165" t="s">
        <v>530</v>
      </c>
      <c r="G165" t="s">
        <v>817</v>
      </c>
      <c r="H165">
        <v>1357</v>
      </c>
      <c r="I165" t="s">
        <v>817</v>
      </c>
      <c r="J165">
        <v>204</v>
      </c>
      <c r="K165" t="s">
        <v>4492</v>
      </c>
      <c r="L165" t="s">
        <v>266</v>
      </c>
      <c r="M165" t="s">
        <v>3895</v>
      </c>
      <c r="N165" t="s">
        <v>818</v>
      </c>
      <c r="O165" t="s">
        <v>819</v>
      </c>
      <c r="Q165" t="s">
        <v>3479</v>
      </c>
      <c r="R165">
        <f>1</f>
        <v>1</v>
      </c>
      <c r="S165">
        <f>6.7</f>
        <v>6.7</v>
      </c>
      <c r="T165">
        <f>8</f>
        <v>8</v>
      </c>
      <c r="U165">
        <f>355</f>
        <v>355</v>
      </c>
      <c r="V165">
        <f>0.15</f>
        <v>0.15</v>
      </c>
      <c r="X165">
        <f>1</f>
        <v>1</v>
      </c>
      <c r="Y165">
        <f>0.16</f>
        <v>0.16</v>
      </c>
      <c r="Z165">
        <f>0</f>
        <v>0</v>
      </c>
      <c r="AA165">
        <f>1</f>
        <v>1</v>
      </c>
      <c r="AB165">
        <f>0</f>
        <v>0</v>
      </c>
      <c r="AD165">
        <f>0</f>
        <v>0</v>
      </c>
      <c r="AE165">
        <f>0</f>
        <v>0</v>
      </c>
      <c r="AG165" t="s">
        <v>220</v>
      </c>
      <c r="AH165">
        <f>0.46</f>
        <v>0.46</v>
      </c>
      <c r="AK165" t="s">
        <v>285</v>
      </c>
      <c r="AL165" t="s">
        <v>181</v>
      </c>
      <c r="AM165">
        <f>4.1</f>
        <v>4.0999999999999996</v>
      </c>
      <c r="AN165">
        <f>0.08</f>
        <v>0.08</v>
      </c>
      <c r="AO165">
        <f>3.1</f>
        <v>3.1</v>
      </c>
      <c r="AP165">
        <f>1.5</f>
        <v>1.5</v>
      </c>
      <c r="AQ165" t="s">
        <v>284</v>
      </c>
      <c r="CD165" t="s">
        <v>286</v>
      </c>
    </row>
    <row r="166" spans="1:82" x14ac:dyDescent="0.25">
      <c r="A166" t="s">
        <v>820</v>
      </c>
      <c r="B166" t="s">
        <v>170</v>
      </c>
      <c r="C166" s="1">
        <v>46126</v>
      </c>
      <c r="D166" t="s">
        <v>216</v>
      </c>
      <c r="E166" t="s">
        <v>217</v>
      </c>
      <c r="F166" t="s">
        <v>368</v>
      </c>
      <c r="G166" t="s">
        <v>821</v>
      </c>
      <c r="H166">
        <v>1273</v>
      </c>
      <c r="I166" t="s">
        <v>821</v>
      </c>
      <c r="J166">
        <v>355</v>
      </c>
      <c r="K166" t="s">
        <v>4494</v>
      </c>
      <c r="L166" t="s">
        <v>266</v>
      </c>
      <c r="M166" t="s">
        <v>822</v>
      </c>
      <c r="N166" t="s">
        <v>823</v>
      </c>
      <c r="O166" t="s">
        <v>824</v>
      </c>
      <c r="R166">
        <f>1</f>
        <v>1</v>
      </c>
      <c r="S166">
        <f>12</f>
        <v>12</v>
      </c>
      <c r="T166">
        <f>8.2</f>
        <v>8.1999999999999993</v>
      </c>
      <c r="U166">
        <f>221</f>
        <v>221</v>
      </c>
      <c r="V166" t="s">
        <v>192</v>
      </c>
      <c r="X166">
        <f>1</f>
        <v>1</v>
      </c>
      <c r="Y166">
        <f>0.1</f>
        <v>0.1</v>
      </c>
      <c r="Z166">
        <f>0</f>
        <v>0</v>
      </c>
      <c r="AA166">
        <f>0</f>
        <v>0</v>
      </c>
      <c r="AB166">
        <f>0</f>
        <v>0</v>
      </c>
      <c r="AC166">
        <f>0</f>
        <v>0</v>
      </c>
      <c r="AD166">
        <f>0</f>
        <v>0</v>
      </c>
      <c r="AE166">
        <f>0</f>
        <v>0</v>
      </c>
      <c r="AG166" t="s">
        <v>220</v>
      </c>
    </row>
    <row r="167" spans="1:82" x14ac:dyDescent="0.25">
      <c r="A167" t="s">
        <v>825</v>
      </c>
      <c r="B167" t="s">
        <v>170</v>
      </c>
      <c r="C167" s="1">
        <v>46113</v>
      </c>
      <c r="D167" t="s">
        <v>216</v>
      </c>
      <c r="E167" t="s">
        <v>217</v>
      </c>
      <c r="F167" t="s">
        <v>3312</v>
      </c>
      <c r="G167" t="s">
        <v>826</v>
      </c>
      <c r="H167">
        <v>1400</v>
      </c>
      <c r="I167" t="s">
        <v>826</v>
      </c>
      <c r="J167">
        <v>279</v>
      </c>
      <c r="K167" t="s">
        <v>4494</v>
      </c>
      <c r="L167" t="s">
        <v>619</v>
      </c>
      <c r="M167" t="s">
        <v>3709</v>
      </c>
      <c r="N167" t="s">
        <v>827</v>
      </c>
      <c r="O167" t="s">
        <v>828</v>
      </c>
      <c r="R167">
        <f>1</f>
        <v>1</v>
      </c>
      <c r="S167">
        <f>10.5</f>
        <v>10.5</v>
      </c>
      <c r="T167">
        <f>8.2</f>
        <v>8.1999999999999993</v>
      </c>
      <c r="U167">
        <f>337</f>
        <v>337</v>
      </c>
      <c r="V167">
        <f>0.21</f>
        <v>0.21</v>
      </c>
      <c r="X167">
        <f>1</f>
        <v>1</v>
      </c>
      <c r="Y167">
        <f>0.2</f>
        <v>0.2</v>
      </c>
      <c r="Z167">
        <f>0</f>
        <v>0</v>
      </c>
      <c r="AA167">
        <f>0</f>
        <v>0</v>
      </c>
      <c r="AB167">
        <f>2</f>
        <v>2</v>
      </c>
      <c r="AC167">
        <f>0</f>
        <v>0</v>
      </c>
      <c r="AD167">
        <f>0</f>
        <v>0</v>
      </c>
      <c r="AE167">
        <f>0</f>
        <v>0</v>
      </c>
      <c r="AG167" t="s">
        <v>220</v>
      </c>
      <c r="CD167" t="s">
        <v>286</v>
      </c>
    </row>
    <row r="168" spans="1:82" x14ac:dyDescent="0.25">
      <c r="A168" t="s">
        <v>829</v>
      </c>
      <c r="B168" t="s">
        <v>170</v>
      </c>
      <c r="C168" s="1">
        <v>46125</v>
      </c>
      <c r="D168" t="s">
        <v>222</v>
      </c>
      <c r="E168" t="s">
        <v>223</v>
      </c>
      <c r="F168" t="s">
        <v>296</v>
      </c>
      <c r="G168" t="s">
        <v>297</v>
      </c>
      <c r="H168">
        <v>719</v>
      </c>
      <c r="I168" t="s">
        <v>830</v>
      </c>
      <c r="J168">
        <v>661</v>
      </c>
      <c r="K168" t="s">
        <v>4492</v>
      </c>
      <c r="L168" t="s">
        <v>369</v>
      </c>
      <c r="M168" t="s">
        <v>4568</v>
      </c>
      <c r="N168" t="s">
        <v>831</v>
      </c>
      <c r="O168" t="s">
        <v>832</v>
      </c>
      <c r="Q168" t="s">
        <v>4569</v>
      </c>
      <c r="R168">
        <f>1</f>
        <v>1</v>
      </c>
      <c r="S168">
        <f>9.5</f>
        <v>9.5</v>
      </c>
      <c r="T168">
        <f>7.8</f>
        <v>7.8</v>
      </c>
      <c r="U168">
        <f>266</f>
        <v>266</v>
      </c>
      <c r="V168">
        <f>0.2</f>
        <v>0.2</v>
      </c>
      <c r="X168">
        <f>1</f>
        <v>1</v>
      </c>
      <c r="Y168">
        <f>0.18</f>
        <v>0.18</v>
      </c>
      <c r="Z168">
        <f>0</f>
        <v>0</v>
      </c>
      <c r="AA168" t="s">
        <v>179</v>
      </c>
      <c r="AB168" t="s">
        <v>179</v>
      </c>
      <c r="AD168">
        <f>0</f>
        <v>0</v>
      </c>
      <c r="AE168">
        <f>0</f>
        <v>0</v>
      </c>
      <c r="AG168" t="s">
        <v>180</v>
      </c>
      <c r="AH168" t="s">
        <v>193</v>
      </c>
      <c r="AK168" t="s">
        <v>181</v>
      </c>
      <c r="AL168" t="s">
        <v>182</v>
      </c>
      <c r="AM168">
        <f>3.3</f>
        <v>3.3</v>
      </c>
      <c r="AN168">
        <f>0.07</f>
        <v>7.0000000000000007E-2</v>
      </c>
      <c r="AO168">
        <f>13</f>
        <v>13</v>
      </c>
      <c r="AP168">
        <f>1.7</f>
        <v>1.7</v>
      </c>
      <c r="AQ168" t="s">
        <v>180</v>
      </c>
    </row>
    <row r="169" spans="1:82" x14ac:dyDescent="0.25">
      <c r="A169" t="s">
        <v>833</v>
      </c>
      <c r="B169" t="s">
        <v>170</v>
      </c>
      <c r="C169" s="1">
        <v>46086</v>
      </c>
      <c r="D169" t="s">
        <v>222</v>
      </c>
      <c r="E169" t="s">
        <v>260</v>
      </c>
      <c r="F169" t="s">
        <v>518</v>
      </c>
      <c r="G169" t="s">
        <v>4284</v>
      </c>
      <c r="H169">
        <v>1419</v>
      </c>
      <c r="I169" t="s">
        <v>4284</v>
      </c>
      <c r="J169">
        <v>480</v>
      </c>
      <c r="K169" t="s">
        <v>4494</v>
      </c>
      <c r="L169" t="s">
        <v>369</v>
      </c>
      <c r="M169" t="s">
        <v>834</v>
      </c>
      <c r="N169" t="s">
        <v>835</v>
      </c>
      <c r="O169" t="s">
        <v>836</v>
      </c>
      <c r="R169">
        <f>1</f>
        <v>1</v>
      </c>
      <c r="S169">
        <f>11.6</f>
        <v>11.6</v>
      </c>
      <c r="T169">
        <f>7.5</f>
        <v>7.5</v>
      </c>
      <c r="U169">
        <f>446</f>
        <v>446</v>
      </c>
      <c r="V169">
        <f>0.2</f>
        <v>0.2</v>
      </c>
      <c r="X169">
        <f>1</f>
        <v>1</v>
      </c>
      <c r="Y169" t="s">
        <v>180</v>
      </c>
      <c r="Z169">
        <f>0</f>
        <v>0</v>
      </c>
      <c r="AA169" t="s">
        <v>179</v>
      </c>
      <c r="AB169" t="s">
        <v>179</v>
      </c>
      <c r="AC169">
        <f>0</f>
        <v>0</v>
      </c>
      <c r="AD169">
        <f>0</f>
        <v>0</v>
      </c>
      <c r="AE169">
        <f>0</f>
        <v>0</v>
      </c>
      <c r="AG169" t="s">
        <v>180</v>
      </c>
    </row>
    <row r="170" spans="1:82" x14ac:dyDescent="0.25">
      <c r="A170" t="s">
        <v>837</v>
      </c>
      <c r="B170" t="s">
        <v>170</v>
      </c>
      <c r="C170" s="1">
        <v>46104</v>
      </c>
      <c r="D170" t="s">
        <v>222</v>
      </c>
      <c r="E170" t="s">
        <v>223</v>
      </c>
      <c r="F170" t="s">
        <v>838</v>
      </c>
      <c r="G170" t="s">
        <v>4285</v>
      </c>
      <c r="H170">
        <v>830</v>
      </c>
      <c r="I170" t="s">
        <v>4285</v>
      </c>
      <c r="J170">
        <v>650</v>
      </c>
      <c r="K170" t="s">
        <v>4492</v>
      </c>
      <c r="L170" t="s">
        <v>369</v>
      </c>
      <c r="M170" t="s">
        <v>839</v>
      </c>
      <c r="N170" t="s">
        <v>3326</v>
      </c>
      <c r="O170" t="s">
        <v>840</v>
      </c>
      <c r="R170">
        <f>1</f>
        <v>1</v>
      </c>
      <c r="S170">
        <f>10.9</f>
        <v>10.9</v>
      </c>
      <c r="T170">
        <f>7.6</f>
        <v>7.6</v>
      </c>
      <c r="U170">
        <f>275</f>
        <v>275</v>
      </c>
      <c r="V170">
        <f>0.21</f>
        <v>0.21</v>
      </c>
      <c r="X170">
        <f>1</f>
        <v>1</v>
      </c>
      <c r="Y170" t="s">
        <v>180</v>
      </c>
      <c r="Z170">
        <f>0</f>
        <v>0</v>
      </c>
      <c r="AA170" t="s">
        <v>179</v>
      </c>
      <c r="AB170" t="s">
        <v>179</v>
      </c>
      <c r="AD170">
        <f>0</f>
        <v>0</v>
      </c>
      <c r="AE170">
        <f>0</f>
        <v>0</v>
      </c>
      <c r="AG170" t="s">
        <v>180</v>
      </c>
      <c r="AH170" t="s">
        <v>193</v>
      </c>
      <c r="AK170" t="s">
        <v>181</v>
      </c>
      <c r="AL170" t="s">
        <v>182</v>
      </c>
      <c r="AM170">
        <f>3.1</f>
        <v>3.1</v>
      </c>
      <c r="AN170">
        <f>0.06</f>
        <v>0.06</v>
      </c>
      <c r="AO170">
        <f>5.8</f>
        <v>5.8</v>
      </c>
      <c r="AP170">
        <f>1.4</f>
        <v>1.4</v>
      </c>
      <c r="AQ170" t="s">
        <v>180</v>
      </c>
    </row>
    <row r="171" spans="1:82" x14ac:dyDescent="0.25">
      <c r="A171" t="s">
        <v>841</v>
      </c>
      <c r="B171" t="s">
        <v>170</v>
      </c>
      <c r="C171" s="1">
        <v>46086</v>
      </c>
      <c r="D171" t="s">
        <v>222</v>
      </c>
      <c r="E171" t="s">
        <v>260</v>
      </c>
      <c r="F171" t="s">
        <v>518</v>
      </c>
      <c r="G171" t="s">
        <v>3710</v>
      </c>
      <c r="H171">
        <v>1423</v>
      </c>
      <c r="I171" t="s">
        <v>3710</v>
      </c>
      <c r="J171">
        <v>1090</v>
      </c>
      <c r="K171" t="s">
        <v>4492</v>
      </c>
      <c r="L171" t="s">
        <v>369</v>
      </c>
      <c r="M171" t="s">
        <v>842</v>
      </c>
      <c r="N171" t="s">
        <v>843</v>
      </c>
      <c r="O171" t="s">
        <v>844</v>
      </c>
      <c r="R171">
        <f>1</f>
        <v>1</v>
      </c>
      <c r="S171">
        <f>9.5</f>
        <v>9.5</v>
      </c>
      <c r="T171">
        <f>7.3</f>
        <v>7.3</v>
      </c>
      <c r="U171">
        <f>501</f>
        <v>501</v>
      </c>
      <c r="V171">
        <f>0.23</f>
        <v>0.23</v>
      </c>
      <c r="X171">
        <f>1</f>
        <v>1</v>
      </c>
      <c r="Y171" t="s">
        <v>180</v>
      </c>
      <c r="Z171">
        <f>0</f>
        <v>0</v>
      </c>
      <c r="AA171" t="s">
        <v>179</v>
      </c>
      <c r="AB171" t="s">
        <v>179</v>
      </c>
      <c r="AD171">
        <f>0</f>
        <v>0</v>
      </c>
      <c r="AE171">
        <f>0</f>
        <v>0</v>
      </c>
      <c r="AG171" t="s">
        <v>180</v>
      </c>
    </row>
    <row r="172" spans="1:82" x14ac:dyDescent="0.25">
      <c r="A172" t="s">
        <v>845</v>
      </c>
      <c r="B172" t="s">
        <v>170</v>
      </c>
      <c r="C172" s="1">
        <v>46079</v>
      </c>
      <c r="D172" t="s">
        <v>251</v>
      </c>
      <c r="E172" t="s">
        <v>252</v>
      </c>
      <c r="F172" t="s">
        <v>846</v>
      </c>
      <c r="G172" t="s">
        <v>847</v>
      </c>
      <c r="H172">
        <v>1479</v>
      </c>
      <c r="I172" t="s">
        <v>848</v>
      </c>
      <c r="J172">
        <v>426</v>
      </c>
      <c r="K172" t="s">
        <v>4492</v>
      </c>
      <c r="M172" t="s">
        <v>849</v>
      </c>
      <c r="N172" t="s">
        <v>850</v>
      </c>
      <c r="O172" t="s">
        <v>851</v>
      </c>
      <c r="Q172" t="s">
        <v>257</v>
      </c>
      <c r="R172">
        <f>1</f>
        <v>1</v>
      </c>
      <c r="S172">
        <f>8.5</f>
        <v>8.5</v>
      </c>
      <c r="T172">
        <f>7.9</f>
        <v>7.9</v>
      </c>
      <c r="U172">
        <f>228</f>
        <v>228</v>
      </c>
      <c r="X172">
        <f>0</f>
        <v>0</v>
      </c>
      <c r="Y172">
        <f>0.11</f>
        <v>0.11</v>
      </c>
      <c r="Z172">
        <f>0</f>
        <v>0</v>
      </c>
      <c r="AA172">
        <f>1</f>
        <v>1</v>
      </c>
      <c r="AB172">
        <f>1</f>
        <v>1</v>
      </c>
      <c r="AD172">
        <f>0</f>
        <v>0</v>
      </c>
      <c r="AE172">
        <f>0</f>
        <v>0</v>
      </c>
      <c r="AG172" t="s">
        <v>180</v>
      </c>
    </row>
    <row r="173" spans="1:82" x14ac:dyDescent="0.25">
      <c r="A173" t="s">
        <v>852</v>
      </c>
      <c r="B173" t="s">
        <v>170</v>
      </c>
      <c r="C173" s="1">
        <v>46104</v>
      </c>
      <c r="D173" t="s">
        <v>222</v>
      </c>
      <c r="E173" t="s">
        <v>223</v>
      </c>
      <c r="F173" t="s">
        <v>3896</v>
      </c>
      <c r="G173" t="s">
        <v>853</v>
      </c>
      <c r="H173">
        <v>1120</v>
      </c>
      <c r="I173" t="s">
        <v>853</v>
      </c>
      <c r="J173">
        <v>487</v>
      </c>
      <c r="K173" t="s">
        <v>4492</v>
      </c>
      <c r="L173" t="s">
        <v>369</v>
      </c>
      <c r="M173" t="s">
        <v>854</v>
      </c>
      <c r="N173" t="s">
        <v>855</v>
      </c>
      <c r="O173" t="s">
        <v>856</v>
      </c>
      <c r="R173">
        <f>1</f>
        <v>1</v>
      </c>
      <c r="S173">
        <f>10</f>
        <v>10</v>
      </c>
      <c r="T173">
        <f>7.8</f>
        <v>7.8</v>
      </c>
      <c r="U173">
        <f>486</f>
        <v>486</v>
      </c>
      <c r="V173">
        <f>0.24</f>
        <v>0.24</v>
      </c>
      <c r="X173">
        <f>1</f>
        <v>1</v>
      </c>
      <c r="Y173" t="s">
        <v>180</v>
      </c>
      <c r="Z173">
        <f>0</f>
        <v>0</v>
      </c>
      <c r="AA173" t="s">
        <v>179</v>
      </c>
      <c r="AB173" t="s">
        <v>179</v>
      </c>
      <c r="AD173">
        <f>0</f>
        <v>0</v>
      </c>
      <c r="AE173">
        <f>0</f>
        <v>0</v>
      </c>
      <c r="AG173" t="s">
        <v>180</v>
      </c>
    </row>
    <row r="174" spans="1:82" x14ac:dyDescent="0.25">
      <c r="A174" t="s">
        <v>857</v>
      </c>
      <c r="B174" t="s">
        <v>170</v>
      </c>
      <c r="C174" s="1">
        <v>46085</v>
      </c>
      <c r="D174" t="s">
        <v>171</v>
      </c>
      <c r="E174" t="s">
        <v>172</v>
      </c>
      <c r="F174" t="s">
        <v>173</v>
      </c>
      <c r="G174" t="s">
        <v>3897</v>
      </c>
      <c r="H174">
        <v>1499</v>
      </c>
      <c r="I174" t="s">
        <v>3898</v>
      </c>
      <c r="J174">
        <v>837</v>
      </c>
      <c r="K174" t="s">
        <v>4492</v>
      </c>
      <c r="L174" t="s">
        <v>271</v>
      </c>
      <c r="M174" t="s">
        <v>3899</v>
      </c>
      <c r="N174" t="s">
        <v>3900</v>
      </c>
      <c r="O174" t="s">
        <v>858</v>
      </c>
      <c r="R174">
        <f>1</f>
        <v>1</v>
      </c>
      <c r="S174">
        <f>9</f>
        <v>9</v>
      </c>
      <c r="T174">
        <f>6.9</f>
        <v>6.9</v>
      </c>
      <c r="U174">
        <f>346</f>
        <v>346</v>
      </c>
      <c r="X174">
        <f>0</f>
        <v>0</v>
      </c>
      <c r="Y174">
        <f>0.1</f>
        <v>0.1</v>
      </c>
      <c r="Z174">
        <f>0</f>
        <v>0</v>
      </c>
      <c r="AA174" t="s">
        <v>179</v>
      </c>
      <c r="AB174" t="s">
        <v>179</v>
      </c>
      <c r="AD174">
        <f>0</f>
        <v>0</v>
      </c>
      <c r="AE174">
        <f>0</f>
        <v>0</v>
      </c>
      <c r="AG174" t="s">
        <v>180</v>
      </c>
    </row>
    <row r="175" spans="1:82" x14ac:dyDescent="0.25">
      <c r="A175" t="s">
        <v>859</v>
      </c>
      <c r="B175" t="s">
        <v>170</v>
      </c>
      <c r="C175" s="1">
        <v>46077</v>
      </c>
      <c r="D175" t="s">
        <v>184</v>
      </c>
      <c r="E175" t="s">
        <v>546</v>
      </c>
      <c r="F175" t="s">
        <v>671</v>
      </c>
      <c r="G175" t="s">
        <v>860</v>
      </c>
      <c r="H175">
        <v>715</v>
      </c>
      <c r="I175" t="s">
        <v>860</v>
      </c>
      <c r="J175">
        <v>1066</v>
      </c>
      <c r="K175" t="s">
        <v>4492</v>
      </c>
      <c r="L175" t="s">
        <v>176</v>
      </c>
      <c r="M175" t="s">
        <v>861</v>
      </c>
      <c r="N175" t="s">
        <v>862</v>
      </c>
      <c r="O175" t="s">
        <v>863</v>
      </c>
      <c r="R175">
        <f>1</f>
        <v>1</v>
      </c>
      <c r="S175">
        <f>7</f>
        <v>7</v>
      </c>
      <c r="T175">
        <f>7.5</f>
        <v>7.5</v>
      </c>
      <c r="U175">
        <f>414</f>
        <v>414</v>
      </c>
      <c r="X175">
        <f>0</f>
        <v>0</v>
      </c>
      <c r="Y175">
        <f>0.1</f>
        <v>0.1</v>
      </c>
      <c r="Z175">
        <f>0</f>
        <v>0</v>
      </c>
      <c r="AA175" t="s">
        <v>179</v>
      </c>
      <c r="AB175" t="s">
        <v>179</v>
      </c>
      <c r="AD175">
        <f>0</f>
        <v>0</v>
      </c>
      <c r="AE175">
        <f>0</f>
        <v>0</v>
      </c>
      <c r="AG175" t="s">
        <v>180</v>
      </c>
    </row>
    <row r="176" spans="1:82" x14ac:dyDescent="0.25">
      <c r="A176" t="s">
        <v>864</v>
      </c>
      <c r="B176" t="s">
        <v>170</v>
      </c>
      <c r="C176" s="1">
        <v>46092</v>
      </c>
      <c r="D176" t="s">
        <v>238</v>
      </c>
      <c r="E176" t="s">
        <v>239</v>
      </c>
      <c r="F176" t="s">
        <v>478</v>
      </c>
      <c r="G176" t="s">
        <v>4286</v>
      </c>
      <c r="H176">
        <v>136</v>
      </c>
      <c r="I176" t="s">
        <v>4286</v>
      </c>
      <c r="J176">
        <v>870</v>
      </c>
      <c r="K176" t="s">
        <v>4492</v>
      </c>
      <c r="L176" t="s">
        <v>266</v>
      </c>
      <c r="M176" t="s">
        <v>3901</v>
      </c>
      <c r="N176" t="s">
        <v>4287</v>
      </c>
      <c r="O176" t="s">
        <v>865</v>
      </c>
      <c r="R176">
        <f>1</f>
        <v>1</v>
      </c>
      <c r="S176">
        <f>9.3</f>
        <v>9.3000000000000007</v>
      </c>
      <c r="T176">
        <f>7.5</f>
        <v>7.5</v>
      </c>
      <c r="U176">
        <f>574</f>
        <v>574</v>
      </c>
      <c r="V176">
        <f>0.25</f>
        <v>0.25</v>
      </c>
      <c r="X176">
        <f>0</f>
        <v>0</v>
      </c>
      <c r="Y176">
        <f>0.04</f>
        <v>0.04</v>
      </c>
      <c r="Z176">
        <f>0</f>
        <v>0</v>
      </c>
      <c r="AA176" t="s">
        <v>179</v>
      </c>
      <c r="AB176">
        <f>15</f>
        <v>15</v>
      </c>
      <c r="AD176">
        <f>0</f>
        <v>0</v>
      </c>
      <c r="AE176">
        <f>0</f>
        <v>0</v>
      </c>
      <c r="AG176" t="s">
        <v>220</v>
      </c>
    </row>
    <row r="177" spans="1:157" x14ac:dyDescent="0.25">
      <c r="A177" t="s">
        <v>866</v>
      </c>
      <c r="B177" t="s">
        <v>170</v>
      </c>
      <c r="C177" s="1">
        <v>46128</v>
      </c>
      <c r="D177" t="s">
        <v>171</v>
      </c>
      <c r="E177" t="s">
        <v>172</v>
      </c>
      <c r="F177" t="s">
        <v>173</v>
      </c>
      <c r="G177" t="s">
        <v>4288</v>
      </c>
      <c r="H177">
        <v>1442</v>
      </c>
      <c r="I177" t="s">
        <v>4289</v>
      </c>
      <c r="J177">
        <v>425</v>
      </c>
      <c r="K177" t="s">
        <v>4492</v>
      </c>
      <c r="L177" t="s">
        <v>271</v>
      </c>
      <c r="M177" t="s">
        <v>867</v>
      </c>
      <c r="N177" t="s">
        <v>4290</v>
      </c>
      <c r="O177" t="s">
        <v>868</v>
      </c>
      <c r="R177">
        <f>1</f>
        <v>1</v>
      </c>
      <c r="S177">
        <f>10.1</f>
        <v>10.1</v>
      </c>
      <c r="T177">
        <f>6.8</f>
        <v>6.8</v>
      </c>
      <c r="U177">
        <f>133</f>
        <v>133</v>
      </c>
      <c r="X177">
        <f>0</f>
        <v>0</v>
      </c>
      <c r="Y177">
        <f>0.1</f>
        <v>0.1</v>
      </c>
      <c r="Z177">
        <f>0</f>
        <v>0</v>
      </c>
      <c r="AA177" t="s">
        <v>179</v>
      </c>
      <c r="AB177" t="s">
        <v>179</v>
      </c>
      <c r="AD177">
        <f>0</f>
        <v>0</v>
      </c>
      <c r="AE177">
        <f>0</f>
        <v>0</v>
      </c>
      <c r="AG177" t="s">
        <v>180</v>
      </c>
      <c r="AH177" t="s">
        <v>193</v>
      </c>
      <c r="AK177" t="s">
        <v>181</v>
      </c>
      <c r="AL177" t="s">
        <v>182</v>
      </c>
      <c r="AM177">
        <f>4.9</f>
        <v>4.9000000000000004</v>
      </c>
      <c r="AN177">
        <f>0.1</f>
        <v>0.1</v>
      </c>
      <c r="AO177">
        <f>2.9</f>
        <v>2.9</v>
      </c>
      <c r="AP177">
        <f>6.1</f>
        <v>6.1</v>
      </c>
      <c r="AQ177" t="s">
        <v>180</v>
      </c>
      <c r="CF177" t="s">
        <v>285</v>
      </c>
      <c r="CG177" t="s">
        <v>285</v>
      </c>
      <c r="CH177" t="s">
        <v>285</v>
      </c>
      <c r="CI177" t="s">
        <v>285</v>
      </c>
      <c r="CJ177" t="s">
        <v>285</v>
      </c>
      <c r="CK177" t="s">
        <v>285</v>
      </c>
      <c r="CL177" t="s">
        <v>285</v>
      </c>
      <c r="CM177" t="s">
        <v>285</v>
      </c>
      <c r="CN177" t="s">
        <v>286</v>
      </c>
      <c r="CO177" t="s">
        <v>285</v>
      </c>
      <c r="CP177" t="s">
        <v>192</v>
      </c>
      <c r="CQ177" t="s">
        <v>192</v>
      </c>
      <c r="CR177" t="s">
        <v>192</v>
      </c>
      <c r="CS177" t="s">
        <v>192</v>
      </c>
      <c r="CT177" t="s">
        <v>286</v>
      </c>
      <c r="CU177" t="s">
        <v>286</v>
      </c>
      <c r="CV177" t="s">
        <v>285</v>
      </c>
      <c r="CW177" t="s">
        <v>285</v>
      </c>
      <c r="CX177" t="s">
        <v>286</v>
      </c>
      <c r="CY177" t="s">
        <v>192</v>
      </c>
      <c r="CZ177">
        <f>0.2</f>
        <v>0.2</v>
      </c>
      <c r="DA177" t="s">
        <v>285</v>
      </c>
      <c r="DB177" t="s">
        <v>182</v>
      </c>
      <c r="DC177" t="s">
        <v>286</v>
      </c>
      <c r="DD177" t="s">
        <v>286</v>
      </c>
      <c r="DE177" t="s">
        <v>286</v>
      </c>
      <c r="DF177" t="s">
        <v>286</v>
      </c>
      <c r="DG177" t="s">
        <v>286</v>
      </c>
      <c r="DH177" t="s">
        <v>286</v>
      </c>
      <c r="DI177" t="s">
        <v>286</v>
      </c>
      <c r="DJ177" t="s">
        <v>286</v>
      </c>
      <c r="DK177" t="s">
        <v>286</v>
      </c>
      <c r="DL177" t="s">
        <v>286</v>
      </c>
      <c r="DM177" t="s">
        <v>286</v>
      </c>
      <c r="DN177" t="s">
        <v>286</v>
      </c>
      <c r="DO177" t="s">
        <v>286</v>
      </c>
      <c r="DP177" t="s">
        <v>286</v>
      </c>
      <c r="DQ177" t="s">
        <v>286</v>
      </c>
      <c r="DR177" t="s">
        <v>286</v>
      </c>
      <c r="DS177" t="s">
        <v>286</v>
      </c>
      <c r="DT177" t="s">
        <v>286</v>
      </c>
      <c r="DU177" t="s">
        <v>286</v>
      </c>
      <c r="DV177" t="s">
        <v>285</v>
      </c>
      <c r="DW177" t="s">
        <v>286</v>
      </c>
      <c r="DX177" t="s">
        <v>286</v>
      </c>
      <c r="DY177" t="s">
        <v>286</v>
      </c>
      <c r="DZ177" t="s">
        <v>285</v>
      </c>
      <c r="EA177" t="s">
        <v>285</v>
      </c>
      <c r="EB177" t="s">
        <v>286</v>
      </c>
      <c r="EC177">
        <f>0.2</f>
        <v>0.2</v>
      </c>
      <c r="ED177" t="s">
        <v>286</v>
      </c>
      <c r="EE177" t="s">
        <v>286</v>
      </c>
      <c r="EF177" t="s">
        <v>286</v>
      </c>
      <c r="EG177" t="s">
        <v>285</v>
      </c>
      <c r="EH177" t="s">
        <v>286</v>
      </c>
      <c r="EI177" t="s">
        <v>286</v>
      </c>
      <c r="EJ177" t="s">
        <v>286</v>
      </c>
      <c r="EK177" t="s">
        <v>286</v>
      </c>
      <c r="EL177" t="s">
        <v>285</v>
      </c>
      <c r="EM177" t="s">
        <v>286</v>
      </c>
      <c r="EN177" t="s">
        <v>285</v>
      </c>
      <c r="EO177" t="s">
        <v>285</v>
      </c>
      <c r="EP177" t="s">
        <v>285</v>
      </c>
      <c r="EQ177" t="s">
        <v>285</v>
      </c>
      <c r="ER177" t="s">
        <v>285</v>
      </c>
      <c r="ES177" t="s">
        <v>285</v>
      </c>
      <c r="ET177" t="s">
        <v>285</v>
      </c>
      <c r="EU177" t="s">
        <v>285</v>
      </c>
      <c r="EV177" t="s">
        <v>192</v>
      </c>
      <c r="EW177" t="s">
        <v>286</v>
      </c>
      <c r="EX177" t="s">
        <v>285</v>
      </c>
      <c r="EY177" t="s">
        <v>285</v>
      </c>
      <c r="EZ177" t="s">
        <v>192</v>
      </c>
      <c r="FA177" t="s">
        <v>285</v>
      </c>
    </row>
    <row r="178" spans="1:157" x14ac:dyDescent="0.25">
      <c r="A178" t="s">
        <v>869</v>
      </c>
      <c r="B178" t="s">
        <v>170</v>
      </c>
      <c r="C178" s="1">
        <v>46126</v>
      </c>
      <c r="D178" t="s">
        <v>216</v>
      </c>
      <c r="E178" t="s">
        <v>217</v>
      </c>
      <c r="F178" t="s">
        <v>368</v>
      </c>
      <c r="G178" t="s">
        <v>870</v>
      </c>
      <c r="H178">
        <v>424</v>
      </c>
      <c r="I178" t="s">
        <v>870</v>
      </c>
      <c r="J178">
        <v>306</v>
      </c>
      <c r="K178" t="s">
        <v>4494</v>
      </c>
      <c r="L178" t="s">
        <v>266</v>
      </c>
      <c r="M178" t="s">
        <v>4570</v>
      </c>
      <c r="N178" t="s">
        <v>871</v>
      </c>
      <c r="O178" t="s">
        <v>872</v>
      </c>
      <c r="R178">
        <f>1</f>
        <v>1</v>
      </c>
      <c r="S178">
        <f>13.9</f>
        <v>13.9</v>
      </c>
      <c r="T178">
        <f>8.4</f>
        <v>8.4</v>
      </c>
      <c r="U178">
        <f>316</f>
        <v>316</v>
      </c>
      <c r="V178" t="s">
        <v>192</v>
      </c>
      <c r="X178">
        <f>1</f>
        <v>1</v>
      </c>
      <c r="Y178">
        <f>0.13</f>
        <v>0.13</v>
      </c>
      <c r="Z178">
        <f>0</f>
        <v>0</v>
      </c>
      <c r="AA178">
        <f>0</f>
        <v>0</v>
      </c>
      <c r="AB178">
        <f>0</f>
        <v>0</v>
      </c>
      <c r="AC178">
        <f>0</f>
        <v>0</v>
      </c>
      <c r="AD178">
        <f>0</f>
        <v>0</v>
      </c>
      <c r="AE178">
        <f>0</f>
        <v>0</v>
      </c>
      <c r="AG178" t="s">
        <v>220</v>
      </c>
      <c r="AH178">
        <f>0.31</f>
        <v>0.31</v>
      </c>
      <c r="AK178" t="s">
        <v>285</v>
      </c>
      <c r="AL178" t="s">
        <v>181</v>
      </c>
      <c r="AM178">
        <f>7.6</f>
        <v>7.6</v>
      </c>
      <c r="AN178">
        <f>0.15</f>
        <v>0.15</v>
      </c>
      <c r="AO178">
        <f>3.4</f>
        <v>3.4</v>
      </c>
      <c r="AP178">
        <f>1</f>
        <v>1</v>
      </c>
      <c r="AQ178" t="s">
        <v>284</v>
      </c>
    </row>
    <row r="179" spans="1:157" x14ac:dyDescent="0.25">
      <c r="A179" t="s">
        <v>873</v>
      </c>
      <c r="B179" t="s">
        <v>170</v>
      </c>
      <c r="C179" s="1">
        <v>46094</v>
      </c>
      <c r="D179" t="s">
        <v>302</v>
      </c>
      <c r="E179" t="s">
        <v>303</v>
      </c>
      <c r="F179" t="s">
        <v>874</v>
      </c>
      <c r="G179" t="s">
        <v>875</v>
      </c>
      <c r="H179">
        <v>1541</v>
      </c>
      <c r="I179" t="s">
        <v>876</v>
      </c>
      <c r="J179">
        <v>368</v>
      </c>
      <c r="K179" t="s">
        <v>4494</v>
      </c>
      <c r="L179" t="s">
        <v>266</v>
      </c>
      <c r="M179" t="s">
        <v>3576</v>
      </c>
      <c r="N179" t="s">
        <v>3577</v>
      </c>
      <c r="O179" t="s">
        <v>877</v>
      </c>
      <c r="R179">
        <f>1</f>
        <v>1</v>
      </c>
      <c r="S179">
        <f>9.8</f>
        <v>9.8000000000000007</v>
      </c>
      <c r="T179">
        <f>7</f>
        <v>7</v>
      </c>
      <c r="U179">
        <f>95</f>
        <v>95</v>
      </c>
      <c r="V179" t="s">
        <v>192</v>
      </c>
      <c r="X179">
        <f>0</f>
        <v>0</v>
      </c>
      <c r="Y179" t="s">
        <v>180</v>
      </c>
      <c r="Z179">
        <f>0</f>
        <v>0</v>
      </c>
      <c r="AA179">
        <f>27</f>
        <v>27</v>
      </c>
      <c r="AB179">
        <f>43</f>
        <v>43</v>
      </c>
      <c r="AC179">
        <f>0</f>
        <v>0</v>
      </c>
      <c r="AD179">
        <f>0</f>
        <v>0</v>
      </c>
      <c r="AE179">
        <f>0</f>
        <v>0</v>
      </c>
      <c r="AG179" t="s">
        <v>180</v>
      </c>
      <c r="AH179" t="s">
        <v>193</v>
      </c>
      <c r="AK179" t="s">
        <v>181</v>
      </c>
      <c r="AL179" t="s">
        <v>182</v>
      </c>
      <c r="AM179">
        <f>2.7</f>
        <v>2.7</v>
      </c>
      <c r="AN179">
        <f>0.05</f>
        <v>0.05</v>
      </c>
      <c r="AO179">
        <f>6.8</f>
        <v>6.8</v>
      </c>
      <c r="AP179">
        <f>11</f>
        <v>11</v>
      </c>
      <c r="AQ179" t="s">
        <v>180</v>
      </c>
      <c r="CC179" t="s">
        <v>701</v>
      </c>
    </row>
    <row r="180" spans="1:157" x14ac:dyDescent="0.25">
      <c r="A180" t="s">
        <v>878</v>
      </c>
      <c r="B180" t="s">
        <v>170</v>
      </c>
      <c r="C180" s="1">
        <v>46129</v>
      </c>
      <c r="D180" t="s">
        <v>251</v>
      </c>
      <c r="E180" t="s">
        <v>252</v>
      </c>
      <c r="F180" t="s">
        <v>879</v>
      </c>
      <c r="G180" t="s">
        <v>880</v>
      </c>
      <c r="H180">
        <v>632</v>
      </c>
      <c r="I180" t="s">
        <v>880</v>
      </c>
      <c r="J180">
        <v>700</v>
      </c>
      <c r="K180" t="s">
        <v>4492</v>
      </c>
      <c r="L180" t="s">
        <v>271</v>
      </c>
      <c r="M180" t="s">
        <v>4571</v>
      </c>
      <c r="N180" t="s">
        <v>881</v>
      </c>
      <c r="O180" t="s">
        <v>882</v>
      </c>
      <c r="Q180" t="s">
        <v>257</v>
      </c>
      <c r="R180">
        <f>1</f>
        <v>1</v>
      </c>
      <c r="S180">
        <f>10.6</f>
        <v>10.6</v>
      </c>
      <c r="T180">
        <f>8.1</f>
        <v>8.1</v>
      </c>
      <c r="U180">
        <f>100</f>
        <v>100</v>
      </c>
      <c r="X180">
        <f>0</f>
        <v>0</v>
      </c>
      <c r="Y180" t="s">
        <v>180</v>
      </c>
      <c r="Z180">
        <f>0</f>
        <v>0</v>
      </c>
      <c r="AA180">
        <f>0</f>
        <v>0</v>
      </c>
      <c r="AB180">
        <f>0</f>
        <v>0</v>
      </c>
      <c r="AD180">
        <f>0</f>
        <v>0</v>
      </c>
      <c r="AE180">
        <f>0</f>
        <v>0</v>
      </c>
      <c r="AG180" t="s">
        <v>180</v>
      </c>
      <c r="AH180" t="s">
        <v>284</v>
      </c>
      <c r="AK180" t="s">
        <v>285</v>
      </c>
      <c r="AL180" t="s">
        <v>286</v>
      </c>
      <c r="AM180">
        <f>2.2</f>
        <v>2.2000000000000002</v>
      </c>
      <c r="AN180">
        <f>0.044</f>
        <v>4.3999999999999997E-2</v>
      </c>
      <c r="AO180">
        <f>4.6</f>
        <v>4.5999999999999996</v>
      </c>
      <c r="AP180" t="s">
        <v>284</v>
      </c>
      <c r="AQ180" t="s">
        <v>284</v>
      </c>
    </row>
    <row r="181" spans="1:157" x14ac:dyDescent="0.25">
      <c r="A181" t="s">
        <v>883</v>
      </c>
      <c r="B181" t="s">
        <v>170</v>
      </c>
      <c r="C181" s="1">
        <v>46083</v>
      </c>
      <c r="D181" t="s">
        <v>238</v>
      </c>
      <c r="E181" t="s">
        <v>260</v>
      </c>
      <c r="F181" t="s">
        <v>261</v>
      </c>
      <c r="G181" t="s">
        <v>884</v>
      </c>
      <c r="H181">
        <v>305</v>
      </c>
      <c r="I181" t="s">
        <v>884</v>
      </c>
      <c r="J181">
        <v>1929</v>
      </c>
      <c r="K181" t="s">
        <v>4492</v>
      </c>
      <c r="L181" t="s">
        <v>266</v>
      </c>
      <c r="M181" t="s">
        <v>3902</v>
      </c>
      <c r="N181" t="s">
        <v>885</v>
      </c>
      <c r="O181" t="s">
        <v>886</v>
      </c>
      <c r="R181">
        <f>1</f>
        <v>1</v>
      </c>
      <c r="S181">
        <f>10.7</f>
        <v>10.7</v>
      </c>
      <c r="T181">
        <f>7.6</f>
        <v>7.6</v>
      </c>
      <c r="U181">
        <f>511</f>
        <v>511</v>
      </c>
      <c r="V181">
        <f>0.06</f>
        <v>0.06</v>
      </c>
      <c r="X181">
        <f>0</f>
        <v>0</v>
      </c>
      <c r="Y181" t="s">
        <v>243</v>
      </c>
      <c r="Z181">
        <f>0</f>
        <v>0</v>
      </c>
      <c r="AA181" t="s">
        <v>179</v>
      </c>
      <c r="AB181" t="s">
        <v>179</v>
      </c>
      <c r="AD181">
        <f>0</f>
        <v>0</v>
      </c>
      <c r="AE181">
        <f>0</f>
        <v>0</v>
      </c>
      <c r="AG181" t="s">
        <v>220</v>
      </c>
    </row>
    <row r="182" spans="1:157" x14ac:dyDescent="0.25">
      <c r="A182" t="s">
        <v>887</v>
      </c>
      <c r="B182" t="s">
        <v>170</v>
      </c>
      <c r="C182" s="1">
        <v>46121</v>
      </c>
      <c r="D182" t="s">
        <v>216</v>
      </c>
      <c r="E182" t="s">
        <v>217</v>
      </c>
      <c r="F182" t="s">
        <v>3327</v>
      </c>
      <c r="G182" t="s">
        <v>3903</v>
      </c>
      <c r="H182">
        <v>1286</v>
      </c>
      <c r="I182" t="s">
        <v>3903</v>
      </c>
      <c r="J182">
        <v>269</v>
      </c>
      <c r="K182" t="s">
        <v>4494</v>
      </c>
      <c r="L182" t="s">
        <v>266</v>
      </c>
      <c r="M182" t="s">
        <v>3904</v>
      </c>
      <c r="N182" t="s">
        <v>3905</v>
      </c>
      <c r="O182" t="s">
        <v>888</v>
      </c>
      <c r="Q182" t="s">
        <v>3480</v>
      </c>
      <c r="R182">
        <f>1</f>
        <v>1</v>
      </c>
      <c r="S182">
        <f>11.3</f>
        <v>11.3</v>
      </c>
      <c r="T182">
        <f>7.7</f>
        <v>7.7</v>
      </c>
      <c r="U182">
        <f>157</f>
        <v>157</v>
      </c>
      <c r="V182">
        <f>0.18</f>
        <v>0.18</v>
      </c>
      <c r="X182">
        <f>1</f>
        <v>1</v>
      </c>
      <c r="Y182">
        <f>0.2</f>
        <v>0.2</v>
      </c>
      <c r="Z182">
        <f>0</f>
        <v>0</v>
      </c>
      <c r="AA182">
        <f>0</f>
        <v>0</v>
      </c>
      <c r="AB182">
        <f>0</f>
        <v>0</v>
      </c>
      <c r="AC182">
        <f>0</f>
        <v>0</v>
      </c>
      <c r="AD182">
        <f>0</f>
        <v>0</v>
      </c>
      <c r="AE182">
        <f>0</f>
        <v>0</v>
      </c>
      <c r="AG182" t="s">
        <v>220</v>
      </c>
    </row>
    <row r="183" spans="1:157" x14ac:dyDescent="0.25">
      <c r="A183" t="s">
        <v>889</v>
      </c>
      <c r="B183" t="s">
        <v>170</v>
      </c>
      <c r="C183" s="1">
        <v>46132</v>
      </c>
      <c r="D183" t="s">
        <v>425</v>
      </c>
      <c r="E183" t="s">
        <v>426</v>
      </c>
      <c r="F183" t="s">
        <v>695</v>
      </c>
      <c r="G183" t="s">
        <v>890</v>
      </c>
      <c r="H183">
        <v>50</v>
      </c>
      <c r="I183" t="s">
        <v>3906</v>
      </c>
      <c r="J183">
        <v>700</v>
      </c>
      <c r="K183" t="s">
        <v>4494</v>
      </c>
      <c r="L183" t="s">
        <v>369</v>
      </c>
      <c r="M183" t="s">
        <v>891</v>
      </c>
      <c r="N183" t="s">
        <v>4572</v>
      </c>
      <c r="O183" t="s">
        <v>892</v>
      </c>
      <c r="R183">
        <f>1</f>
        <v>1</v>
      </c>
      <c r="S183">
        <f>11.6</f>
        <v>11.6</v>
      </c>
      <c r="T183">
        <f>7.7</f>
        <v>7.7</v>
      </c>
      <c r="U183">
        <f>370</f>
        <v>370</v>
      </c>
      <c r="V183">
        <f>0.1</f>
        <v>0.1</v>
      </c>
      <c r="X183">
        <f>0</f>
        <v>0</v>
      </c>
      <c r="Y183" t="s">
        <v>180</v>
      </c>
      <c r="Z183">
        <f>0</f>
        <v>0</v>
      </c>
      <c r="AA183" t="s">
        <v>179</v>
      </c>
      <c r="AB183" t="s">
        <v>179</v>
      </c>
      <c r="AC183">
        <f>0</f>
        <v>0</v>
      </c>
      <c r="AD183">
        <f>0</f>
        <v>0</v>
      </c>
      <c r="AE183">
        <f>0</f>
        <v>0</v>
      </c>
      <c r="AG183" t="s">
        <v>180</v>
      </c>
    </row>
    <row r="184" spans="1:157" x14ac:dyDescent="0.25">
      <c r="A184" t="s">
        <v>893</v>
      </c>
      <c r="B184" t="s">
        <v>170</v>
      </c>
      <c r="C184" s="1">
        <v>46083</v>
      </c>
      <c r="D184" t="s">
        <v>425</v>
      </c>
      <c r="E184" t="s">
        <v>426</v>
      </c>
      <c r="F184" t="s">
        <v>695</v>
      </c>
      <c r="G184" t="s">
        <v>715</v>
      </c>
      <c r="H184">
        <v>816</v>
      </c>
      <c r="I184" t="s">
        <v>894</v>
      </c>
      <c r="J184">
        <v>1000</v>
      </c>
      <c r="K184" t="s">
        <v>4492</v>
      </c>
      <c r="L184" t="s">
        <v>291</v>
      </c>
      <c r="M184" t="s">
        <v>895</v>
      </c>
      <c r="N184" t="s">
        <v>896</v>
      </c>
      <c r="O184" t="s">
        <v>897</v>
      </c>
      <c r="R184">
        <f>1</f>
        <v>1</v>
      </c>
      <c r="S184">
        <f>9.3</f>
        <v>9.3000000000000007</v>
      </c>
      <c r="T184">
        <f>7.5</f>
        <v>7.5</v>
      </c>
      <c r="U184">
        <f>346</f>
        <v>346</v>
      </c>
      <c r="X184">
        <f>0</f>
        <v>0</v>
      </c>
      <c r="Y184" t="s">
        <v>180</v>
      </c>
      <c r="Z184">
        <f>0</f>
        <v>0</v>
      </c>
      <c r="AA184" t="s">
        <v>179</v>
      </c>
      <c r="AB184" t="s">
        <v>179</v>
      </c>
      <c r="AD184">
        <f>0</f>
        <v>0</v>
      </c>
      <c r="AE184">
        <f>0</f>
        <v>0</v>
      </c>
      <c r="AG184" t="s">
        <v>180</v>
      </c>
    </row>
    <row r="185" spans="1:157" x14ac:dyDescent="0.25">
      <c r="A185" t="s">
        <v>898</v>
      </c>
      <c r="B185" t="s">
        <v>170</v>
      </c>
      <c r="C185" s="1">
        <v>46112</v>
      </c>
      <c r="D185" t="s">
        <v>216</v>
      </c>
      <c r="E185" t="s">
        <v>217</v>
      </c>
      <c r="F185" t="s">
        <v>530</v>
      </c>
      <c r="G185" t="s">
        <v>899</v>
      </c>
      <c r="H185">
        <v>1275</v>
      </c>
      <c r="I185" t="s">
        <v>899</v>
      </c>
      <c r="J185">
        <v>379</v>
      </c>
      <c r="K185" t="s">
        <v>4492</v>
      </c>
      <c r="L185" t="s">
        <v>3578</v>
      </c>
      <c r="M185" t="s">
        <v>3907</v>
      </c>
      <c r="N185" t="s">
        <v>900</v>
      </c>
      <c r="O185" t="s">
        <v>901</v>
      </c>
      <c r="Q185" t="s">
        <v>3468</v>
      </c>
      <c r="R185">
        <f>1</f>
        <v>1</v>
      </c>
      <c r="S185">
        <f>7.8</f>
        <v>7.8</v>
      </c>
      <c r="T185">
        <f>7.7</f>
        <v>7.7</v>
      </c>
      <c r="U185">
        <f>403</f>
        <v>403</v>
      </c>
      <c r="V185">
        <f>0.15</f>
        <v>0.15</v>
      </c>
      <c r="X185">
        <f>1</f>
        <v>1</v>
      </c>
      <c r="Y185">
        <f>0.19</f>
        <v>0.19</v>
      </c>
      <c r="Z185">
        <f>0</f>
        <v>0</v>
      </c>
      <c r="AA185">
        <f>0</f>
        <v>0</v>
      </c>
      <c r="AB185">
        <f>1</f>
        <v>1</v>
      </c>
      <c r="AD185">
        <f>0</f>
        <v>0</v>
      </c>
      <c r="AE185">
        <f>0</f>
        <v>0</v>
      </c>
      <c r="AG185" t="s">
        <v>220</v>
      </c>
    </row>
    <row r="186" spans="1:157" x14ac:dyDescent="0.25">
      <c r="A186" t="s">
        <v>902</v>
      </c>
      <c r="B186" t="s">
        <v>170</v>
      </c>
      <c r="C186" s="1">
        <v>46080</v>
      </c>
      <c r="D186" t="s">
        <v>195</v>
      </c>
      <c r="E186" t="s">
        <v>448</v>
      </c>
      <c r="F186" t="s">
        <v>3857</v>
      </c>
      <c r="G186" t="s">
        <v>903</v>
      </c>
      <c r="H186">
        <v>1604</v>
      </c>
      <c r="I186" t="s">
        <v>903</v>
      </c>
      <c r="J186">
        <v>350</v>
      </c>
      <c r="K186" t="s">
        <v>4494</v>
      </c>
      <c r="L186" t="s">
        <v>176</v>
      </c>
      <c r="M186" t="s">
        <v>4573</v>
      </c>
      <c r="N186" t="s">
        <v>904</v>
      </c>
      <c r="O186" t="s">
        <v>905</v>
      </c>
      <c r="R186">
        <f>1</f>
        <v>1</v>
      </c>
      <c r="S186">
        <f>8.9</f>
        <v>8.9</v>
      </c>
      <c r="T186">
        <f>8.1</f>
        <v>8.1</v>
      </c>
      <c r="U186">
        <f>355</f>
        <v>355</v>
      </c>
      <c r="X186">
        <f>0</f>
        <v>0</v>
      </c>
      <c r="Y186">
        <f>0.02</f>
        <v>0.02</v>
      </c>
      <c r="Z186">
        <f>0</f>
        <v>0</v>
      </c>
      <c r="AA186">
        <f>0</f>
        <v>0</v>
      </c>
      <c r="AB186">
        <f>0</f>
        <v>0</v>
      </c>
      <c r="AC186">
        <f>0</f>
        <v>0</v>
      </c>
      <c r="AD186">
        <f>0</f>
        <v>0</v>
      </c>
      <c r="AE186">
        <f>0</f>
        <v>0</v>
      </c>
      <c r="AG186" t="s">
        <v>180</v>
      </c>
      <c r="AH186">
        <f>0.67</f>
        <v>0.67</v>
      </c>
      <c r="AK186" t="s">
        <v>699</v>
      </c>
      <c r="AL186" t="s">
        <v>286</v>
      </c>
      <c r="AM186">
        <f>6.2</f>
        <v>6.2</v>
      </c>
      <c r="AN186">
        <f>0.124</f>
        <v>0.124</v>
      </c>
      <c r="AO186">
        <f>2.6</f>
        <v>2.6</v>
      </c>
      <c r="AP186">
        <f>2.7</f>
        <v>2.7</v>
      </c>
      <c r="AQ186" t="s">
        <v>192</v>
      </c>
    </row>
    <row r="187" spans="1:157" x14ac:dyDescent="0.25">
      <c r="A187" t="s">
        <v>906</v>
      </c>
      <c r="B187" t="s">
        <v>170</v>
      </c>
      <c r="C187" s="1">
        <v>46083</v>
      </c>
      <c r="D187" t="s">
        <v>238</v>
      </c>
      <c r="E187" t="s">
        <v>239</v>
      </c>
      <c r="F187" t="s">
        <v>478</v>
      </c>
      <c r="G187" t="s">
        <v>907</v>
      </c>
      <c r="H187">
        <v>227</v>
      </c>
      <c r="I187" t="s">
        <v>908</v>
      </c>
      <c r="J187">
        <v>1865</v>
      </c>
      <c r="K187" t="s">
        <v>4492</v>
      </c>
      <c r="L187" t="s">
        <v>266</v>
      </c>
      <c r="M187" t="s">
        <v>909</v>
      </c>
      <c r="N187" t="s">
        <v>3328</v>
      </c>
      <c r="O187" t="s">
        <v>910</v>
      </c>
      <c r="R187">
        <f>1</f>
        <v>1</v>
      </c>
      <c r="S187">
        <f>9.9</f>
        <v>9.9</v>
      </c>
      <c r="T187">
        <f>7.8</f>
        <v>7.8</v>
      </c>
      <c r="U187">
        <f>570</f>
        <v>570</v>
      </c>
      <c r="V187">
        <f>0.17</f>
        <v>0.17</v>
      </c>
      <c r="X187">
        <f>0</f>
        <v>0</v>
      </c>
      <c r="Y187">
        <f>0.04</f>
        <v>0.04</v>
      </c>
      <c r="Z187">
        <f>0</f>
        <v>0</v>
      </c>
      <c r="AA187" t="s">
        <v>179</v>
      </c>
      <c r="AB187" t="s">
        <v>179</v>
      </c>
      <c r="AD187">
        <f>0</f>
        <v>0</v>
      </c>
      <c r="AE187">
        <f>0</f>
        <v>0</v>
      </c>
      <c r="AG187" t="s">
        <v>220</v>
      </c>
    </row>
    <row r="188" spans="1:157" x14ac:dyDescent="0.25">
      <c r="A188" t="s">
        <v>911</v>
      </c>
      <c r="B188" t="s">
        <v>170</v>
      </c>
      <c r="C188" s="1">
        <v>46078</v>
      </c>
      <c r="D188" t="s">
        <v>171</v>
      </c>
      <c r="E188" t="s">
        <v>172</v>
      </c>
      <c r="F188" t="s">
        <v>912</v>
      </c>
      <c r="G188" t="s">
        <v>913</v>
      </c>
      <c r="H188">
        <v>1606</v>
      </c>
      <c r="I188" t="s">
        <v>914</v>
      </c>
      <c r="J188">
        <v>580</v>
      </c>
      <c r="K188" t="s">
        <v>4492</v>
      </c>
      <c r="M188" t="s">
        <v>914</v>
      </c>
      <c r="N188" t="s">
        <v>915</v>
      </c>
      <c r="O188" t="s">
        <v>916</v>
      </c>
      <c r="R188">
        <f>1</f>
        <v>1</v>
      </c>
      <c r="S188">
        <f>16.7</f>
        <v>16.7</v>
      </c>
      <c r="T188">
        <f>7.6</f>
        <v>7.6</v>
      </c>
      <c r="U188">
        <f>410</f>
        <v>410</v>
      </c>
      <c r="X188">
        <f>0</f>
        <v>0</v>
      </c>
      <c r="Y188">
        <f>0.1</f>
        <v>0.1</v>
      </c>
      <c r="Z188">
        <f>0</f>
        <v>0</v>
      </c>
      <c r="AA188" t="s">
        <v>179</v>
      </c>
      <c r="AB188" t="s">
        <v>179</v>
      </c>
      <c r="AD188">
        <f>0</f>
        <v>0</v>
      </c>
      <c r="AE188">
        <f>0</f>
        <v>0</v>
      </c>
      <c r="AG188" t="s">
        <v>180</v>
      </c>
      <c r="AH188" t="s">
        <v>193</v>
      </c>
      <c r="AK188" t="s">
        <v>181</v>
      </c>
      <c r="AL188" t="s">
        <v>182</v>
      </c>
      <c r="AM188">
        <f>3.7</f>
        <v>3.7</v>
      </c>
      <c r="AN188">
        <f>0.07</f>
        <v>7.0000000000000007E-2</v>
      </c>
      <c r="AO188">
        <f>1.3</f>
        <v>1.3</v>
      </c>
      <c r="AP188">
        <f>2.4</f>
        <v>2.4</v>
      </c>
      <c r="AQ188">
        <f>0.12</f>
        <v>0.12</v>
      </c>
      <c r="CC188" t="s">
        <v>701</v>
      </c>
    </row>
    <row r="189" spans="1:157" x14ac:dyDescent="0.25">
      <c r="A189" t="s">
        <v>917</v>
      </c>
      <c r="B189" t="s">
        <v>170</v>
      </c>
      <c r="C189" s="1">
        <v>46077</v>
      </c>
      <c r="D189" t="s">
        <v>171</v>
      </c>
      <c r="E189" t="s">
        <v>172</v>
      </c>
      <c r="F189" t="s">
        <v>441</v>
      </c>
      <c r="G189" t="s">
        <v>442</v>
      </c>
      <c r="H189">
        <v>32</v>
      </c>
      <c r="I189" t="s">
        <v>4291</v>
      </c>
      <c r="J189">
        <v>3240</v>
      </c>
      <c r="K189" t="s">
        <v>4492</v>
      </c>
      <c r="L189" t="s">
        <v>266</v>
      </c>
      <c r="M189" t="s">
        <v>4574</v>
      </c>
      <c r="N189" t="s">
        <v>4575</v>
      </c>
      <c r="O189" t="s">
        <v>918</v>
      </c>
      <c r="Q189" t="s">
        <v>3481</v>
      </c>
      <c r="R189">
        <f>1</f>
        <v>1</v>
      </c>
      <c r="S189">
        <f>9.8</f>
        <v>9.8000000000000007</v>
      </c>
      <c r="T189">
        <f>6.5</f>
        <v>6.5</v>
      </c>
      <c r="U189">
        <f>335</f>
        <v>335</v>
      </c>
      <c r="V189">
        <f>0.07</f>
        <v>7.0000000000000007E-2</v>
      </c>
      <c r="X189">
        <f>0</f>
        <v>0</v>
      </c>
      <c r="Y189">
        <f>0.1</f>
        <v>0.1</v>
      </c>
      <c r="Z189">
        <f>0</f>
        <v>0</v>
      </c>
      <c r="AA189" t="s">
        <v>179</v>
      </c>
      <c r="AB189" t="s">
        <v>179</v>
      </c>
      <c r="AD189">
        <f>0</f>
        <v>0</v>
      </c>
      <c r="AE189">
        <f>0</f>
        <v>0</v>
      </c>
      <c r="AG189" t="s">
        <v>180</v>
      </c>
    </row>
    <row r="190" spans="1:157" x14ac:dyDescent="0.25">
      <c r="A190" t="s">
        <v>919</v>
      </c>
      <c r="B190" t="s">
        <v>170</v>
      </c>
      <c r="C190" s="1">
        <v>46086</v>
      </c>
      <c r="D190" t="s">
        <v>184</v>
      </c>
      <c r="E190" t="s">
        <v>185</v>
      </c>
      <c r="F190" t="s">
        <v>288</v>
      </c>
      <c r="G190" t="s">
        <v>3908</v>
      </c>
      <c r="H190">
        <v>1629</v>
      </c>
      <c r="I190" t="s">
        <v>4576</v>
      </c>
      <c r="J190">
        <v>2628</v>
      </c>
      <c r="K190" t="s">
        <v>4492</v>
      </c>
      <c r="L190" t="s">
        <v>3567</v>
      </c>
      <c r="M190" t="s">
        <v>4577</v>
      </c>
      <c r="N190" t="s">
        <v>4578</v>
      </c>
      <c r="O190" t="s">
        <v>920</v>
      </c>
      <c r="Q190" t="s">
        <v>257</v>
      </c>
      <c r="R190">
        <f>1</f>
        <v>1</v>
      </c>
      <c r="S190">
        <f>9.5</f>
        <v>9.5</v>
      </c>
      <c r="T190">
        <f>7.5</f>
        <v>7.5</v>
      </c>
      <c r="U190">
        <f>380</f>
        <v>380</v>
      </c>
      <c r="X190">
        <f>0</f>
        <v>0</v>
      </c>
      <c r="Y190" t="s">
        <v>180</v>
      </c>
      <c r="Z190">
        <f>0</f>
        <v>0</v>
      </c>
      <c r="AA190">
        <f>35</f>
        <v>35</v>
      </c>
      <c r="AB190">
        <f>0</f>
        <v>0</v>
      </c>
      <c r="AD190">
        <f>0</f>
        <v>0</v>
      </c>
      <c r="AE190">
        <f>0</f>
        <v>0</v>
      </c>
      <c r="AG190" t="s">
        <v>180</v>
      </c>
    </row>
    <row r="191" spans="1:157" x14ac:dyDescent="0.25">
      <c r="A191" t="s">
        <v>921</v>
      </c>
      <c r="B191" t="s">
        <v>170</v>
      </c>
      <c r="C191" s="1">
        <v>46087</v>
      </c>
      <c r="D191" t="s">
        <v>184</v>
      </c>
      <c r="E191" t="s">
        <v>185</v>
      </c>
      <c r="F191" t="s">
        <v>384</v>
      </c>
      <c r="G191" t="s">
        <v>922</v>
      </c>
      <c r="H191">
        <v>1506</v>
      </c>
      <c r="I191" t="s">
        <v>922</v>
      </c>
      <c r="J191">
        <v>4640</v>
      </c>
      <c r="K191" t="s">
        <v>4492</v>
      </c>
      <c r="L191" t="s">
        <v>266</v>
      </c>
      <c r="M191" t="s">
        <v>3909</v>
      </c>
      <c r="N191" t="s">
        <v>4579</v>
      </c>
      <c r="O191" t="s">
        <v>923</v>
      </c>
      <c r="R191">
        <f>1</f>
        <v>1</v>
      </c>
      <c r="S191">
        <f>11.9</f>
        <v>11.9</v>
      </c>
      <c r="T191">
        <f>7.1</f>
        <v>7.1</v>
      </c>
      <c r="U191">
        <f>554</f>
        <v>554</v>
      </c>
      <c r="W191">
        <f>0.16</f>
        <v>0.16</v>
      </c>
      <c r="X191">
        <f>0</f>
        <v>0</v>
      </c>
      <c r="Y191" t="s">
        <v>180</v>
      </c>
      <c r="Z191">
        <f>0</f>
        <v>0</v>
      </c>
      <c r="AA191" t="s">
        <v>179</v>
      </c>
      <c r="AB191" t="s">
        <v>179</v>
      </c>
      <c r="AD191">
        <f>0</f>
        <v>0</v>
      </c>
      <c r="AE191">
        <f>0</f>
        <v>0</v>
      </c>
      <c r="AG191" t="s">
        <v>180</v>
      </c>
    </row>
    <row r="192" spans="1:157" x14ac:dyDescent="0.25">
      <c r="A192" t="s">
        <v>924</v>
      </c>
      <c r="B192" t="s">
        <v>170</v>
      </c>
      <c r="C192" s="1">
        <v>46079</v>
      </c>
      <c r="D192" t="s">
        <v>184</v>
      </c>
      <c r="E192" t="s">
        <v>448</v>
      </c>
      <c r="F192" t="s">
        <v>3329</v>
      </c>
      <c r="G192" t="s">
        <v>3910</v>
      </c>
      <c r="H192">
        <v>1071</v>
      </c>
      <c r="I192" t="s">
        <v>3910</v>
      </c>
      <c r="J192">
        <v>1678</v>
      </c>
      <c r="K192" t="s">
        <v>4492</v>
      </c>
      <c r="L192" t="s">
        <v>266</v>
      </c>
      <c r="M192" t="s">
        <v>925</v>
      </c>
      <c r="N192" t="s">
        <v>926</v>
      </c>
      <c r="O192" t="s">
        <v>927</v>
      </c>
      <c r="R192">
        <f>1</f>
        <v>1</v>
      </c>
      <c r="S192">
        <f>7.9</f>
        <v>7.9</v>
      </c>
      <c r="T192">
        <f>7.5</f>
        <v>7.5</v>
      </c>
      <c r="U192">
        <f>467</f>
        <v>467</v>
      </c>
      <c r="V192">
        <f>0.11</f>
        <v>0.11</v>
      </c>
      <c r="X192">
        <f>1</f>
        <v>1</v>
      </c>
      <c r="Y192" t="s">
        <v>180</v>
      </c>
      <c r="Z192">
        <f>0</f>
        <v>0</v>
      </c>
      <c r="AA192" t="s">
        <v>179</v>
      </c>
      <c r="AB192" t="s">
        <v>179</v>
      </c>
      <c r="AD192">
        <f>0</f>
        <v>0</v>
      </c>
      <c r="AE192">
        <f>0</f>
        <v>0</v>
      </c>
      <c r="AG192" t="s">
        <v>180</v>
      </c>
    </row>
    <row r="193" spans="1:81" x14ac:dyDescent="0.25">
      <c r="A193" t="s">
        <v>928</v>
      </c>
      <c r="B193" t="s">
        <v>170</v>
      </c>
      <c r="C193" s="1">
        <v>46086</v>
      </c>
      <c r="D193" t="s">
        <v>184</v>
      </c>
      <c r="E193" t="s">
        <v>185</v>
      </c>
      <c r="F193" t="s">
        <v>684</v>
      </c>
      <c r="G193" t="s">
        <v>685</v>
      </c>
      <c r="H193">
        <v>175</v>
      </c>
      <c r="I193" t="s">
        <v>685</v>
      </c>
      <c r="J193">
        <v>4798</v>
      </c>
      <c r="K193" t="s">
        <v>4492</v>
      </c>
      <c r="L193" t="s">
        <v>266</v>
      </c>
      <c r="M193" t="s">
        <v>4580</v>
      </c>
      <c r="N193" t="s">
        <v>4581</v>
      </c>
      <c r="O193" t="s">
        <v>929</v>
      </c>
      <c r="Q193" t="s">
        <v>257</v>
      </c>
      <c r="R193">
        <f>1</f>
        <v>1</v>
      </c>
      <c r="S193">
        <f>9.6</f>
        <v>9.6</v>
      </c>
      <c r="T193">
        <f>7.7</f>
        <v>7.7</v>
      </c>
      <c r="U193">
        <f>321</f>
        <v>321</v>
      </c>
      <c r="V193">
        <f>0.09</f>
        <v>0.09</v>
      </c>
      <c r="X193">
        <f>0</f>
        <v>0</v>
      </c>
      <c r="Y193" t="s">
        <v>180</v>
      </c>
      <c r="Z193">
        <f>0</f>
        <v>0</v>
      </c>
      <c r="AA193">
        <f>0</f>
        <v>0</v>
      </c>
      <c r="AB193">
        <f>0</f>
        <v>0</v>
      </c>
      <c r="AD193">
        <f>0</f>
        <v>0</v>
      </c>
      <c r="AE193">
        <f>0</f>
        <v>0</v>
      </c>
      <c r="AG193" t="s">
        <v>180</v>
      </c>
    </row>
    <row r="194" spans="1:81" x14ac:dyDescent="0.25">
      <c r="A194" t="s">
        <v>930</v>
      </c>
      <c r="B194" t="s">
        <v>170</v>
      </c>
      <c r="C194" s="1">
        <v>46120</v>
      </c>
      <c r="D194" t="s">
        <v>184</v>
      </c>
      <c r="E194" t="s">
        <v>546</v>
      </c>
      <c r="F194" t="s">
        <v>638</v>
      </c>
      <c r="G194" t="s">
        <v>639</v>
      </c>
      <c r="H194">
        <v>128</v>
      </c>
      <c r="I194" t="s">
        <v>931</v>
      </c>
      <c r="J194">
        <v>2490</v>
      </c>
      <c r="K194" t="s">
        <v>4492</v>
      </c>
      <c r="L194" t="s">
        <v>266</v>
      </c>
      <c r="M194" t="s">
        <v>932</v>
      </c>
      <c r="N194" t="s">
        <v>933</v>
      </c>
      <c r="O194" t="s">
        <v>934</v>
      </c>
      <c r="R194">
        <f>1</f>
        <v>1</v>
      </c>
      <c r="S194">
        <f>12.1</f>
        <v>12.1</v>
      </c>
      <c r="T194">
        <f>7.6</f>
        <v>7.6</v>
      </c>
      <c r="U194">
        <f>314</f>
        <v>314</v>
      </c>
      <c r="V194">
        <f>0.21</f>
        <v>0.21</v>
      </c>
      <c r="X194">
        <f>0</f>
        <v>0</v>
      </c>
      <c r="Y194">
        <f>0.2</f>
        <v>0.2</v>
      </c>
      <c r="Z194">
        <f>0</f>
        <v>0</v>
      </c>
      <c r="AA194" t="s">
        <v>179</v>
      </c>
      <c r="AB194" t="s">
        <v>179</v>
      </c>
      <c r="AD194">
        <f>0</f>
        <v>0</v>
      </c>
      <c r="AE194">
        <f>0</f>
        <v>0</v>
      </c>
      <c r="AG194" t="s">
        <v>180</v>
      </c>
    </row>
    <row r="195" spans="1:81" x14ac:dyDescent="0.25">
      <c r="A195" t="s">
        <v>935</v>
      </c>
      <c r="B195" t="s">
        <v>170</v>
      </c>
      <c r="C195" s="1">
        <v>46097</v>
      </c>
      <c r="D195" t="s">
        <v>222</v>
      </c>
      <c r="E195" t="s">
        <v>223</v>
      </c>
      <c r="F195" t="s">
        <v>509</v>
      </c>
      <c r="G195" t="s">
        <v>4247</v>
      </c>
      <c r="H195">
        <v>1652</v>
      </c>
      <c r="I195" t="s">
        <v>4292</v>
      </c>
      <c r="J195">
        <v>1160</v>
      </c>
      <c r="K195" t="s">
        <v>4492</v>
      </c>
      <c r="L195" t="s">
        <v>369</v>
      </c>
      <c r="M195" t="s">
        <v>4582</v>
      </c>
      <c r="N195" t="s">
        <v>3330</v>
      </c>
      <c r="O195" t="s">
        <v>936</v>
      </c>
      <c r="R195">
        <f>1</f>
        <v>1</v>
      </c>
      <c r="S195">
        <f>11.2</f>
        <v>11.2</v>
      </c>
      <c r="T195">
        <f>7.6</f>
        <v>7.6</v>
      </c>
      <c r="U195">
        <f>341</f>
        <v>341</v>
      </c>
      <c r="V195">
        <f>0.19</f>
        <v>0.19</v>
      </c>
      <c r="X195">
        <f>1</f>
        <v>1</v>
      </c>
      <c r="Y195">
        <f>0.21</f>
        <v>0.21</v>
      </c>
      <c r="Z195">
        <f>0</f>
        <v>0</v>
      </c>
      <c r="AA195" t="s">
        <v>179</v>
      </c>
      <c r="AB195" t="s">
        <v>179</v>
      </c>
      <c r="AD195">
        <f>0</f>
        <v>0</v>
      </c>
      <c r="AE195">
        <f>0</f>
        <v>0</v>
      </c>
      <c r="AG195" t="s">
        <v>180</v>
      </c>
    </row>
    <row r="196" spans="1:81" x14ac:dyDescent="0.25">
      <c r="A196" t="s">
        <v>937</v>
      </c>
      <c r="B196" t="s">
        <v>170</v>
      </c>
      <c r="C196" s="1">
        <v>46090</v>
      </c>
      <c r="D196" t="s">
        <v>302</v>
      </c>
      <c r="E196" t="s">
        <v>303</v>
      </c>
      <c r="F196" t="s">
        <v>938</v>
      </c>
      <c r="G196" t="s">
        <v>939</v>
      </c>
      <c r="H196">
        <v>906</v>
      </c>
      <c r="I196" t="s">
        <v>940</v>
      </c>
      <c r="J196">
        <v>1234</v>
      </c>
      <c r="K196" t="s">
        <v>4492</v>
      </c>
      <c r="L196" t="s">
        <v>3331</v>
      </c>
      <c r="M196" t="s">
        <v>941</v>
      </c>
      <c r="N196" t="s">
        <v>3332</v>
      </c>
      <c r="O196" t="s">
        <v>942</v>
      </c>
      <c r="R196">
        <f>1</f>
        <v>1</v>
      </c>
      <c r="S196">
        <f>9.7</f>
        <v>9.6999999999999993</v>
      </c>
      <c r="T196">
        <f>7.8</f>
        <v>7.8</v>
      </c>
      <c r="U196">
        <f>279</f>
        <v>279</v>
      </c>
      <c r="X196">
        <f>0</f>
        <v>0</v>
      </c>
      <c r="Y196" t="s">
        <v>180</v>
      </c>
      <c r="Z196">
        <f>0</f>
        <v>0</v>
      </c>
      <c r="AA196" t="s">
        <v>179</v>
      </c>
      <c r="AB196" t="s">
        <v>179</v>
      </c>
      <c r="AD196">
        <f>0</f>
        <v>0</v>
      </c>
      <c r="AE196">
        <f>0</f>
        <v>0</v>
      </c>
      <c r="AG196" t="s">
        <v>180</v>
      </c>
    </row>
    <row r="197" spans="1:81" x14ac:dyDescent="0.25">
      <c r="A197" t="s">
        <v>943</v>
      </c>
      <c r="B197" t="s">
        <v>170</v>
      </c>
      <c r="C197" s="1">
        <v>46087</v>
      </c>
      <c r="D197" t="s">
        <v>251</v>
      </c>
      <c r="E197" t="s">
        <v>252</v>
      </c>
      <c r="F197" t="s">
        <v>280</v>
      </c>
      <c r="G197" t="s">
        <v>3911</v>
      </c>
      <c r="H197">
        <v>61</v>
      </c>
      <c r="I197" t="s">
        <v>3911</v>
      </c>
      <c r="J197">
        <v>436</v>
      </c>
      <c r="K197" t="s">
        <v>4494</v>
      </c>
      <c r="L197" t="s">
        <v>369</v>
      </c>
      <c r="M197" t="s">
        <v>3333</v>
      </c>
      <c r="N197" t="s">
        <v>4583</v>
      </c>
      <c r="O197" t="s">
        <v>944</v>
      </c>
      <c r="Q197" t="s">
        <v>3472</v>
      </c>
      <c r="R197">
        <f>1</f>
        <v>1</v>
      </c>
      <c r="S197">
        <f>8.9</f>
        <v>8.9</v>
      </c>
      <c r="T197">
        <f>7.9</f>
        <v>7.9</v>
      </c>
      <c r="U197">
        <f>279</f>
        <v>279</v>
      </c>
      <c r="V197" t="s">
        <v>258</v>
      </c>
      <c r="X197">
        <f>0</f>
        <v>0</v>
      </c>
      <c r="Y197">
        <f>0.14</f>
        <v>0.14000000000000001</v>
      </c>
      <c r="Z197">
        <f>0</f>
        <v>0</v>
      </c>
      <c r="AA197">
        <f>1</f>
        <v>1</v>
      </c>
      <c r="AB197">
        <f>3</f>
        <v>3</v>
      </c>
      <c r="AC197">
        <f>0</f>
        <v>0</v>
      </c>
      <c r="AD197">
        <f>0</f>
        <v>0</v>
      </c>
      <c r="AE197">
        <f>0</f>
        <v>0</v>
      </c>
      <c r="AG197" t="s">
        <v>180</v>
      </c>
    </row>
    <row r="198" spans="1:81" x14ac:dyDescent="0.25">
      <c r="A198" t="s">
        <v>945</v>
      </c>
      <c r="B198" t="s">
        <v>170</v>
      </c>
      <c r="C198" s="1">
        <v>46083</v>
      </c>
      <c r="D198" t="s">
        <v>251</v>
      </c>
      <c r="E198" t="s">
        <v>185</v>
      </c>
      <c r="F198" t="s">
        <v>946</v>
      </c>
      <c r="G198" t="s">
        <v>947</v>
      </c>
      <c r="H198">
        <v>1663</v>
      </c>
      <c r="I198" t="s">
        <v>948</v>
      </c>
      <c r="J198">
        <v>430</v>
      </c>
      <c r="K198" t="s">
        <v>3334</v>
      </c>
      <c r="L198" t="s">
        <v>3567</v>
      </c>
      <c r="M198" t="s">
        <v>4293</v>
      </c>
      <c r="N198" t="s">
        <v>949</v>
      </c>
      <c r="O198" t="s">
        <v>950</v>
      </c>
      <c r="Q198" t="s">
        <v>3472</v>
      </c>
      <c r="R198">
        <f>1</f>
        <v>1</v>
      </c>
      <c r="S198">
        <f>9.8</f>
        <v>9.8000000000000007</v>
      </c>
      <c r="T198">
        <f>7.9</f>
        <v>7.9</v>
      </c>
      <c r="U198">
        <f>259</f>
        <v>259</v>
      </c>
      <c r="X198">
        <f>0</f>
        <v>0</v>
      </c>
      <c r="Y198">
        <f>0.24</f>
        <v>0.24</v>
      </c>
      <c r="Z198">
        <f>0</f>
        <v>0</v>
      </c>
      <c r="AA198">
        <f>0</f>
        <v>0</v>
      </c>
      <c r="AB198">
        <f>0</f>
        <v>0</v>
      </c>
      <c r="AC198">
        <f>0</f>
        <v>0</v>
      </c>
      <c r="AD198">
        <f>0</f>
        <v>0</v>
      </c>
      <c r="AE198">
        <f>0</f>
        <v>0</v>
      </c>
      <c r="AG198" t="s">
        <v>180</v>
      </c>
      <c r="AH198" t="s">
        <v>284</v>
      </c>
      <c r="AK198" t="s">
        <v>285</v>
      </c>
      <c r="AL198" t="s">
        <v>286</v>
      </c>
      <c r="AM198">
        <f>4.6</f>
        <v>4.5999999999999996</v>
      </c>
      <c r="AN198">
        <f>0.092</f>
        <v>9.1999999999999998E-2</v>
      </c>
      <c r="AO198">
        <f>3.3</f>
        <v>3.3</v>
      </c>
      <c r="AP198" t="s">
        <v>284</v>
      </c>
      <c r="AQ198" t="s">
        <v>284</v>
      </c>
      <c r="CC198" t="s">
        <v>284</v>
      </c>
    </row>
    <row r="199" spans="1:81" x14ac:dyDescent="0.25">
      <c r="A199" t="s">
        <v>951</v>
      </c>
      <c r="B199" t="s">
        <v>170</v>
      </c>
      <c r="C199" s="1">
        <v>46112</v>
      </c>
      <c r="D199" t="s">
        <v>251</v>
      </c>
      <c r="E199" t="s">
        <v>185</v>
      </c>
      <c r="F199" t="s">
        <v>952</v>
      </c>
      <c r="G199" t="s">
        <v>953</v>
      </c>
      <c r="H199">
        <v>1667</v>
      </c>
      <c r="I199" t="s">
        <v>954</v>
      </c>
      <c r="J199">
        <v>470</v>
      </c>
      <c r="K199" t="s">
        <v>3334</v>
      </c>
      <c r="L199" t="s">
        <v>266</v>
      </c>
      <c r="M199" t="s">
        <v>4584</v>
      </c>
      <c r="N199" t="s">
        <v>955</v>
      </c>
      <c r="O199" t="s">
        <v>956</v>
      </c>
      <c r="Q199" t="s">
        <v>257</v>
      </c>
      <c r="R199">
        <f>1</f>
        <v>1</v>
      </c>
      <c r="S199">
        <f>8.2</f>
        <v>8.1999999999999993</v>
      </c>
      <c r="T199">
        <f>7.9</f>
        <v>7.9</v>
      </c>
      <c r="U199">
        <f>204</f>
        <v>204</v>
      </c>
      <c r="V199">
        <f>0.15</f>
        <v>0.15</v>
      </c>
      <c r="X199">
        <f>0</f>
        <v>0</v>
      </c>
      <c r="Y199" t="s">
        <v>180</v>
      </c>
      <c r="Z199">
        <f>0</f>
        <v>0</v>
      </c>
      <c r="AA199">
        <f>0</f>
        <v>0</v>
      </c>
      <c r="AB199">
        <f>0</f>
        <v>0</v>
      </c>
      <c r="AC199">
        <f>0</f>
        <v>0</v>
      </c>
      <c r="AD199">
        <f>0</f>
        <v>0</v>
      </c>
      <c r="AE199">
        <f>0</f>
        <v>0</v>
      </c>
      <c r="AG199" t="s">
        <v>180</v>
      </c>
      <c r="AH199" t="s">
        <v>284</v>
      </c>
      <c r="AK199" t="s">
        <v>285</v>
      </c>
      <c r="AM199">
        <f>4.4</f>
        <v>4.4000000000000004</v>
      </c>
      <c r="AO199">
        <f>5.2</f>
        <v>5.2</v>
      </c>
      <c r="AP199">
        <f>1.1</f>
        <v>1.1000000000000001</v>
      </c>
      <c r="AQ199" t="s">
        <v>284</v>
      </c>
    </row>
    <row r="200" spans="1:81" x14ac:dyDescent="0.25">
      <c r="A200" t="s">
        <v>957</v>
      </c>
      <c r="B200" t="s">
        <v>170</v>
      </c>
      <c r="C200" s="1">
        <v>46134</v>
      </c>
      <c r="D200" t="s">
        <v>216</v>
      </c>
      <c r="E200" t="s">
        <v>217</v>
      </c>
      <c r="F200" t="s">
        <v>368</v>
      </c>
      <c r="G200" t="s">
        <v>958</v>
      </c>
      <c r="H200">
        <v>249</v>
      </c>
      <c r="I200" t="s">
        <v>958</v>
      </c>
      <c r="J200">
        <v>315</v>
      </c>
      <c r="K200" t="s">
        <v>4494</v>
      </c>
      <c r="L200" t="s">
        <v>266</v>
      </c>
      <c r="M200" t="s">
        <v>959</v>
      </c>
      <c r="N200" t="s">
        <v>960</v>
      </c>
      <c r="O200" t="s">
        <v>961</v>
      </c>
      <c r="R200">
        <f>1</f>
        <v>1</v>
      </c>
      <c r="S200">
        <f>11.4</f>
        <v>11.4</v>
      </c>
      <c r="T200">
        <f>8</f>
        <v>8</v>
      </c>
      <c r="U200">
        <f>252</f>
        <v>252</v>
      </c>
      <c r="V200">
        <f>0.07</f>
        <v>7.0000000000000007E-2</v>
      </c>
      <c r="X200">
        <f>1</f>
        <v>1</v>
      </c>
      <c r="Y200">
        <f>0.01</f>
        <v>0.01</v>
      </c>
      <c r="Z200">
        <f>0</f>
        <v>0</v>
      </c>
      <c r="AA200">
        <f>1</f>
        <v>1</v>
      </c>
      <c r="AB200">
        <f>0</f>
        <v>0</v>
      </c>
      <c r="AC200">
        <f>0</f>
        <v>0</v>
      </c>
      <c r="AD200">
        <f>0</f>
        <v>0</v>
      </c>
      <c r="AE200">
        <f>0</f>
        <v>0</v>
      </c>
      <c r="AG200" t="s">
        <v>220</v>
      </c>
    </row>
    <row r="201" spans="1:81" x14ac:dyDescent="0.25">
      <c r="A201" t="s">
        <v>962</v>
      </c>
      <c r="B201" t="s">
        <v>170</v>
      </c>
      <c r="C201" s="1">
        <v>46106</v>
      </c>
      <c r="D201" t="s">
        <v>184</v>
      </c>
      <c r="E201" t="s">
        <v>185</v>
      </c>
      <c r="F201" t="s">
        <v>963</v>
      </c>
      <c r="G201" t="s">
        <v>4294</v>
      </c>
      <c r="H201">
        <v>1688</v>
      </c>
      <c r="I201" t="s">
        <v>4294</v>
      </c>
      <c r="J201">
        <v>2568</v>
      </c>
      <c r="K201" t="s">
        <v>4492</v>
      </c>
      <c r="L201" t="s">
        <v>291</v>
      </c>
      <c r="M201" t="s">
        <v>4585</v>
      </c>
      <c r="N201" t="s">
        <v>4586</v>
      </c>
      <c r="O201" t="s">
        <v>964</v>
      </c>
      <c r="R201">
        <f>1</f>
        <v>1</v>
      </c>
      <c r="S201">
        <f>10.7</f>
        <v>10.7</v>
      </c>
      <c r="T201">
        <f>7.5</f>
        <v>7.5</v>
      </c>
      <c r="U201">
        <f>528</f>
        <v>528</v>
      </c>
      <c r="X201">
        <f>1</f>
        <v>1</v>
      </c>
      <c r="Y201" t="s">
        <v>180</v>
      </c>
      <c r="Z201">
        <f>0</f>
        <v>0</v>
      </c>
      <c r="AA201" t="s">
        <v>179</v>
      </c>
      <c r="AB201" t="s">
        <v>179</v>
      </c>
      <c r="AD201">
        <f>0</f>
        <v>0</v>
      </c>
      <c r="AE201">
        <f>0</f>
        <v>0</v>
      </c>
      <c r="AG201" t="s">
        <v>180</v>
      </c>
      <c r="AH201" t="s">
        <v>193</v>
      </c>
      <c r="AK201" t="s">
        <v>181</v>
      </c>
      <c r="AL201" t="s">
        <v>182</v>
      </c>
      <c r="AM201">
        <f>3.1</f>
        <v>3.1</v>
      </c>
      <c r="AN201">
        <f>0.06</f>
        <v>0.06</v>
      </c>
      <c r="AO201">
        <f>4.5</f>
        <v>4.5</v>
      </c>
      <c r="AP201">
        <f>9.3</f>
        <v>9.3000000000000007</v>
      </c>
      <c r="AQ201" t="s">
        <v>180</v>
      </c>
    </row>
    <row r="202" spans="1:81" x14ac:dyDescent="0.25">
      <c r="A202" t="s">
        <v>965</v>
      </c>
      <c r="B202" t="s">
        <v>170</v>
      </c>
      <c r="C202" s="1">
        <v>46084</v>
      </c>
      <c r="D202" t="s">
        <v>222</v>
      </c>
      <c r="E202" t="s">
        <v>260</v>
      </c>
      <c r="F202" t="s">
        <v>3579</v>
      </c>
      <c r="G202" t="s">
        <v>966</v>
      </c>
      <c r="H202">
        <v>838</v>
      </c>
      <c r="I202" t="s">
        <v>966</v>
      </c>
      <c r="J202">
        <v>544</v>
      </c>
      <c r="K202" t="s">
        <v>4492</v>
      </c>
      <c r="L202" t="s">
        <v>3303</v>
      </c>
      <c r="M202" t="s">
        <v>967</v>
      </c>
      <c r="N202" t="s">
        <v>3335</v>
      </c>
      <c r="O202" t="s">
        <v>968</v>
      </c>
      <c r="Q202" t="s">
        <v>969</v>
      </c>
      <c r="R202">
        <f>1</f>
        <v>1</v>
      </c>
      <c r="S202">
        <f>10.8</f>
        <v>10.8</v>
      </c>
      <c r="T202">
        <f>7.6</f>
        <v>7.6</v>
      </c>
      <c r="U202">
        <f>534</f>
        <v>534</v>
      </c>
      <c r="V202">
        <f>0.17</f>
        <v>0.17</v>
      </c>
      <c r="X202">
        <f>0</f>
        <v>0</v>
      </c>
      <c r="Y202">
        <f>0.22</f>
        <v>0.22</v>
      </c>
      <c r="Z202">
        <f>0</f>
        <v>0</v>
      </c>
      <c r="AA202" t="s">
        <v>179</v>
      </c>
      <c r="AB202" t="s">
        <v>179</v>
      </c>
      <c r="AD202">
        <f>0</f>
        <v>0</v>
      </c>
      <c r="AE202">
        <f>0</f>
        <v>0</v>
      </c>
      <c r="AG202" t="s">
        <v>220</v>
      </c>
    </row>
    <row r="203" spans="1:81" x14ac:dyDescent="0.25">
      <c r="A203" t="s">
        <v>970</v>
      </c>
      <c r="B203" t="s">
        <v>170</v>
      </c>
      <c r="C203" s="1">
        <v>46133</v>
      </c>
      <c r="D203" t="s">
        <v>251</v>
      </c>
      <c r="E203" t="s">
        <v>252</v>
      </c>
      <c r="F203" t="s">
        <v>758</v>
      </c>
      <c r="G203" t="s">
        <v>971</v>
      </c>
      <c r="H203">
        <v>75</v>
      </c>
      <c r="I203" t="s">
        <v>971</v>
      </c>
      <c r="J203">
        <v>622</v>
      </c>
      <c r="K203" t="s">
        <v>4492</v>
      </c>
      <c r="L203" t="s">
        <v>3567</v>
      </c>
      <c r="M203" t="s">
        <v>3580</v>
      </c>
      <c r="N203" t="s">
        <v>972</v>
      </c>
      <c r="O203" t="s">
        <v>973</v>
      </c>
      <c r="Q203" t="s">
        <v>3482</v>
      </c>
      <c r="R203">
        <f>1</f>
        <v>1</v>
      </c>
      <c r="S203">
        <f>11.9</f>
        <v>11.9</v>
      </c>
      <c r="T203">
        <f>8</f>
        <v>8</v>
      </c>
      <c r="U203">
        <f>332</f>
        <v>332</v>
      </c>
      <c r="X203">
        <f>0</f>
        <v>0</v>
      </c>
      <c r="Y203">
        <f>0.11</f>
        <v>0.11</v>
      </c>
      <c r="Z203">
        <f>0</f>
        <v>0</v>
      </c>
      <c r="AA203">
        <f>0</f>
        <v>0</v>
      </c>
      <c r="AB203">
        <f>0</f>
        <v>0</v>
      </c>
      <c r="AD203">
        <f>0</f>
        <v>0</v>
      </c>
      <c r="AE203">
        <f>0</f>
        <v>0</v>
      </c>
      <c r="AG203" t="s">
        <v>180</v>
      </c>
    </row>
    <row r="204" spans="1:81" x14ac:dyDescent="0.25">
      <c r="A204" t="s">
        <v>974</v>
      </c>
      <c r="B204" t="s">
        <v>170</v>
      </c>
      <c r="C204" s="1">
        <v>46083</v>
      </c>
      <c r="D204" t="s">
        <v>238</v>
      </c>
      <c r="E204" t="s">
        <v>239</v>
      </c>
      <c r="F204" t="s">
        <v>240</v>
      </c>
      <c r="G204" t="s">
        <v>975</v>
      </c>
      <c r="H204">
        <v>185</v>
      </c>
      <c r="I204" t="s">
        <v>975</v>
      </c>
      <c r="J204">
        <v>1204</v>
      </c>
      <c r="K204" t="s">
        <v>4494</v>
      </c>
      <c r="L204" t="s">
        <v>593</v>
      </c>
      <c r="M204" t="s">
        <v>4587</v>
      </c>
      <c r="N204" t="s">
        <v>3912</v>
      </c>
      <c r="R204">
        <f>1</f>
        <v>1</v>
      </c>
      <c r="S204">
        <f>8</f>
        <v>8</v>
      </c>
      <c r="T204">
        <f>8.1</f>
        <v>8.1</v>
      </c>
      <c r="U204">
        <f>402</f>
        <v>402</v>
      </c>
      <c r="V204">
        <f>0.12</f>
        <v>0.12</v>
      </c>
      <c r="X204">
        <f>0</f>
        <v>0</v>
      </c>
      <c r="Y204">
        <f>0.39</f>
        <v>0.39</v>
      </c>
      <c r="Z204">
        <f>0</f>
        <v>0</v>
      </c>
      <c r="AA204" t="s">
        <v>179</v>
      </c>
      <c r="AB204" t="s">
        <v>179</v>
      </c>
      <c r="AC204">
        <f>0</f>
        <v>0</v>
      </c>
      <c r="AD204">
        <f>0</f>
        <v>0</v>
      </c>
      <c r="AE204">
        <f>0</f>
        <v>0</v>
      </c>
      <c r="AG204" t="s">
        <v>220</v>
      </c>
    </row>
    <row r="205" spans="1:81" x14ac:dyDescent="0.25">
      <c r="A205" t="s">
        <v>976</v>
      </c>
      <c r="B205" t="s">
        <v>170</v>
      </c>
      <c r="C205" s="1">
        <v>46077</v>
      </c>
      <c r="D205" t="s">
        <v>184</v>
      </c>
      <c r="E205" t="s">
        <v>185</v>
      </c>
      <c r="F205" t="s">
        <v>384</v>
      </c>
      <c r="G205" t="s">
        <v>385</v>
      </c>
      <c r="H205">
        <v>1707</v>
      </c>
      <c r="I205" t="s">
        <v>4295</v>
      </c>
      <c r="J205">
        <v>4171</v>
      </c>
      <c r="K205" t="s">
        <v>4492</v>
      </c>
      <c r="L205" t="s">
        <v>271</v>
      </c>
      <c r="M205" t="s">
        <v>3336</v>
      </c>
      <c r="N205" t="s">
        <v>3337</v>
      </c>
      <c r="O205" t="s">
        <v>977</v>
      </c>
      <c r="R205">
        <f>1</f>
        <v>1</v>
      </c>
      <c r="S205">
        <f>11</f>
        <v>11</v>
      </c>
      <c r="T205">
        <f>7.5</f>
        <v>7.5</v>
      </c>
      <c r="U205">
        <f>525</f>
        <v>525</v>
      </c>
      <c r="X205">
        <f>0</f>
        <v>0</v>
      </c>
      <c r="Y205" t="s">
        <v>180</v>
      </c>
      <c r="Z205">
        <f>0</f>
        <v>0</v>
      </c>
      <c r="AA205" t="s">
        <v>179</v>
      </c>
      <c r="AB205" t="s">
        <v>179</v>
      </c>
      <c r="AD205">
        <f>0</f>
        <v>0</v>
      </c>
      <c r="AE205">
        <f>0</f>
        <v>0</v>
      </c>
      <c r="AG205" t="s">
        <v>180</v>
      </c>
      <c r="AH205" t="s">
        <v>193</v>
      </c>
      <c r="AK205" t="s">
        <v>181</v>
      </c>
      <c r="AL205" t="s">
        <v>182</v>
      </c>
      <c r="AM205">
        <f>19</f>
        <v>19</v>
      </c>
      <c r="AN205">
        <f>0.38</f>
        <v>0.38</v>
      </c>
      <c r="AO205">
        <f>15</f>
        <v>15</v>
      </c>
      <c r="AP205">
        <f>37</f>
        <v>37</v>
      </c>
      <c r="AQ205" t="s">
        <v>180</v>
      </c>
    </row>
    <row r="206" spans="1:81" x14ac:dyDescent="0.25">
      <c r="A206" t="s">
        <v>978</v>
      </c>
      <c r="B206" t="s">
        <v>170</v>
      </c>
      <c r="C206" s="1">
        <v>46080</v>
      </c>
      <c r="D206" t="s">
        <v>302</v>
      </c>
      <c r="E206" t="s">
        <v>303</v>
      </c>
      <c r="F206" t="s">
        <v>3338</v>
      </c>
      <c r="G206" t="s">
        <v>979</v>
      </c>
      <c r="H206">
        <v>1802</v>
      </c>
      <c r="I206" t="s">
        <v>980</v>
      </c>
      <c r="J206">
        <v>375</v>
      </c>
      <c r="K206" t="s">
        <v>4494</v>
      </c>
      <c r="L206" t="s">
        <v>3331</v>
      </c>
      <c r="M206" t="s">
        <v>3913</v>
      </c>
      <c r="N206" t="s">
        <v>3339</v>
      </c>
      <c r="O206" t="s">
        <v>981</v>
      </c>
      <c r="R206">
        <f>1</f>
        <v>1</v>
      </c>
      <c r="S206">
        <f>7.2</f>
        <v>7.2</v>
      </c>
      <c r="T206">
        <f>7.6</f>
        <v>7.6</v>
      </c>
      <c r="U206">
        <f>303</f>
        <v>303</v>
      </c>
      <c r="X206">
        <f>0</f>
        <v>0</v>
      </c>
      <c r="Y206" t="s">
        <v>180</v>
      </c>
      <c r="Z206">
        <f>0</f>
        <v>0</v>
      </c>
      <c r="AA206" t="s">
        <v>179</v>
      </c>
      <c r="AB206" t="s">
        <v>179</v>
      </c>
      <c r="AC206">
        <f>0</f>
        <v>0</v>
      </c>
      <c r="AD206">
        <f>0</f>
        <v>0</v>
      </c>
      <c r="AE206">
        <f>0</f>
        <v>0</v>
      </c>
      <c r="AG206" t="s">
        <v>180</v>
      </c>
    </row>
    <row r="207" spans="1:81" x14ac:dyDescent="0.25">
      <c r="A207" t="s">
        <v>982</v>
      </c>
      <c r="B207" t="s">
        <v>170</v>
      </c>
      <c r="C207" s="1">
        <v>46080</v>
      </c>
      <c r="D207" t="s">
        <v>302</v>
      </c>
      <c r="E207" t="s">
        <v>303</v>
      </c>
      <c r="F207" t="s">
        <v>4296</v>
      </c>
      <c r="G207" t="s">
        <v>983</v>
      </c>
      <c r="H207">
        <v>927</v>
      </c>
      <c r="I207" t="s">
        <v>984</v>
      </c>
      <c r="J207">
        <v>600</v>
      </c>
      <c r="K207" t="s">
        <v>4494</v>
      </c>
      <c r="L207" t="s">
        <v>271</v>
      </c>
      <c r="M207" t="s">
        <v>3914</v>
      </c>
      <c r="N207" t="s">
        <v>985</v>
      </c>
      <c r="R207">
        <f>1</f>
        <v>1</v>
      </c>
      <c r="S207">
        <f>9.9</f>
        <v>9.9</v>
      </c>
      <c r="T207">
        <f>7.6</f>
        <v>7.6</v>
      </c>
      <c r="U207">
        <f>318</f>
        <v>318</v>
      </c>
      <c r="X207">
        <f>0</f>
        <v>0</v>
      </c>
      <c r="Y207" t="s">
        <v>180</v>
      </c>
      <c r="Z207">
        <f>0</f>
        <v>0</v>
      </c>
      <c r="AA207" t="s">
        <v>179</v>
      </c>
      <c r="AB207" t="s">
        <v>179</v>
      </c>
      <c r="AC207">
        <f>0</f>
        <v>0</v>
      </c>
      <c r="AD207">
        <f>0</f>
        <v>0</v>
      </c>
      <c r="AE207">
        <f>0</f>
        <v>0</v>
      </c>
      <c r="AG207" t="s">
        <v>180</v>
      </c>
    </row>
    <row r="208" spans="1:81" x14ac:dyDescent="0.25">
      <c r="A208" t="s">
        <v>986</v>
      </c>
      <c r="B208" t="s">
        <v>170</v>
      </c>
      <c r="C208" s="1">
        <v>46120</v>
      </c>
      <c r="D208" t="s">
        <v>184</v>
      </c>
      <c r="E208" t="s">
        <v>546</v>
      </c>
      <c r="F208" t="s">
        <v>638</v>
      </c>
      <c r="G208" t="s">
        <v>639</v>
      </c>
      <c r="H208">
        <v>129</v>
      </c>
      <c r="I208" t="s">
        <v>987</v>
      </c>
      <c r="J208">
        <v>1253</v>
      </c>
      <c r="K208" t="s">
        <v>4492</v>
      </c>
      <c r="L208" t="s">
        <v>266</v>
      </c>
      <c r="M208" t="s">
        <v>988</v>
      </c>
      <c r="N208" t="s">
        <v>989</v>
      </c>
      <c r="R208">
        <f>1</f>
        <v>1</v>
      </c>
      <c r="S208">
        <f>11.1</f>
        <v>11.1</v>
      </c>
      <c r="T208">
        <f>7.7</f>
        <v>7.7</v>
      </c>
      <c r="U208">
        <f>333</f>
        <v>333</v>
      </c>
      <c r="V208">
        <f>0.15</f>
        <v>0.15</v>
      </c>
      <c r="X208">
        <f>0</f>
        <v>0</v>
      </c>
      <c r="Y208">
        <f>0.5</f>
        <v>0.5</v>
      </c>
      <c r="Z208">
        <f>0</f>
        <v>0</v>
      </c>
      <c r="AA208">
        <f>48</f>
        <v>48</v>
      </c>
      <c r="AB208">
        <f>45</f>
        <v>45</v>
      </c>
      <c r="AD208">
        <f>0</f>
        <v>0</v>
      </c>
      <c r="AE208">
        <f>0</f>
        <v>0</v>
      </c>
      <c r="AG208" t="s">
        <v>180</v>
      </c>
    </row>
    <row r="209" spans="1:81" x14ac:dyDescent="0.25">
      <c r="A209" t="s">
        <v>990</v>
      </c>
      <c r="B209" t="s">
        <v>170</v>
      </c>
      <c r="C209" s="1">
        <v>46077</v>
      </c>
      <c r="D209" t="s">
        <v>184</v>
      </c>
      <c r="E209" t="s">
        <v>546</v>
      </c>
      <c r="F209" t="s">
        <v>638</v>
      </c>
      <c r="G209" t="s">
        <v>639</v>
      </c>
      <c r="H209">
        <v>128</v>
      </c>
      <c r="I209" t="s">
        <v>931</v>
      </c>
      <c r="J209">
        <v>2490</v>
      </c>
      <c r="K209" t="s">
        <v>4492</v>
      </c>
      <c r="L209" t="s">
        <v>266</v>
      </c>
      <c r="M209" t="s">
        <v>991</v>
      </c>
      <c r="N209" t="s">
        <v>992</v>
      </c>
      <c r="R209">
        <f>1</f>
        <v>1</v>
      </c>
      <c r="S209">
        <f>7.3</f>
        <v>7.3</v>
      </c>
      <c r="T209">
        <f>7.8</f>
        <v>7.8</v>
      </c>
      <c r="U209">
        <f>303</f>
        <v>303</v>
      </c>
      <c r="V209">
        <f>0.43</f>
        <v>0.43</v>
      </c>
      <c r="X209">
        <f>0</f>
        <v>0</v>
      </c>
      <c r="Y209">
        <f>0.4</f>
        <v>0.4</v>
      </c>
      <c r="Z209">
        <f>0</f>
        <v>0</v>
      </c>
      <c r="AA209" t="s">
        <v>179</v>
      </c>
      <c r="AB209" t="s">
        <v>179</v>
      </c>
      <c r="AD209">
        <f>0</f>
        <v>0</v>
      </c>
      <c r="AE209">
        <f>0</f>
        <v>0</v>
      </c>
      <c r="AG209" t="s">
        <v>180</v>
      </c>
      <c r="AH209" t="s">
        <v>193</v>
      </c>
      <c r="AK209" t="s">
        <v>181</v>
      </c>
      <c r="AL209" t="s">
        <v>182</v>
      </c>
      <c r="AM209">
        <f>4.9</f>
        <v>4.9000000000000004</v>
      </c>
      <c r="AN209">
        <f>0.1</f>
        <v>0.1</v>
      </c>
      <c r="AO209">
        <f>5.3</f>
        <v>5.3</v>
      </c>
      <c r="AP209">
        <f>3.2</f>
        <v>3.2</v>
      </c>
      <c r="AQ209" t="s">
        <v>180</v>
      </c>
    </row>
    <row r="210" spans="1:81" x14ac:dyDescent="0.25">
      <c r="A210" t="s">
        <v>993</v>
      </c>
      <c r="B210" t="s">
        <v>170</v>
      </c>
      <c r="C210" s="1">
        <v>46079</v>
      </c>
      <c r="D210" t="s">
        <v>251</v>
      </c>
      <c r="E210" t="s">
        <v>252</v>
      </c>
      <c r="F210" t="s">
        <v>4241</v>
      </c>
      <c r="G210" t="s">
        <v>4588</v>
      </c>
      <c r="H210">
        <v>1620</v>
      </c>
      <c r="I210" t="s">
        <v>4589</v>
      </c>
      <c r="J210">
        <v>410</v>
      </c>
      <c r="K210" t="s">
        <v>4492</v>
      </c>
      <c r="L210" t="s">
        <v>3567</v>
      </c>
      <c r="M210" t="s">
        <v>3915</v>
      </c>
      <c r="N210" t="s">
        <v>4297</v>
      </c>
      <c r="Q210" t="s">
        <v>257</v>
      </c>
      <c r="R210">
        <f>1</f>
        <v>1</v>
      </c>
      <c r="S210">
        <f>6.6</f>
        <v>6.6</v>
      </c>
      <c r="T210">
        <f>7.9</f>
        <v>7.9</v>
      </c>
      <c r="U210">
        <f>237</f>
        <v>237</v>
      </c>
      <c r="X210">
        <f>0</f>
        <v>0</v>
      </c>
      <c r="Y210">
        <f>0.21</f>
        <v>0.21</v>
      </c>
      <c r="Z210">
        <f>0</f>
        <v>0</v>
      </c>
      <c r="AA210">
        <f>1</f>
        <v>1</v>
      </c>
      <c r="AB210">
        <f>0</f>
        <v>0</v>
      </c>
      <c r="AD210">
        <f>0</f>
        <v>0</v>
      </c>
      <c r="AE210">
        <f>0</f>
        <v>0</v>
      </c>
      <c r="AG210" t="s">
        <v>180</v>
      </c>
    </row>
    <row r="211" spans="1:81" x14ac:dyDescent="0.25">
      <c r="A211" t="s">
        <v>994</v>
      </c>
      <c r="B211" t="s">
        <v>170</v>
      </c>
      <c r="C211" s="1">
        <v>46127</v>
      </c>
      <c r="D211" t="s">
        <v>251</v>
      </c>
      <c r="E211" t="s">
        <v>252</v>
      </c>
      <c r="F211" t="s">
        <v>265</v>
      </c>
      <c r="G211" t="s">
        <v>995</v>
      </c>
      <c r="H211">
        <v>57</v>
      </c>
      <c r="I211" t="s">
        <v>996</v>
      </c>
      <c r="J211">
        <v>373</v>
      </c>
      <c r="K211" t="s">
        <v>4494</v>
      </c>
      <c r="L211" t="s">
        <v>3566</v>
      </c>
      <c r="M211" t="s">
        <v>692</v>
      </c>
      <c r="N211" t="s">
        <v>997</v>
      </c>
      <c r="Q211" t="s">
        <v>3483</v>
      </c>
      <c r="R211">
        <f>1</f>
        <v>1</v>
      </c>
      <c r="S211">
        <f>9.4</f>
        <v>9.4</v>
      </c>
      <c r="T211">
        <f>8</f>
        <v>8</v>
      </c>
      <c r="U211">
        <f>296</f>
        <v>296</v>
      </c>
      <c r="X211">
        <f>0</f>
        <v>0</v>
      </c>
      <c r="Y211" t="s">
        <v>180</v>
      </c>
      <c r="Z211">
        <f>0</f>
        <v>0</v>
      </c>
      <c r="AA211">
        <f>11</f>
        <v>11</v>
      </c>
      <c r="AB211">
        <f>0</f>
        <v>0</v>
      </c>
      <c r="AC211">
        <f>0</f>
        <v>0</v>
      </c>
      <c r="AD211">
        <f>0</f>
        <v>0</v>
      </c>
      <c r="AE211">
        <f>0</f>
        <v>0</v>
      </c>
      <c r="AG211" t="s">
        <v>180</v>
      </c>
      <c r="AH211" t="s">
        <v>284</v>
      </c>
      <c r="AK211" t="s">
        <v>285</v>
      </c>
      <c r="AL211" t="s">
        <v>286</v>
      </c>
      <c r="AM211">
        <f>2.1</f>
        <v>2.1</v>
      </c>
      <c r="AN211">
        <f>0.042</f>
        <v>4.2000000000000003E-2</v>
      </c>
      <c r="AO211">
        <f>5.9</f>
        <v>5.9</v>
      </c>
      <c r="AP211" t="s">
        <v>284</v>
      </c>
      <c r="AQ211" t="s">
        <v>284</v>
      </c>
    </row>
    <row r="212" spans="1:81" x14ac:dyDescent="0.25">
      <c r="A212" t="s">
        <v>998</v>
      </c>
      <c r="B212" t="s">
        <v>170</v>
      </c>
      <c r="C212" s="1">
        <v>46086</v>
      </c>
      <c r="D212" t="s">
        <v>251</v>
      </c>
      <c r="E212" t="s">
        <v>252</v>
      </c>
      <c r="F212" t="s">
        <v>3916</v>
      </c>
      <c r="G212" t="s">
        <v>999</v>
      </c>
      <c r="H212">
        <v>1084</v>
      </c>
      <c r="I212" t="s">
        <v>999</v>
      </c>
      <c r="J212">
        <v>380</v>
      </c>
      <c r="K212" t="s">
        <v>4492</v>
      </c>
      <c r="L212" t="s">
        <v>271</v>
      </c>
      <c r="M212" t="s">
        <v>4298</v>
      </c>
      <c r="N212" t="s">
        <v>3917</v>
      </c>
      <c r="Q212" t="s">
        <v>1000</v>
      </c>
      <c r="R212">
        <f>1</f>
        <v>1</v>
      </c>
      <c r="S212">
        <f>7.4</f>
        <v>7.4</v>
      </c>
      <c r="T212">
        <f>8.2</f>
        <v>8.1999999999999993</v>
      </c>
      <c r="U212">
        <f>271</f>
        <v>271</v>
      </c>
      <c r="X212">
        <f>0</f>
        <v>0</v>
      </c>
      <c r="Y212">
        <f>0.14</f>
        <v>0.14000000000000001</v>
      </c>
      <c r="Z212">
        <f>0</f>
        <v>0</v>
      </c>
      <c r="AA212">
        <f>4</f>
        <v>4</v>
      </c>
      <c r="AB212">
        <f>0</f>
        <v>0</v>
      </c>
      <c r="AD212">
        <f>0</f>
        <v>0</v>
      </c>
      <c r="AE212">
        <f>0</f>
        <v>0</v>
      </c>
      <c r="AG212" t="s">
        <v>180</v>
      </c>
      <c r="AH212" t="s">
        <v>284</v>
      </c>
      <c r="AK212" t="s">
        <v>285</v>
      </c>
      <c r="AL212" t="s">
        <v>286</v>
      </c>
      <c r="AM212">
        <f>5.7</f>
        <v>5.7</v>
      </c>
      <c r="AN212">
        <f>0.114</f>
        <v>0.114</v>
      </c>
      <c r="AO212">
        <f>4.7</f>
        <v>4.7</v>
      </c>
      <c r="AP212">
        <f>1.1</f>
        <v>1.1000000000000001</v>
      </c>
      <c r="AQ212" t="s">
        <v>284</v>
      </c>
    </row>
    <row r="213" spans="1:81" x14ac:dyDescent="0.25">
      <c r="A213" t="s">
        <v>1001</v>
      </c>
      <c r="B213" t="s">
        <v>170</v>
      </c>
      <c r="C213" s="1">
        <v>46094</v>
      </c>
      <c r="D213" t="s">
        <v>184</v>
      </c>
      <c r="E213" t="s">
        <v>185</v>
      </c>
      <c r="F213" t="s">
        <v>1002</v>
      </c>
      <c r="G213" t="s">
        <v>1003</v>
      </c>
      <c r="H213">
        <v>2</v>
      </c>
      <c r="I213" t="s">
        <v>1003</v>
      </c>
      <c r="J213">
        <v>450</v>
      </c>
      <c r="K213" t="s">
        <v>4492</v>
      </c>
      <c r="L213" t="s">
        <v>271</v>
      </c>
      <c r="M213" t="s">
        <v>1004</v>
      </c>
      <c r="N213" t="s">
        <v>1005</v>
      </c>
      <c r="O213" t="s">
        <v>1006</v>
      </c>
      <c r="Q213" t="s">
        <v>3484</v>
      </c>
      <c r="R213">
        <f>1</f>
        <v>1</v>
      </c>
      <c r="S213">
        <f>10.6</f>
        <v>10.6</v>
      </c>
      <c r="T213">
        <f>7.5</f>
        <v>7.5</v>
      </c>
      <c r="U213">
        <f>488</f>
        <v>488</v>
      </c>
      <c r="X213">
        <f>0</f>
        <v>0</v>
      </c>
      <c r="Y213" t="s">
        <v>180</v>
      </c>
      <c r="Z213">
        <f>0</f>
        <v>0</v>
      </c>
      <c r="AA213" t="s">
        <v>179</v>
      </c>
      <c r="AB213" t="s">
        <v>179</v>
      </c>
      <c r="AD213">
        <f>0</f>
        <v>0</v>
      </c>
      <c r="AE213">
        <f>0</f>
        <v>0</v>
      </c>
      <c r="AG213" t="s">
        <v>180</v>
      </c>
    </row>
    <row r="214" spans="1:81" x14ac:dyDescent="0.25">
      <c r="A214" t="s">
        <v>1007</v>
      </c>
      <c r="B214" t="s">
        <v>170</v>
      </c>
      <c r="C214" s="1">
        <v>46127</v>
      </c>
      <c r="D214" t="s">
        <v>171</v>
      </c>
      <c r="E214" t="s">
        <v>172</v>
      </c>
      <c r="F214" t="s">
        <v>3918</v>
      </c>
      <c r="G214" t="s">
        <v>4299</v>
      </c>
      <c r="H214">
        <v>524</v>
      </c>
      <c r="I214" t="s">
        <v>4299</v>
      </c>
      <c r="J214">
        <v>200</v>
      </c>
      <c r="K214" t="s">
        <v>4492</v>
      </c>
      <c r="L214" t="s">
        <v>271</v>
      </c>
      <c r="M214" t="s">
        <v>3581</v>
      </c>
      <c r="N214" t="s">
        <v>3919</v>
      </c>
      <c r="O214" t="s">
        <v>1008</v>
      </c>
      <c r="R214">
        <f>1</f>
        <v>1</v>
      </c>
      <c r="S214">
        <f>14.8</f>
        <v>14.8</v>
      </c>
      <c r="T214">
        <f>7.3</f>
        <v>7.3</v>
      </c>
      <c r="U214">
        <f>440</f>
        <v>440</v>
      </c>
      <c r="X214">
        <f>0</f>
        <v>0</v>
      </c>
      <c r="Y214">
        <f>0.1</f>
        <v>0.1</v>
      </c>
      <c r="Z214">
        <f>0</f>
        <v>0</v>
      </c>
      <c r="AA214" t="s">
        <v>179</v>
      </c>
      <c r="AB214" t="s">
        <v>179</v>
      </c>
      <c r="AD214">
        <f>0</f>
        <v>0</v>
      </c>
      <c r="AE214">
        <f>0</f>
        <v>0</v>
      </c>
      <c r="AG214" t="s">
        <v>180</v>
      </c>
      <c r="CC214">
        <f>0.31</f>
        <v>0.31</v>
      </c>
    </row>
    <row r="215" spans="1:81" x14ac:dyDescent="0.25">
      <c r="A215" t="s">
        <v>1009</v>
      </c>
      <c r="B215" t="s">
        <v>170</v>
      </c>
      <c r="C215" s="1">
        <v>46098</v>
      </c>
      <c r="D215" t="s">
        <v>171</v>
      </c>
      <c r="E215" t="s">
        <v>172</v>
      </c>
      <c r="F215" t="s">
        <v>173</v>
      </c>
      <c r="G215" t="s">
        <v>3920</v>
      </c>
      <c r="H215">
        <v>610</v>
      </c>
      <c r="I215" t="s">
        <v>3920</v>
      </c>
      <c r="J215">
        <v>267</v>
      </c>
      <c r="K215" t="s">
        <v>4492</v>
      </c>
      <c r="L215" t="s">
        <v>271</v>
      </c>
      <c r="M215" t="s">
        <v>4590</v>
      </c>
      <c r="N215" t="s">
        <v>4591</v>
      </c>
      <c r="O215" t="s">
        <v>1010</v>
      </c>
      <c r="R215">
        <f>1</f>
        <v>1</v>
      </c>
      <c r="S215">
        <f>9.6</f>
        <v>9.6</v>
      </c>
      <c r="T215">
        <f>7.1</f>
        <v>7.1</v>
      </c>
      <c r="U215">
        <f>240</f>
        <v>240</v>
      </c>
      <c r="X215">
        <f>0</f>
        <v>0</v>
      </c>
      <c r="Y215">
        <f>0.1</f>
        <v>0.1</v>
      </c>
      <c r="Z215">
        <f>0</f>
        <v>0</v>
      </c>
      <c r="AA215" t="s">
        <v>179</v>
      </c>
      <c r="AB215" t="s">
        <v>179</v>
      </c>
      <c r="AD215">
        <f>0</f>
        <v>0</v>
      </c>
      <c r="AE215">
        <f>0</f>
        <v>0</v>
      </c>
      <c r="AG215" t="s">
        <v>180</v>
      </c>
      <c r="AH215" t="s">
        <v>193</v>
      </c>
      <c r="AK215" t="s">
        <v>181</v>
      </c>
      <c r="AL215" t="s">
        <v>182</v>
      </c>
      <c r="AM215">
        <f>2.3</f>
        <v>2.2999999999999998</v>
      </c>
      <c r="AN215">
        <f>0.05</f>
        <v>0.05</v>
      </c>
      <c r="AO215" t="s">
        <v>284</v>
      </c>
      <c r="AP215">
        <f>1</f>
        <v>1</v>
      </c>
      <c r="AQ215">
        <f>0.11</f>
        <v>0.11</v>
      </c>
    </row>
    <row r="216" spans="1:81" x14ac:dyDescent="0.25">
      <c r="A216" t="s">
        <v>1011</v>
      </c>
      <c r="B216" t="s">
        <v>170</v>
      </c>
      <c r="C216" s="1">
        <v>46078</v>
      </c>
      <c r="D216" t="s">
        <v>184</v>
      </c>
      <c r="E216" t="s">
        <v>185</v>
      </c>
      <c r="F216" t="s">
        <v>419</v>
      </c>
      <c r="G216" t="s">
        <v>1012</v>
      </c>
      <c r="H216">
        <v>783</v>
      </c>
      <c r="I216" t="s">
        <v>1012</v>
      </c>
      <c r="J216">
        <v>406</v>
      </c>
      <c r="K216" t="s">
        <v>4494</v>
      </c>
      <c r="L216" t="s">
        <v>176</v>
      </c>
      <c r="M216" t="s">
        <v>4543</v>
      </c>
      <c r="N216" t="s">
        <v>1013</v>
      </c>
      <c r="O216" t="s">
        <v>1014</v>
      </c>
      <c r="R216">
        <f>1</f>
        <v>1</v>
      </c>
      <c r="S216">
        <f>7.6</f>
        <v>7.6</v>
      </c>
      <c r="T216">
        <f>7.5</f>
        <v>7.5</v>
      </c>
      <c r="U216">
        <f>540</f>
        <v>540</v>
      </c>
      <c r="X216">
        <f>0</f>
        <v>0</v>
      </c>
      <c r="Y216" t="s">
        <v>180</v>
      </c>
      <c r="Z216">
        <f>0</f>
        <v>0</v>
      </c>
      <c r="AA216" t="s">
        <v>179</v>
      </c>
      <c r="AB216" t="s">
        <v>179</v>
      </c>
      <c r="AC216">
        <f>0</f>
        <v>0</v>
      </c>
      <c r="AD216">
        <f>0</f>
        <v>0</v>
      </c>
      <c r="AE216">
        <f>0</f>
        <v>0</v>
      </c>
      <c r="AG216" t="s">
        <v>180</v>
      </c>
    </row>
    <row r="217" spans="1:81" x14ac:dyDescent="0.25">
      <c r="A217" t="s">
        <v>1015</v>
      </c>
      <c r="B217" t="s">
        <v>170</v>
      </c>
      <c r="C217" s="1">
        <v>46112</v>
      </c>
      <c r="D217" t="s">
        <v>184</v>
      </c>
      <c r="E217" t="s">
        <v>185</v>
      </c>
      <c r="F217" t="s">
        <v>419</v>
      </c>
      <c r="G217" t="s">
        <v>3711</v>
      </c>
      <c r="H217">
        <v>785</v>
      </c>
      <c r="I217" t="s">
        <v>3711</v>
      </c>
      <c r="J217">
        <v>375</v>
      </c>
      <c r="K217" t="s">
        <v>4492</v>
      </c>
      <c r="L217" t="s">
        <v>176</v>
      </c>
      <c r="M217" t="s">
        <v>3921</v>
      </c>
      <c r="N217" t="s">
        <v>3712</v>
      </c>
      <c r="O217" t="s">
        <v>1016</v>
      </c>
      <c r="R217">
        <f>1</f>
        <v>1</v>
      </c>
      <c r="S217">
        <f>9.9</f>
        <v>9.9</v>
      </c>
      <c r="T217">
        <f>7.5</f>
        <v>7.5</v>
      </c>
      <c r="U217">
        <f>491</f>
        <v>491</v>
      </c>
      <c r="X217">
        <f>0</f>
        <v>0</v>
      </c>
      <c r="Y217" t="s">
        <v>180</v>
      </c>
      <c r="Z217">
        <f>0</f>
        <v>0</v>
      </c>
      <c r="AA217" t="s">
        <v>179</v>
      </c>
      <c r="AB217" t="s">
        <v>179</v>
      </c>
      <c r="AD217">
        <f>0</f>
        <v>0</v>
      </c>
      <c r="AE217">
        <f>0</f>
        <v>0</v>
      </c>
      <c r="AG217" t="s">
        <v>180</v>
      </c>
    </row>
    <row r="218" spans="1:81" x14ac:dyDescent="0.25">
      <c r="A218" t="s">
        <v>1017</v>
      </c>
      <c r="B218" t="s">
        <v>170</v>
      </c>
      <c r="C218" s="1">
        <v>46121</v>
      </c>
      <c r="D218" t="s">
        <v>184</v>
      </c>
      <c r="E218" t="s">
        <v>185</v>
      </c>
      <c r="F218" t="s">
        <v>419</v>
      </c>
      <c r="G218" t="s">
        <v>1018</v>
      </c>
      <c r="H218">
        <v>787</v>
      </c>
      <c r="I218" t="s">
        <v>1018</v>
      </c>
      <c r="J218">
        <v>422</v>
      </c>
      <c r="K218" t="s">
        <v>4494</v>
      </c>
      <c r="L218" t="s">
        <v>176</v>
      </c>
      <c r="M218" t="s">
        <v>3340</v>
      </c>
      <c r="N218" t="s">
        <v>1019</v>
      </c>
      <c r="O218" t="s">
        <v>1020</v>
      </c>
      <c r="R218">
        <f>1</f>
        <v>1</v>
      </c>
      <c r="S218">
        <f>10.9</f>
        <v>10.9</v>
      </c>
      <c r="T218">
        <f>7.6</f>
        <v>7.6</v>
      </c>
      <c r="U218">
        <f>503</f>
        <v>503</v>
      </c>
      <c r="X218">
        <f>0</f>
        <v>0</v>
      </c>
      <c r="Y218" t="s">
        <v>180</v>
      </c>
      <c r="Z218">
        <f>0</f>
        <v>0</v>
      </c>
      <c r="AA218" t="s">
        <v>179</v>
      </c>
      <c r="AB218" t="s">
        <v>179</v>
      </c>
      <c r="AC218">
        <f>0</f>
        <v>0</v>
      </c>
      <c r="AD218">
        <f>0</f>
        <v>0</v>
      </c>
      <c r="AE218">
        <f>0</f>
        <v>0</v>
      </c>
      <c r="AG218" t="s">
        <v>180</v>
      </c>
      <c r="AH218">
        <f>0.6</f>
        <v>0.6</v>
      </c>
      <c r="AK218" t="s">
        <v>181</v>
      </c>
      <c r="AL218" t="s">
        <v>182</v>
      </c>
      <c r="AM218">
        <f>5.8</f>
        <v>5.8</v>
      </c>
      <c r="AN218">
        <f>0.12</f>
        <v>0.12</v>
      </c>
      <c r="AO218">
        <f>7.1</f>
        <v>7.1</v>
      </c>
      <c r="AP218">
        <f>4.8</f>
        <v>4.8</v>
      </c>
      <c r="AQ218" t="s">
        <v>180</v>
      </c>
    </row>
    <row r="219" spans="1:81" x14ac:dyDescent="0.25">
      <c r="A219" t="s">
        <v>1021</v>
      </c>
      <c r="B219" t="s">
        <v>170</v>
      </c>
      <c r="C219" s="1">
        <v>46120</v>
      </c>
      <c r="D219" t="s">
        <v>184</v>
      </c>
      <c r="E219" t="s">
        <v>185</v>
      </c>
      <c r="F219" t="s">
        <v>384</v>
      </c>
      <c r="G219" t="s">
        <v>1022</v>
      </c>
      <c r="H219">
        <v>180</v>
      </c>
      <c r="I219" t="s">
        <v>1022</v>
      </c>
      <c r="J219">
        <v>807</v>
      </c>
      <c r="K219" t="s">
        <v>4494</v>
      </c>
      <c r="L219" t="s">
        <v>4592</v>
      </c>
      <c r="M219" t="s">
        <v>4593</v>
      </c>
      <c r="N219" t="s">
        <v>1023</v>
      </c>
      <c r="O219" t="s">
        <v>1024</v>
      </c>
      <c r="R219">
        <f>1</f>
        <v>1</v>
      </c>
      <c r="S219">
        <f>9.4</f>
        <v>9.4</v>
      </c>
      <c r="T219">
        <f>8.1</f>
        <v>8.1</v>
      </c>
      <c r="U219">
        <f>424</f>
        <v>424</v>
      </c>
      <c r="W219">
        <f>0.03</f>
        <v>0.03</v>
      </c>
      <c r="X219">
        <f>0</f>
        <v>0</v>
      </c>
      <c r="Y219" t="s">
        <v>180</v>
      </c>
      <c r="Z219">
        <f>0</f>
        <v>0</v>
      </c>
      <c r="AA219" t="s">
        <v>179</v>
      </c>
      <c r="AB219" t="s">
        <v>179</v>
      </c>
      <c r="AC219">
        <f>0</f>
        <v>0</v>
      </c>
      <c r="AD219">
        <f>0</f>
        <v>0</v>
      </c>
      <c r="AE219">
        <f>0</f>
        <v>0</v>
      </c>
      <c r="AG219" t="s">
        <v>180</v>
      </c>
      <c r="BQ219" t="s">
        <v>646</v>
      </c>
    </row>
    <row r="220" spans="1:81" x14ac:dyDescent="0.25">
      <c r="A220" t="s">
        <v>1025</v>
      </c>
      <c r="B220" t="s">
        <v>170</v>
      </c>
      <c r="C220" s="1">
        <v>46085</v>
      </c>
      <c r="D220" t="s">
        <v>195</v>
      </c>
      <c r="E220" t="s">
        <v>448</v>
      </c>
      <c r="F220" t="s">
        <v>707</v>
      </c>
      <c r="G220" t="s">
        <v>1026</v>
      </c>
      <c r="H220">
        <v>792</v>
      </c>
      <c r="I220" t="s">
        <v>1027</v>
      </c>
      <c r="J220">
        <v>149</v>
      </c>
      <c r="K220" t="s">
        <v>4494</v>
      </c>
      <c r="L220" t="s">
        <v>3303</v>
      </c>
      <c r="M220" t="s">
        <v>692</v>
      </c>
      <c r="N220" t="s">
        <v>1028</v>
      </c>
      <c r="O220" t="s">
        <v>1029</v>
      </c>
      <c r="Q220" t="s">
        <v>1030</v>
      </c>
      <c r="R220">
        <f>1</f>
        <v>1</v>
      </c>
      <c r="S220">
        <f>10.7</f>
        <v>10.7</v>
      </c>
      <c r="T220">
        <f>7.8</f>
        <v>7.8</v>
      </c>
      <c r="U220">
        <f>463</f>
        <v>463</v>
      </c>
      <c r="V220">
        <f>0.27</f>
        <v>0.27</v>
      </c>
      <c r="X220">
        <f>0</f>
        <v>0</v>
      </c>
      <c r="Y220">
        <f>0.1</f>
        <v>0.1</v>
      </c>
      <c r="Z220">
        <f>0</f>
        <v>0</v>
      </c>
      <c r="AA220">
        <f>0</f>
        <v>0</v>
      </c>
      <c r="AB220">
        <f>0</f>
        <v>0</v>
      </c>
      <c r="AC220">
        <f>0</f>
        <v>0</v>
      </c>
      <c r="AD220">
        <f>0</f>
        <v>0</v>
      </c>
      <c r="AE220">
        <f>0</f>
        <v>0</v>
      </c>
      <c r="AG220" t="s">
        <v>180</v>
      </c>
      <c r="CC220">
        <f>0.52</f>
        <v>0.52</v>
      </c>
    </row>
    <row r="221" spans="1:81" x14ac:dyDescent="0.25">
      <c r="A221" t="s">
        <v>1031</v>
      </c>
      <c r="B221" t="s">
        <v>170</v>
      </c>
      <c r="C221" s="1">
        <v>46080</v>
      </c>
      <c r="D221" t="s">
        <v>195</v>
      </c>
      <c r="E221" t="s">
        <v>196</v>
      </c>
      <c r="F221" t="s">
        <v>4300</v>
      </c>
      <c r="G221" t="s">
        <v>1032</v>
      </c>
      <c r="H221">
        <v>767</v>
      </c>
      <c r="I221" t="s">
        <v>1032</v>
      </c>
      <c r="J221">
        <v>108</v>
      </c>
      <c r="K221" t="s">
        <v>4494</v>
      </c>
      <c r="L221" t="s">
        <v>593</v>
      </c>
      <c r="M221" t="s">
        <v>692</v>
      </c>
      <c r="N221" t="s">
        <v>1033</v>
      </c>
      <c r="O221" t="s">
        <v>1034</v>
      </c>
      <c r="R221">
        <f>1</f>
        <v>1</v>
      </c>
      <c r="S221">
        <f>11.4</f>
        <v>11.4</v>
      </c>
      <c r="T221">
        <f>7.8</f>
        <v>7.8</v>
      </c>
      <c r="U221">
        <f>279</f>
        <v>279</v>
      </c>
      <c r="V221">
        <f>0.17</f>
        <v>0.17</v>
      </c>
      <c r="X221">
        <f>0</f>
        <v>0</v>
      </c>
      <c r="Y221">
        <f>1.29</f>
        <v>1.29</v>
      </c>
      <c r="Z221">
        <f>0</f>
        <v>0</v>
      </c>
      <c r="AA221">
        <f>0</f>
        <v>0</v>
      </c>
      <c r="AB221">
        <f>0</f>
        <v>0</v>
      </c>
      <c r="AC221">
        <f>0</f>
        <v>0</v>
      </c>
      <c r="AD221">
        <f>0</f>
        <v>0</v>
      </c>
      <c r="AE221">
        <f>0</f>
        <v>0</v>
      </c>
      <c r="AG221" t="s">
        <v>180</v>
      </c>
      <c r="AH221">
        <f>0.74</f>
        <v>0.74</v>
      </c>
      <c r="AK221" t="s">
        <v>699</v>
      </c>
      <c r="AL221" t="s">
        <v>286</v>
      </c>
      <c r="AM221">
        <f>3.4</f>
        <v>3.4</v>
      </c>
      <c r="AN221">
        <f>0.068</f>
        <v>6.8000000000000005E-2</v>
      </c>
      <c r="AO221">
        <f>9.9</f>
        <v>9.9</v>
      </c>
      <c r="AP221">
        <f>15</f>
        <v>15</v>
      </c>
      <c r="AQ221" t="s">
        <v>192</v>
      </c>
      <c r="CC221">
        <f>0.29</f>
        <v>0.28999999999999998</v>
      </c>
    </row>
    <row r="222" spans="1:81" x14ac:dyDescent="0.25">
      <c r="A222" t="s">
        <v>1035</v>
      </c>
      <c r="B222" t="s">
        <v>170</v>
      </c>
      <c r="C222" s="1">
        <v>46083</v>
      </c>
      <c r="D222" t="s">
        <v>195</v>
      </c>
      <c r="E222" t="s">
        <v>448</v>
      </c>
      <c r="F222" t="s">
        <v>1036</v>
      </c>
      <c r="G222" t="s">
        <v>1037</v>
      </c>
      <c r="H222">
        <v>769</v>
      </c>
      <c r="I222" t="s">
        <v>1037</v>
      </c>
      <c r="J222">
        <v>62</v>
      </c>
      <c r="K222" t="s">
        <v>4494</v>
      </c>
      <c r="L222" t="s">
        <v>277</v>
      </c>
      <c r="M222" t="s">
        <v>692</v>
      </c>
      <c r="N222" t="s">
        <v>1038</v>
      </c>
      <c r="O222" t="s">
        <v>1039</v>
      </c>
      <c r="R222">
        <f>1</f>
        <v>1</v>
      </c>
      <c r="S222">
        <f>8</f>
        <v>8</v>
      </c>
      <c r="T222">
        <f>8.1</f>
        <v>8.1</v>
      </c>
      <c r="U222">
        <f>355</f>
        <v>355</v>
      </c>
      <c r="X222">
        <f>0</f>
        <v>0</v>
      </c>
      <c r="Y222">
        <f>0.02</f>
        <v>0.02</v>
      </c>
      <c r="Z222">
        <f>0</f>
        <v>0</v>
      </c>
      <c r="AA222">
        <f>2</f>
        <v>2</v>
      </c>
      <c r="AB222">
        <f>0</f>
        <v>0</v>
      </c>
      <c r="AC222">
        <f>0</f>
        <v>0</v>
      </c>
      <c r="AD222">
        <f>0</f>
        <v>0</v>
      </c>
      <c r="AE222">
        <f>0</f>
        <v>0</v>
      </c>
      <c r="AG222" t="s">
        <v>180</v>
      </c>
      <c r="AH222">
        <f>0.77</f>
        <v>0.77</v>
      </c>
      <c r="AK222" t="s">
        <v>699</v>
      </c>
      <c r="AL222" t="s">
        <v>286</v>
      </c>
      <c r="AM222">
        <f>6</f>
        <v>6</v>
      </c>
      <c r="AN222">
        <f>0.12</f>
        <v>0.12</v>
      </c>
      <c r="AO222">
        <f>2.5</f>
        <v>2.5</v>
      </c>
      <c r="AP222">
        <f>2.9</f>
        <v>2.9</v>
      </c>
      <c r="AQ222" t="s">
        <v>192</v>
      </c>
    </row>
    <row r="223" spans="1:81" x14ac:dyDescent="0.25">
      <c r="A223" t="s">
        <v>1040</v>
      </c>
      <c r="B223" t="s">
        <v>170</v>
      </c>
      <c r="C223" s="1">
        <v>46132</v>
      </c>
      <c r="D223" t="s">
        <v>195</v>
      </c>
      <c r="E223" t="s">
        <v>448</v>
      </c>
      <c r="F223" t="s">
        <v>4265</v>
      </c>
      <c r="G223" t="s">
        <v>4301</v>
      </c>
      <c r="H223">
        <v>771</v>
      </c>
      <c r="I223" t="s">
        <v>4301</v>
      </c>
      <c r="J223">
        <v>122</v>
      </c>
      <c r="K223" t="s">
        <v>4494</v>
      </c>
      <c r="L223" t="s">
        <v>271</v>
      </c>
      <c r="M223" t="s">
        <v>4302</v>
      </c>
      <c r="N223" t="s">
        <v>4303</v>
      </c>
      <c r="O223" t="s">
        <v>1041</v>
      </c>
      <c r="R223">
        <f>1</f>
        <v>1</v>
      </c>
      <c r="S223">
        <f>13.7</f>
        <v>13.7</v>
      </c>
      <c r="T223">
        <f>8</f>
        <v>8</v>
      </c>
      <c r="U223">
        <f>422</f>
        <v>422</v>
      </c>
      <c r="X223">
        <f>0</f>
        <v>0</v>
      </c>
      <c r="Y223">
        <f>0.13</f>
        <v>0.13</v>
      </c>
      <c r="Z223">
        <f>0</f>
        <v>0</v>
      </c>
      <c r="AA223">
        <f>0</f>
        <v>0</v>
      </c>
      <c r="AB223">
        <f>3</f>
        <v>3</v>
      </c>
      <c r="AC223">
        <f>0</f>
        <v>0</v>
      </c>
      <c r="AD223">
        <f>0</f>
        <v>0</v>
      </c>
      <c r="AE223">
        <f>0</f>
        <v>0</v>
      </c>
      <c r="AG223" t="s">
        <v>180</v>
      </c>
      <c r="AH223">
        <f>0.53</f>
        <v>0.53</v>
      </c>
      <c r="AK223" t="s">
        <v>699</v>
      </c>
      <c r="AL223" t="s">
        <v>286</v>
      </c>
      <c r="AM223">
        <f>2.6</f>
        <v>2.6</v>
      </c>
      <c r="AN223">
        <f>0.05</f>
        <v>0.05</v>
      </c>
      <c r="AO223">
        <f>3.2</f>
        <v>3.2</v>
      </c>
      <c r="AP223">
        <f>6.6</f>
        <v>6.6</v>
      </c>
      <c r="AQ223" t="s">
        <v>701</v>
      </c>
    </row>
    <row r="224" spans="1:81" x14ac:dyDescent="0.25">
      <c r="A224" t="s">
        <v>1042</v>
      </c>
      <c r="B224" t="s">
        <v>170</v>
      </c>
      <c r="C224" s="1">
        <v>46132</v>
      </c>
      <c r="D224" t="s">
        <v>195</v>
      </c>
      <c r="E224" t="s">
        <v>448</v>
      </c>
      <c r="F224" t="s">
        <v>707</v>
      </c>
      <c r="G224" t="s">
        <v>1043</v>
      </c>
      <c r="H224">
        <v>776</v>
      </c>
      <c r="I224" t="s">
        <v>1043</v>
      </c>
      <c r="J224">
        <v>153</v>
      </c>
      <c r="K224" t="s">
        <v>4494</v>
      </c>
      <c r="L224" t="s">
        <v>266</v>
      </c>
      <c r="M224" t="s">
        <v>692</v>
      </c>
      <c r="N224" t="s">
        <v>1044</v>
      </c>
      <c r="O224" t="s">
        <v>1045</v>
      </c>
      <c r="R224">
        <f>1</f>
        <v>1</v>
      </c>
      <c r="S224">
        <f>13.2</f>
        <v>13.2</v>
      </c>
      <c r="T224">
        <f>7.9</f>
        <v>7.9</v>
      </c>
      <c r="U224">
        <f>347</f>
        <v>347</v>
      </c>
      <c r="V224">
        <f>0.12</f>
        <v>0.12</v>
      </c>
      <c r="X224">
        <f>0</f>
        <v>0</v>
      </c>
      <c r="Y224">
        <f>0.36</f>
        <v>0.36</v>
      </c>
      <c r="Z224">
        <f>0</f>
        <v>0</v>
      </c>
      <c r="AA224">
        <f>0</f>
        <v>0</v>
      </c>
      <c r="AB224">
        <f>2</f>
        <v>2</v>
      </c>
      <c r="AC224">
        <f>0</f>
        <v>0</v>
      </c>
      <c r="AD224">
        <f>0</f>
        <v>0</v>
      </c>
      <c r="AE224">
        <f>0</f>
        <v>0</v>
      </c>
      <c r="AG224" t="s">
        <v>180</v>
      </c>
      <c r="CC224">
        <f>0.2</f>
        <v>0.2</v>
      </c>
    </row>
    <row r="225" spans="1:81" x14ac:dyDescent="0.25">
      <c r="A225" t="s">
        <v>1046</v>
      </c>
      <c r="B225" t="s">
        <v>170</v>
      </c>
      <c r="C225" s="1">
        <v>46078</v>
      </c>
      <c r="D225" t="s">
        <v>195</v>
      </c>
      <c r="E225" t="s">
        <v>196</v>
      </c>
      <c r="F225" t="s">
        <v>3857</v>
      </c>
      <c r="G225" t="s">
        <v>3922</v>
      </c>
      <c r="H225">
        <v>781</v>
      </c>
      <c r="I225" t="s">
        <v>3922</v>
      </c>
      <c r="J225">
        <v>156</v>
      </c>
      <c r="K225" t="s">
        <v>4494</v>
      </c>
      <c r="L225" t="s">
        <v>593</v>
      </c>
      <c r="M225" t="s">
        <v>692</v>
      </c>
      <c r="N225" t="s">
        <v>3923</v>
      </c>
      <c r="O225" t="s">
        <v>1047</v>
      </c>
      <c r="Q225" t="s">
        <v>4594</v>
      </c>
      <c r="R225">
        <f>1</f>
        <v>1</v>
      </c>
      <c r="S225">
        <f>8.3</f>
        <v>8.3000000000000007</v>
      </c>
      <c r="T225">
        <f>7.9</f>
        <v>7.9</v>
      </c>
      <c r="U225">
        <f>407</f>
        <v>407</v>
      </c>
      <c r="V225">
        <f>0.19</f>
        <v>0.19</v>
      </c>
      <c r="X225">
        <f>0</f>
        <v>0</v>
      </c>
      <c r="Y225">
        <f>0.13</f>
        <v>0.13</v>
      </c>
      <c r="Z225">
        <f>0</f>
        <v>0</v>
      </c>
      <c r="AA225">
        <f>3</f>
        <v>3</v>
      </c>
      <c r="AB225">
        <f>0</f>
        <v>0</v>
      </c>
      <c r="AC225">
        <f>0</f>
        <v>0</v>
      </c>
      <c r="AD225">
        <f>0</f>
        <v>0</v>
      </c>
      <c r="AE225">
        <f>0</f>
        <v>0</v>
      </c>
      <c r="AG225" t="s">
        <v>180</v>
      </c>
    </row>
    <row r="226" spans="1:81" x14ac:dyDescent="0.25">
      <c r="A226" t="s">
        <v>1048</v>
      </c>
      <c r="B226" t="s">
        <v>170</v>
      </c>
      <c r="C226" s="1">
        <v>46129</v>
      </c>
      <c r="D226" t="s">
        <v>195</v>
      </c>
      <c r="E226" t="s">
        <v>448</v>
      </c>
      <c r="F226" t="s">
        <v>1049</v>
      </c>
      <c r="G226" t="s">
        <v>1050</v>
      </c>
      <c r="H226">
        <v>772</v>
      </c>
      <c r="I226" t="s">
        <v>1050</v>
      </c>
      <c r="J226">
        <v>79</v>
      </c>
      <c r="K226" t="s">
        <v>4494</v>
      </c>
      <c r="L226" t="s">
        <v>271</v>
      </c>
      <c r="M226" t="s">
        <v>1051</v>
      </c>
      <c r="N226" t="s">
        <v>4595</v>
      </c>
      <c r="O226" t="s">
        <v>1052</v>
      </c>
      <c r="Q226" t="s">
        <v>3485</v>
      </c>
      <c r="R226">
        <f>1</f>
        <v>1</v>
      </c>
      <c r="S226">
        <f>11.4</f>
        <v>11.4</v>
      </c>
      <c r="T226">
        <f>7.4</f>
        <v>7.4</v>
      </c>
      <c r="U226">
        <f>330</f>
        <v>330</v>
      </c>
      <c r="X226">
        <f>0</f>
        <v>0</v>
      </c>
      <c r="Y226">
        <f>0.83</f>
        <v>0.83</v>
      </c>
      <c r="Z226">
        <f>0</f>
        <v>0</v>
      </c>
      <c r="AA226">
        <f>6</f>
        <v>6</v>
      </c>
      <c r="AB226">
        <f>0</f>
        <v>0</v>
      </c>
      <c r="AC226">
        <f>0</f>
        <v>0</v>
      </c>
      <c r="AD226">
        <f>0</f>
        <v>0</v>
      </c>
      <c r="AE226">
        <f>0</f>
        <v>0</v>
      </c>
      <c r="AG226" t="s">
        <v>180</v>
      </c>
      <c r="CC226">
        <f>0.29</f>
        <v>0.28999999999999998</v>
      </c>
    </row>
    <row r="227" spans="1:81" x14ac:dyDescent="0.25">
      <c r="A227" t="s">
        <v>1053</v>
      </c>
      <c r="B227" t="s">
        <v>170</v>
      </c>
      <c r="C227" s="1">
        <v>46121</v>
      </c>
      <c r="D227" t="s">
        <v>184</v>
      </c>
      <c r="E227" t="s">
        <v>546</v>
      </c>
      <c r="F227" t="s">
        <v>547</v>
      </c>
      <c r="G227" t="s">
        <v>3924</v>
      </c>
      <c r="H227">
        <v>795</v>
      </c>
      <c r="I227" t="s">
        <v>3924</v>
      </c>
      <c r="J227">
        <v>450</v>
      </c>
      <c r="K227" t="s">
        <v>4492</v>
      </c>
      <c r="L227" t="s">
        <v>266</v>
      </c>
      <c r="M227" t="s">
        <v>4596</v>
      </c>
      <c r="N227" t="s">
        <v>4597</v>
      </c>
      <c r="O227" t="s">
        <v>1054</v>
      </c>
      <c r="R227">
        <f>1</f>
        <v>1</v>
      </c>
      <c r="S227">
        <f>10.1</f>
        <v>10.1</v>
      </c>
      <c r="T227">
        <f>7.3</f>
        <v>7.3</v>
      </c>
      <c r="U227">
        <f>457</f>
        <v>457</v>
      </c>
      <c r="V227">
        <f>0.05</f>
        <v>0.05</v>
      </c>
      <c r="X227">
        <f>0</f>
        <v>0</v>
      </c>
      <c r="Y227" t="s">
        <v>180</v>
      </c>
      <c r="Z227">
        <f>0</f>
        <v>0</v>
      </c>
      <c r="AA227" t="s">
        <v>179</v>
      </c>
      <c r="AB227" t="s">
        <v>179</v>
      </c>
      <c r="AD227">
        <f>0</f>
        <v>0</v>
      </c>
      <c r="AE227">
        <f>0</f>
        <v>0</v>
      </c>
      <c r="AG227" t="s">
        <v>180</v>
      </c>
      <c r="AH227">
        <f>0.7</f>
        <v>0.7</v>
      </c>
      <c r="AK227" t="s">
        <v>181</v>
      </c>
      <c r="AL227" t="s">
        <v>182</v>
      </c>
      <c r="AM227">
        <f>3</f>
        <v>3</v>
      </c>
      <c r="AN227">
        <f>0.06</f>
        <v>0.06</v>
      </c>
      <c r="AO227">
        <f>6</f>
        <v>6</v>
      </c>
      <c r="AP227">
        <f>1.5</f>
        <v>1.5</v>
      </c>
      <c r="AQ227" t="s">
        <v>180</v>
      </c>
      <c r="CC227">
        <f>0.52</f>
        <v>0.52</v>
      </c>
    </row>
    <row r="228" spans="1:81" x14ac:dyDescent="0.25">
      <c r="A228" t="s">
        <v>1055</v>
      </c>
      <c r="B228" t="s">
        <v>170</v>
      </c>
      <c r="C228" s="1">
        <v>46121</v>
      </c>
      <c r="D228" t="s">
        <v>238</v>
      </c>
      <c r="E228" t="s">
        <v>239</v>
      </c>
      <c r="F228" t="s">
        <v>473</v>
      </c>
      <c r="G228" t="s">
        <v>1056</v>
      </c>
      <c r="H228">
        <v>315</v>
      </c>
      <c r="I228" t="s">
        <v>1056</v>
      </c>
      <c r="J228">
        <v>570</v>
      </c>
      <c r="K228" t="s">
        <v>4494</v>
      </c>
      <c r="L228" t="s">
        <v>266</v>
      </c>
      <c r="M228" t="s">
        <v>4598</v>
      </c>
      <c r="N228" t="s">
        <v>1057</v>
      </c>
      <c r="O228" t="s">
        <v>1058</v>
      </c>
      <c r="Q228" t="s">
        <v>3486</v>
      </c>
      <c r="R228">
        <f>1</f>
        <v>1</v>
      </c>
      <c r="S228">
        <f>10.6</f>
        <v>10.6</v>
      </c>
      <c r="T228">
        <f>7.5</f>
        <v>7.5</v>
      </c>
      <c r="U228">
        <f>541</f>
        <v>541</v>
      </c>
      <c r="V228">
        <f>0.16</f>
        <v>0.16</v>
      </c>
      <c r="X228">
        <f>0</f>
        <v>0</v>
      </c>
      <c r="Y228">
        <f>0.38</f>
        <v>0.38</v>
      </c>
      <c r="Z228">
        <f>0</f>
        <v>0</v>
      </c>
      <c r="AA228" t="s">
        <v>179</v>
      </c>
      <c r="AB228" t="s">
        <v>179</v>
      </c>
      <c r="AC228">
        <f>0</f>
        <v>0</v>
      </c>
      <c r="AD228">
        <f>0</f>
        <v>0</v>
      </c>
      <c r="AE228">
        <f>0</f>
        <v>0</v>
      </c>
      <c r="AG228" t="s">
        <v>220</v>
      </c>
    </row>
    <row r="229" spans="1:81" x14ac:dyDescent="0.25">
      <c r="A229" t="s">
        <v>1059</v>
      </c>
      <c r="B229" t="s">
        <v>170</v>
      </c>
      <c r="C229" s="1">
        <v>46129</v>
      </c>
      <c r="D229" t="s">
        <v>238</v>
      </c>
      <c r="E229" t="s">
        <v>239</v>
      </c>
      <c r="F229" t="s">
        <v>478</v>
      </c>
      <c r="G229" t="s">
        <v>1060</v>
      </c>
      <c r="H229">
        <v>137</v>
      </c>
      <c r="I229" t="s">
        <v>1060</v>
      </c>
      <c r="J229">
        <v>400</v>
      </c>
      <c r="K229" t="s">
        <v>4492</v>
      </c>
      <c r="L229" t="s">
        <v>266</v>
      </c>
      <c r="M229" t="s">
        <v>3925</v>
      </c>
      <c r="N229" t="s">
        <v>1061</v>
      </c>
      <c r="O229" t="s">
        <v>1062</v>
      </c>
      <c r="R229">
        <f>1</f>
        <v>1</v>
      </c>
      <c r="S229">
        <f>12.9</f>
        <v>12.9</v>
      </c>
      <c r="T229">
        <f>7.4</f>
        <v>7.4</v>
      </c>
      <c r="U229">
        <f>511</f>
        <v>511</v>
      </c>
      <c r="V229">
        <f>0.23</f>
        <v>0.23</v>
      </c>
      <c r="X229">
        <f>0</f>
        <v>0</v>
      </c>
      <c r="Y229">
        <f>0.14</f>
        <v>0.14000000000000001</v>
      </c>
      <c r="Z229">
        <f>0</f>
        <v>0</v>
      </c>
      <c r="AA229" t="s">
        <v>179</v>
      </c>
      <c r="AB229" t="s">
        <v>179</v>
      </c>
      <c r="AD229">
        <f>0</f>
        <v>0</v>
      </c>
      <c r="AE229">
        <f>0</f>
        <v>0</v>
      </c>
      <c r="AG229" t="s">
        <v>220</v>
      </c>
      <c r="AH229">
        <f>0.31</f>
        <v>0.31</v>
      </c>
      <c r="AK229" t="s">
        <v>286</v>
      </c>
      <c r="AL229">
        <f>0.014</f>
        <v>1.4E-2</v>
      </c>
      <c r="AM229">
        <f>5.8</f>
        <v>5.8</v>
      </c>
      <c r="AN229">
        <f>0.121</f>
        <v>0.121</v>
      </c>
      <c r="AO229">
        <f>6.4</f>
        <v>6.4</v>
      </c>
      <c r="AP229">
        <f>4.7</f>
        <v>4.7</v>
      </c>
      <c r="AQ229" t="s">
        <v>192</v>
      </c>
    </row>
    <row r="230" spans="1:81" x14ac:dyDescent="0.25">
      <c r="A230" t="s">
        <v>1063</v>
      </c>
      <c r="B230" t="s">
        <v>170</v>
      </c>
      <c r="C230" s="1">
        <v>46111</v>
      </c>
      <c r="D230" t="s">
        <v>222</v>
      </c>
      <c r="E230" t="s">
        <v>223</v>
      </c>
      <c r="F230" t="s">
        <v>4599</v>
      </c>
      <c r="G230" t="s">
        <v>3926</v>
      </c>
      <c r="H230">
        <v>882</v>
      </c>
      <c r="I230" t="s">
        <v>3926</v>
      </c>
      <c r="J230">
        <v>450</v>
      </c>
      <c r="K230" t="s">
        <v>4492</v>
      </c>
      <c r="L230" t="s">
        <v>3324</v>
      </c>
      <c r="M230" t="s">
        <v>4600</v>
      </c>
      <c r="N230" t="s">
        <v>4601</v>
      </c>
      <c r="O230" t="s">
        <v>1064</v>
      </c>
      <c r="R230">
        <f>1</f>
        <v>1</v>
      </c>
      <c r="S230">
        <f>9.7</f>
        <v>9.6999999999999993</v>
      </c>
      <c r="T230">
        <f>7.7</f>
        <v>7.7</v>
      </c>
      <c r="U230">
        <f>492</f>
        <v>492</v>
      </c>
      <c r="X230">
        <f>1</f>
        <v>1</v>
      </c>
      <c r="Y230">
        <f>0.85</f>
        <v>0.85</v>
      </c>
      <c r="Z230">
        <f>0</f>
        <v>0</v>
      </c>
      <c r="AA230" t="s">
        <v>179</v>
      </c>
      <c r="AB230" t="s">
        <v>179</v>
      </c>
      <c r="AD230">
        <f>0</f>
        <v>0</v>
      </c>
      <c r="AE230">
        <f>0</f>
        <v>0</v>
      </c>
      <c r="AG230" t="s">
        <v>180</v>
      </c>
      <c r="CC230">
        <f>0.66</f>
        <v>0.66</v>
      </c>
    </row>
    <row r="231" spans="1:81" x14ac:dyDescent="0.25">
      <c r="A231" t="s">
        <v>1065</v>
      </c>
      <c r="B231" t="s">
        <v>766</v>
      </c>
      <c r="C231" s="1">
        <v>46080</v>
      </c>
      <c r="D231" t="s">
        <v>195</v>
      </c>
      <c r="E231" t="s">
        <v>196</v>
      </c>
      <c r="F231" t="s">
        <v>4300</v>
      </c>
      <c r="G231" t="s">
        <v>1066</v>
      </c>
      <c r="H231">
        <v>879</v>
      </c>
      <c r="I231" t="s">
        <v>1066</v>
      </c>
      <c r="J231">
        <v>86</v>
      </c>
      <c r="K231" t="s">
        <v>4494</v>
      </c>
      <c r="L231" t="s">
        <v>271</v>
      </c>
      <c r="M231" t="s">
        <v>692</v>
      </c>
      <c r="N231" t="s">
        <v>1067</v>
      </c>
      <c r="O231" t="s">
        <v>1068</v>
      </c>
      <c r="Q231" t="s">
        <v>1069</v>
      </c>
      <c r="R231">
        <f>1</f>
        <v>1</v>
      </c>
      <c r="S231">
        <f>9.4</f>
        <v>9.4</v>
      </c>
      <c r="T231">
        <f>7.6</f>
        <v>7.6</v>
      </c>
      <c r="U231">
        <f>139</f>
        <v>139</v>
      </c>
      <c r="X231">
        <f>0</f>
        <v>0</v>
      </c>
      <c r="Y231">
        <f>0.95</f>
        <v>0.95</v>
      </c>
      <c r="Z231">
        <f>0</f>
        <v>0</v>
      </c>
      <c r="AA231">
        <f>68</f>
        <v>68</v>
      </c>
      <c r="AB231">
        <f>16</f>
        <v>16</v>
      </c>
      <c r="AC231">
        <f>0</f>
        <v>0</v>
      </c>
      <c r="AD231">
        <f>0</f>
        <v>0</v>
      </c>
      <c r="AE231">
        <f>17</f>
        <v>17</v>
      </c>
      <c r="AG231">
        <f>0.1</f>
        <v>0.1</v>
      </c>
      <c r="CC231">
        <f>0.13</f>
        <v>0.13</v>
      </c>
    </row>
    <row r="232" spans="1:81" x14ac:dyDescent="0.25">
      <c r="A232" t="s">
        <v>1070</v>
      </c>
      <c r="B232" t="s">
        <v>170</v>
      </c>
      <c r="C232" s="1">
        <v>46092</v>
      </c>
      <c r="D232" t="s">
        <v>425</v>
      </c>
      <c r="E232" t="s">
        <v>426</v>
      </c>
      <c r="F232" t="s">
        <v>655</v>
      </c>
      <c r="G232" t="s">
        <v>732</v>
      </c>
      <c r="H232">
        <v>46</v>
      </c>
      <c r="I232" t="s">
        <v>1071</v>
      </c>
      <c r="J232">
        <v>360</v>
      </c>
      <c r="K232" t="s">
        <v>4492</v>
      </c>
      <c r="L232" t="s">
        <v>271</v>
      </c>
      <c r="M232" t="s">
        <v>3927</v>
      </c>
      <c r="N232" t="s">
        <v>1072</v>
      </c>
      <c r="O232" t="s">
        <v>1073</v>
      </c>
      <c r="R232">
        <f>1</f>
        <v>1</v>
      </c>
      <c r="S232">
        <f>10.6</f>
        <v>10.6</v>
      </c>
      <c r="T232">
        <f>7.4</f>
        <v>7.4</v>
      </c>
      <c r="U232">
        <f>455</f>
        <v>455</v>
      </c>
      <c r="X232">
        <f>0</f>
        <v>0</v>
      </c>
      <c r="Y232" t="s">
        <v>180</v>
      </c>
      <c r="Z232">
        <f>0</f>
        <v>0</v>
      </c>
      <c r="AA232" t="s">
        <v>179</v>
      </c>
      <c r="AB232" t="s">
        <v>179</v>
      </c>
      <c r="AD232">
        <f>0</f>
        <v>0</v>
      </c>
      <c r="AE232">
        <f>0</f>
        <v>0</v>
      </c>
      <c r="AG232" t="s">
        <v>180</v>
      </c>
    </row>
    <row r="233" spans="1:81" x14ac:dyDescent="0.25">
      <c r="A233" t="s">
        <v>1074</v>
      </c>
      <c r="B233" t="s">
        <v>170</v>
      </c>
      <c r="C233" s="1">
        <v>46092</v>
      </c>
      <c r="D233" t="s">
        <v>222</v>
      </c>
      <c r="E233" t="s">
        <v>223</v>
      </c>
      <c r="F233" t="s">
        <v>4508</v>
      </c>
      <c r="G233" t="s">
        <v>4304</v>
      </c>
      <c r="H233">
        <v>930</v>
      </c>
      <c r="I233" t="s">
        <v>4304</v>
      </c>
      <c r="J233">
        <v>262</v>
      </c>
      <c r="K233" t="s">
        <v>4492</v>
      </c>
      <c r="L233" t="s">
        <v>369</v>
      </c>
      <c r="M233" t="s">
        <v>4602</v>
      </c>
      <c r="N233" t="s">
        <v>3341</v>
      </c>
      <c r="O233" t="s">
        <v>1075</v>
      </c>
      <c r="Q233" t="s">
        <v>3487</v>
      </c>
      <c r="R233">
        <f>1</f>
        <v>1</v>
      </c>
      <c r="S233">
        <f>9</f>
        <v>9</v>
      </c>
      <c r="T233">
        <f>7.7</f>
        <v>7.7</v>
      </c>
      <c r="U233">
        <f>431</f>
        <v>431</v>
      </c>
      <c r="V233">
        <f>0.14</f>
        <v>0.14000000000000001</v>
      </c>
      <c r="X233">
        <f>0</f>
        <v>0</v>
      </c>
      <c r="Y233" t="s">
        <v>180</v>
      </c>
      <c r="Z233">
        <f>0</f>
        <v>0</v>
      </c>
      <c r="AA233" t="s">
        <v>179</v>
      </c>
      <c r="AB233" t="s">
        <v>179</v>
      </c>
      <c r="AD233">
        <f>0</f>
        <v>0</v>
      </c>
      <c r="AE233">
        <f>0</f>
        <v>0</v>
      </c>
      <c r="AG233" t="s">
        <v>180</v>
      </c>
      <c r="AH233" t="s">
        <v>193</v>
      </c>
      <c r="AK233" t="s">
        <v>181</v>
      </c>
      <c r="AL233" t="s">
        <v>182</v>
      </c>
      <c r="AM233">
        <f>2.7</f>
        <v>2.7</v>
      </c>
      <c r="AN233">
        <f>0.05</f>
        <v>0.05</v>
      </c>
      <c r="AO233">
        <f>24</f>
        <v>24</v>
      </c>
      <c r="AP233">
        <f>2.3</f>
        <v>2.2999999999999998</v>
      </c>
      <c r="AQ233" t="s">
        <v>180</v>
      </c>
    </row>
    <row r="234" spans="1:81" x14ac:dyDescent="0.25">
      <c r="A234" t="s">
        <v>1076</v>
      </c>
      <c r="B234" t="s">
        <v>170</v>
      </c>
      <c r="C234" s="1">
        <v>46087</v>
      </c>
      <c r="D234" t="s">
        <v>251</v>
      </c>
      <c r="E234" t="s">
        <v>252</v>
      </c>
      <c r="F234" t="s">
        <v>280</v>
      </c>
      <c r="G234" t="s">
        <v>3713</v>
      </c>
      <c r="H234">
        <v>342</v>
      </c>
      <c r="I234" t="s">
        <v>3713</v>
      </c>
      <c r="J234">
        <v>212</v>
      </c>
      <c r="K234" t="s">
        <v>4494</v>
      </c>
      <c r="L234" t="s">
        <v>3566</v>
      </c>
      <c r="M234" t="s">
        <v>3582</v>
      </c>
      <c r="N234" t="s">
        <v>3583</v>
      </c>
      <c r="O234" t="s">
        <v>1077</v>
      </c>
      <c r="Q234" t="s">
        <v>3472</v>
      </c>
      <c r="R234">
        <f>1</f>
        <v>1</v>
      </c>
      <c r="S234">
        <f>8.3</f>
        <v>8.3000000000000007</v>
      </c>
      <c r="T234">
        <f>7.9</f>
        <v>7.9</v>
      </c>
      <c r="U234">
        <f>261</f>
        <v>261</v>
      </c>
      <c r="X234">
        <f>0</f>
        <v>0</v>
      </c>
      <c r="Y234">
        <f>0.14</f>
        <v>0.14000000000000001</v>
      </c>
      <c r="Z234">
        <f>0</f>
        <v>0</v>
      </c>
      <c r="AA234">
        <f>0</f>
        <v>0</v>
      </c>
      <c r="AB234">
        <f>2</f>
        <v>2</v>
      </c>
      <c r="AC234">
        <f>0</f>
        <v>0</v>
      </c>
      <c r="AD234">
        <f>0</f>
        <v>0</v>
      </c>
      <c r="AE234">
        <f>0</f>
        <v>0</v>
      </c>
      <c r="AG234" t="s">
        <v>180</v>
      </c>
    </row>
    <row r="235" spans="1:81" x14ac:dyDescent="0.25">
      <c r="A235" t="s">
        <v>1078</v>
      </c>
      <c r="B235" t="s">
        <v>170</v>
      </c>
      <c r="C235" s="1">
        <v>46092</v>
      </c>
      <c r="D235" t="s">
        <v>425</v>
      </c>
      <c r="E235" t="s">
        <v>426</v>
      </c>
      <c r="F235" t="s">
        <v>655</v>
      </c>
      <c r="G235" t="s">
        <v>3928</v>
      </c>
      <c r="H235">
        <v>959</v>
      </c>
      <c r="I235" t="s">
        <v>3928</v>
      </c>
      <c r="J235">
        <v>180</v>
      </c>
      <c r="K235" t="s">
        <v>4494</v>
      </c>
      <c r="L235" t="s">
        <v>369</v>
      </c>
      <c r="M235" t="s">
        <v>3929</v>
      </c>
      <c r="N235" t="s">
        <v>3930</v>
      </c>
      <c r="O235" t="s">
        <v>1079</v>
      </c>
      <c r="R235">
        <f>1</f>
        <v>1</v>
      </c>
      <c r="S235">
        <f>6.6</f>
        <v>6.6</v>
      </c>
      <c r="T235">
        <f>8</f>
        <v>8</v>
      </c>
      <c r="U235">
        <f>403</f>
        <v>403</v>
      </c>
      <c r="V235">
        <f>0.05</f>
        <v>0.05</v>
      </c>
      <c r="X235">
        <f>0</f>
        <v>0</v>
      </c>
      <c r="Y235" t="s">
        <v>180</v>
      </c>
      <c r="Z235">
        <f>0</f>
        <v>0</v>
      </c>
      <c r="AA235" t="s">
        <v>179</v>
      </c>
      <c r="AB235" t="s">
        <v>179</v>
      </c>
      <c r="AC235">
        <f>0</f>
        <v>0</v>
      </c>
      <c r="AD235">
        <f>0</f>
        <v>0</v>
      </c>
      <c r="AE235">
        <f>0</f>
        <v>0</v>
      </c>
      <c r="AG235" t="s">
        <v>180</v>
      </c>
    </row>
    <row r="236" spans="1:81" x14ac:dyDescent="0.25">
      <c r="A236" t="s">
        <v>1080</v>
      </c>
      <c r="B236" t="s">
        <v>170</v>
      </c>
      <c r="C236" s="1">
        <v>46125</v>
      </c>
      <c r="D236" t="s">
        <v>216</v>
      </c>
      <c r="E236" t="s">
        <v>217</v>
      </c>
      <c r="F236" t="s">
        <v>368</v>
      </c>
      <c r="G236" t="s">
        <v>1081</v>
      </c>
      <c r="H236">
        <v>270</v>
      </c>
      <c r="I236" t="s">
        <v>1081</v>
      </c>
      <c r="J236">
        <v>155</v>
      </c>
      <c r="K236" t="s">
        <v>4494</v>
      </c>
      <c r="L236" t="s">
        <v>266</v>
      </c>
      <c r="M236" t="s">
        <v>4543</v>
      </c>
      <c r="N236" t="s">
        <v>4603</v>
      </c>
      <c r="O236" t="s">
        <v>1082</v>
      </c>
      <c r="R236">
        <f>1</f>
        <v>1</v>
      </c>
      <c r="S236">
        <f>10.8</f>
        <v>10.8</v>
      </c>
      <c r="T236">
        <f>8.2</f>
        <v>8.1999999999999993</v>
      </c>
      <c r="U236">
        <f>215</f>
        <v>215</v>
      </c>
      <c r="V236">
        <f>0.07</f>
        <v>7.0000000000000007E-2</v>
      </c>
      <c r="X236">
        <f>1</f>
        <v>1</v>
      </c>
      <c r="Y236">
        <f>0.19</f>
        <v>0.19</v>
      </c>
      <c r="Z236">
        <f>0</f>
        <v>0</v>
      </c>
      <c r="AA236">
        <f>0</f>
        <v>0</v>
      </c>
      <c r="AB236">
        <f>0</f>
        <v>0</v>
      </c>
      <c r="AC236">
        <f>0</f>
        <v>0</v>
      </c>
      <c r="AD236">
        <f>0</f>
        <v>0</v>
      </c>
      <c r="AE236">
        <f>0</f>
        <v>0</v>
      </c>
      <c r="AG236" t="s">
        <v>220</v>
      </c>
    </row>
    <row r="237" spans="1:81" x14ac:dyDescent="0.25">
      <c r="A237" t="s">
        <v>1083</v>
      </c>
      <c r="B237" t="s">
        <v>170</v>
      </c>
      <c r="C237" s="1">
        <v>46092</v>
      </c>
      <c r="D237" t="s">
        <v>184</v>
      </c>
      <c r="E237" t="s">
        <v>185</v>
      </c>
      <c r="F237" t="s">
        <v>1084</v>
      </c>
      <c r="G237" t="s">
        <v>1085</v>
      </c>
      <c r="H237">
        <v>582</v>
      </c>
      <c r="I237" t="s">
        <v>1085</v>
      </c>
      <c r="J237">
        <v>399</v>
      </c>
      <c r="K237" t="s">
        <v>4494</v>
      </c>
      <c r="L237" t="s">
        <v>266</v>
      </c>
      <c r="M237" t="s">
        <v>3931</v>
      </c>
      <c r="N237" t="s">
        <v>1086</v>
      </c>
      <c r="O237" t="s">
        <v>1087</v>
      </c>
      <c r="R237">
        <f>1</f>
        <v>1</v>
      </c>
      <c r="S237">
        <f>9.8</f>
        <v>9.8000000000000007</v>
      </c>
      <c r="T237">
        <f>7.3</f>
        <v>7.3</v>
      </c>
      <c r="U237">
        <f>324</f>
        <v>324</v>
      </c>
      <c r="V237">
        <f>0.15</f>
        <v>0.15</v>
      </c>
      <c r="X237">
        <f>0</f>
        <v>0</v>
      </c>
      <c r="Y237">
        <f>0.3</f>
        <v>0.3</v>
      </c>
      <c r="Z237">
        <f>0</f>
        <v>0</v>
      </c>
      <c r="AA237">
        <f>10</f>
        <v>10</v>
      </c>
      <c r="AB237">
        <f>20</f>
        <v>20</v>
      </c>
      <c r="AC237">
        <f>0</f>
        <v>0</v>
      </c>
      <c r="AD237">
        <f>0</f>
        <v>0</v>
      </c>
      <c r="AE237">
        <f>0</f>
        <v>0</v>
      </c>
      <c r="AG237" t="s">
        <v>180</v>
      </c>
      <c r="AH237" t="s">
        <v>193</v>
      </c>
      <c r="AK237" t="s">
        <v>181</v>
      </c>
      <c r="AL237" t="s">
        <v>182</v>
      </c>
      <c r="AM237">
        <f>5.3</f>
        <v>5.3</v>
      </c>
      <c r="AN237">
        <f>0.11</f>
        <v>0.11</v>
      </c>
      <c r="AO237">
        <f>6.5</f>
        <v>6.5</v>
      </c>
      <c r="AP237">
        <f>4.3</f>
        <v>4.3</v>
      </c>
      <c r="AQ237" t="s">
        <v>180</v>
      </c>
    </row>
    <row r="238" spans="1:81" x14ac:dyDescent="0.25">
      <c r="A238" t="s">
        <v>1088</v>
      </c>
      <c r="B238" t="s">
        <v>170</v>
      </c>
      <c r="C238" s="1">
        <v>46083</v>
      </c>
      <c r="D238" t="s">
        <v>425</v>
      </c>
      <c r="E238" t="s">
        <v>426</v>
      </c>
      <c r="F238" t="s">
        <v>695</v>
      </c>
      <c r="G238" t="s">
        <v>1089</v>
      </c>
      <c r="H238">
        <v>973</v>
      </c>
      <c r="I238" t="s">
        <v>1089</v>
      </c>
      <c r="J238">
        <v>150</v>
      </c>
      <c r="K238" t="s">
        <v>4492</v>
      </c>
      <c r="L238" t="s">
        <v>266</v>
      </c>
      <c r="M238" t="s">
        <v>3932</v>
      </c>
      <c r="N238" t="s">
        <v>1090</v>
      </c>
      <c r="O238" t="s">
        <v>1091</v>
      </c>
      <c r="R238">
        <f>1</f>
        <v>1</v>
      </c>
      <c r="S238">
        <f>10.1</f>
        <v>10.1</v>
      </c>
      <c r="T238">
        <f>7.6</f>
        <v>7.6</v>
      </c>
      <c r="U238">
        <f>346</f>
        <v>346</v>
      </c>
      <c r="V238">
        <f>0.12</f>
        <v>0.12</v>
      </c>
      <c r="X238">
        <f>0</f>
        <v>0</v>
      </c>
      <c r="Y238" t="s">
        <v>180</v>
      </c>
      <c r="Z238">
        <f>0</f>
        <v>0</v>
      </c>
      <c r="AA238" t="s">
        <v>179</v>
      </c>
      <c r="AB238" t="s">
        <v>179</v>
      </c>
      <c r="AD238">
        <f>0</f>
        <v>0</v>
      </c>
      <c r="AE238">
        <f>0</f>
        <v>0</v>
      </c>
      <c r="AG238" t="s">
        <v>180</v>
      </c>
      <c r="AH238" t="s">
        <v>193</v>
      </c>
      <c r="AK238" t="s">
        <v>181</v>
      </c>
      <c r="AL238" t="s">
        <v>182</v>
      </c>
      <c r="AM238">
        <f>2.9</f>
        <v>2.9</v>
      </c>
      <c r="AN238">
        <f>0.06</f>
        <v>0.06</v>
      </c>
      <c r="AO238">
        <f>12</f>
        <v>12</v>
      </c>
      <c r="AP238">
        <f>1.3</f>
        <v>1.3</v>
      </c>
      <c r="AQ238" t="s">
        <v>180</v>
      </c>
    </row>
    <row r="239" spans="1:81" x14ac:dyDescent="0.25">
      <c r="A239" t="s">
        <v>1092</v>
      </c>
      <c r="B239" t="s">
        <v>170</v>
      </c>
      <c r="C239" s="1">
        <v>46092</v>
      </c>
      <c r="D239" t="s">
        <v>222</v>
      </c>
      <c r="E239" t="s">
        <v>223</v>
      </c>
      <c r="F239" t="s">
        <v>4508</v>
      </c>
      <c r="G239" t="s">
        <v>1093</v>
      </c>
      <c r="H239">
        <v>984</v>
      </c>
      <c r="I239" t="s">
        <v>1093</v>
      </c>
      <c r="J239">
        <v>289</v>
      </c>
      <c r="K239" t="s">
        <v>4492</v>
      </c>
      <c r="L239" t="s">
        <v>369</v>
      </c>
      <c r="M239" t="s">
        <v>4604</v>
      </c>
      <c r="N239" t="s">
        <v>4605</v>
      </c>
      <c r="O239" t="s">
        <v>1094</v>
      </c>
      <c r="R239">
        <f>1</f>
        <v>1</v>
      </c>
      <c r="S239">
        <f>8.6</f>
        <v>8.6</v>
      </c>
      <c r="T239">
        <f>7.7</f>
        <v>7.7</v>
      </c>
      <c r="U239">
        <f>518</f>
        <v>518</v>
      </c>
      <c r="V239">
        <f>0.19</f>
        <v>0.19</v>
      </c>
      <c r="X239">
        <f>0</f>
        <v>0</v>
      </c>
      <c r="Y239">
        <f>0.16</f>
        <v>0.16</v>
      </c>
      <c r="Z239">
        <f>0</f>
        <v>0</v>
      </c>
      <c r="AA239" t="s">
        <v>179</v>
      </c>
      <c r="AB239" t="s">
        <v>179</v>
      </c>
      <c r="AD239">
        <f>0</f>
        <v>0</v>
      </c>
      <c r="AE239">
        <f>0</f>
        <v>0</v>
      </c>
      <c r="AG239" t="s">
        <v>180</v>
      </c>
    </row>
    <row r="240" spans="1:81" x14ac:dyDescent="0.25">
      <c r="A240" t="s">
        <v>1095</v>
      </c>
      <c r="B240" t="s">
        <v>170</v>
      </c>
      <c r="C240" s="1">
        <v>46100</v>
      </c>
      <c r="D240" t="s">
        <v>222</v>
      </c>
      <c r="E240" t="s">
        <v>223</v>
      </c>
      <c r="F240" t="s">
        <v>3685</v>
      </c>
      <c r="G240" t="s">
        <v>1096</v>
      </c>
      <c r="H240">
        <v>1027</v>
      </c>
      <c r="I240" t="s">
        <v>1096</v>
      </c>
      <c r="J240">
        <v>385</v>
      </c>
      <c r="K240" t="s">
        <v>4492</v>
      </c>
      <c r="L240" t="s">
        <v>369</v>
      </c>
      <c r="M240" t="s">
        <v>3714</v>
      </c>
      <c r="N240" t="s">
        <v>3715</v>
      </c>
      <c r="O240" t="s">
        <v>1097</v>
      </c>
      <c r="Q240" t="s">
        <v>3933</v>
      </c>
      <c r="R240">
        <f>1</f>
        <v>1</v>
      </c>
      <c r="S240">
        <f>10.9</f>
        <v>10.9</v>
      </c>
      <c r="T240">
        <f>7.4</f>
        <v>7.4</v>
      </c>
      <c r="U240">
        <f>441</f>
        <v>441</v>
      </c>
      <c r="V240">
        <f>0.15</f>
        <v>0.15</v>
      </c>
      <c r="X240">
        <f>1</f>
        <v>1</v>
      </c>
      <c r="Y240" t="s">
        <v>180</v>
      </c>
      <c r="Z240">
        <f>0</f>
        <v>0</v>
      </c>
      <c r="AA240" t="s">
        <v>179</v>
      </c>
      <c r="AB240" t="s">
        <v>179</v>
      </c>
      <c r="AD240">
        <f>0</f>
        <v>0</v>
      </c>
      <c r="AE240">
        <f>0</f>
        <v>0</v>
      </c>
      <c r="AG240" t="s">
        <v>180</v>
      </c>
      <c r="AH240">
        <f>0.9</f>
        <v>0.9</v>
      </c>
      <c r="AK240" t="s">
        <v>181</v>
      </c>
      <c r="AL240" t="s">
        <v>182</v>
      </c>
      <c r="AM240">
        <f>22</f>
        <v>22</v>
      </c>
      <c r="AN240">
        <f>0.44</f>
        <v>0.44</v>
      </c>
      <c r="AO240">
        <f>16</f>
        <v>16</v>
      </c>
      <c r="AP240">
        <f>12</f>
        <v>12</v>
      </c>
      <c r="AQ240" t="s">
        <v>180</v>
      </c>
    </row>
    <row r="241" spans="1:81" x14ac:dyDescent="0.25">
      <c r="A241" t="s">
        <v>1098</v>
      </c>
      <c r="B241" t="s">
        <v>170</v>
      </c>
      <c r="C241" s="1">
        <v>46090</v>
      </c>
      <c r="D241" t="s">
        <v>222</v>
      </c>
      <c r="E241" t="s">
        <v>223</v>
      </c>
      <c r="F241" t="s">
        <v>1099</v>
      </c>
      <c r="G241" t="s">
        <v>1100</v>
      </c>
      <c r="H241">
        <v>1051</v>
      </c>
      <c r="I241" t="s">
        <v>1100</v>
      </c>
      <c r="J241">
        <v>400</v>
      </c>
      <c r="K241" t="s">
        <v>4492</v>
      </c>
      <c r="L241" t="s">
        <v>3324</v>
      </c>
      <c r="M241" t="s">
        <v>4606</v>
      </c>
      <c r="N241" t="s">
        <v>1101</v>
      </c>
      <c r="O241" t="s">
        <v>1102</v>
      </c>
      <c r="R241">
        <f>1</f>
        <v>1</v>
      </c>
      <c r="S241">
        <f>7.9</f>
        <v>7.9</v>
      </c>
      <c r="T241">
        <f>7.9</f>
        <v>7.9</v>
      </c>
      <c r="U241">
        <f>311</f>
        <v>311</v>
      </c>
      <c r="X241">
        <f>0</f>
        <v>0</v>
      </c>
      <c r="Y241" t="s">
        <v>180</v>
      </c>
      <c r="Z241">
        <f>0</f>
        <v>0</v>
      </c>
      <c r="AA241" t="s">
        <v>179</v>
      </c>
      <c r="AB241" t="s">
        <v>179</v>
      </c>
      <c r="AD241">
        <f>0</f>
        <v>0</v>
      </c>
      <c r="AE241">
        <f>0</f>
        <v>0</v>
      </c>
      <c r="AG241" t="s">
        <v>180</v>
      </c>
      <c r="CC241">
        <f>0.73</f>
        <v>0.73</v>
      </c>
    </row>
    <row r="242" spans="1:81" x14ac:dyDescent="0.25">
      <c r="A242" t="s">
        <v>1103</v>
      </c>
      <c r="B242" t="s">
        <v>170</v>
      </c>
      <c r="C242" s="1">
        <v>46105</v>
      </c>
      <c r="D242" t="s">
        <v>184</v>
      </c>
      <c r="E242" t="s">
        <v>185</v>
      </c>
      <c r="F242" t="s">
        <v>1084</v>
      </c>
      <c r="G242" t="s">
        <v>3934</v>
      </c>
      <c r="H242">
        <v>581</v>
      </c>
      <c r="I242" t="s">
        <v>3934</v>
      </c>
      <c r="J242">
        <v>378</v>
      </c>
      <c r="K242" t="s">
        <v>4494</v>
      </c>
      <c r="L242" t="s">
        <v>1104</v>
      </c>
      <c r="M242" t="s">
        <v>4607</v>
      </c>
      <c r="N242" t="s">
        <v>4608</v>
      </c>
      <c r="O242" t="s">
        <v>1105</v>
      </c>
      <c r="R242">
        <f>1</f>
        <v>1</v>
      </c>
      <c r="S242">
        <f>9.3</f>
        <v>9.3000000000000007</v>
      </c>
      <c r="T242">
        <f>7.8</f>
        <v>7.8</v>
      </c>
      <c r="U242">
        <f>175</f>
        <v>175</v>
      </c>
      <c r="X242">
        <f>0</f>
        <v>0</v>
      </c>
      <c r="Y242" t="s">
        <v>180</v>
      </c>
      <c r="Z242">
        <f>0</f>
        <v>0</v>
      </c>
      <c r="AA242" t="s">
        <v>179</v>
      </c>
      <c r="AB242" t="s">
        <v>179</v>
      </c>
      <c r="AC242">
        <f>0</f>
        <v>0</v>
      </c>
      <c r="AD242">
        <f>0</f>
        <v>0</v>
      </c>
      <c r="AE242">
        <f>0</f>
        <v>0</v>
      </c>
      <c r="AG242" t="s">
        <v>180</v>
      </c>
      <c r="AH242" t="s">
        <v>193</v>
      </c>
      <c r="AK242" t="s">
        <v>181</v>
      </c>
      <c r="AL242" t="s">
        <v>182</v>
      </c>
      <c r="AM242">
        <f>1.3</f>
        <v>1.3</v>
      </c>
      <c r="AN242">
        <f>0.03</f>
        <v>0.03</v>
      </c>
      <c r="AO242">
        <f>5</f>
        <v>5</v>
      </c>
      <c r="AP242">
        <f>2.1</f>
        <v>2.1</v>
      </c>
      <c r="AQ242" t="s">
        <v>180</v>
      </c>
    </row>
    <row r="243" spans="1:81" x14ac:dyDescent="0.25">
      <c r="A243" t="s">
        <v>1106</v>
      </c>
      <c r="B243" t="s">
        <v>766</v>
      </c>
      <c r="C243" s="1">
        <v>46086</v>
      </c>
      <c r="D243" t="s">
        <v>302</v>
      </c>
      <c r="E243" t="s">
        <v>303</v>
      </c>
      <c r="F243" t="s">
        <v>4305</v>
      </c>
      <c r="G243" t="s">
        <v>1107</v>
      </c>
      <c r="H243">
        <v>1045</v>
      </c>
      <c r="I243" t="s">
        <v>1107</v>
      </c>
      <c r="J243">
        <v>300</v>
      </c>
      <c r="K243" t="s">
        <v>4494</v>
      </c>
      <c r="L243" t="s">
        <v>369</v>
      </c>
      <c r="M243" t="s">
        <v>1108</v>
      </c>
      <c r="N243" t="s">
        <v>4306</v>
      </c>
      <c r="O243" t="s">
        <v>1109</v>
      </c>
      <c r="R243">
        <f>1</f>
        <v>1</v>
      </c>
      <c r="S243">
        <f>8.5</f>
        <v>8.5</v>
      </c>
      <c r="T243">
        <f>7.5</f>
        <v>7.5</v>
      </c>
      <c r="U243">
        <f>606</f>
        <v>606</v>
      </c>
      <c r="V243" t="s">
        <v>192</v>
      </c>
      <c r="X243">
        <f>0</f>
        <v>0</v>
      </c>
      <c r="Y243">
        <f>0.73</f>
        <v>0.73</v>
      </c>
      <c r="Z243">
        <f>11</f>
        <v>11</v>
      </c>
      <c r="AA243">
        <f>290</f>
        <v>290</v>
      </c>
      <c r="AB243">
        <f>121</f>
        <v>121</v>
      </c>
      <c r="AC243">
        <f>14</f>
        <v>14</v>
      </c>
      <c r="AD243">
        <f>5</f>
        <v>5</v>
      </c>
      <c r="AE243" t="s">
        <v>1110</v>
      </c>
      <c r="AG243">
        <f>0.1</f>
        <v>0.1</v>
      </c>
      <c r="CC243">
        <f>0.28</f>
        <v>0.28000000000000003</v>
      </c>
    </row>
    <row r="244" spans="1:81" x14ac:dyDescent="0.25">
      <c r="A244" t="s">
        <v>1111</v>
      </c>
      <c r="B244" t="s">
        <v>170</v>
      </c>
      <c r="C244" s="1">
        <v>46086</v>
      </c>
      <c r="D244" t="s">
        <v>302</v>
      </c>
      <c r="E244" t="s">
        <v>303</v>
      </c>
      <c r="F244" t="s">
        <v>1112</v>
      </c>
      <c r="G244" t="s">
        <v>1113</v>
      </c>
      <c r="H244">
        <v>1039</v>
      </c>
      <c r="I244" t="s">
        <v>1114</v>
      </c>
      <c r="J244">
        <v>270</v>
      </c>
      <c r="K244" t="s">
        <v>4492</v>
      </c>
      <c r="L244" t="s">
        <v>369</v>
      </c>
      <c r="M244" t="s">
        <v>1115</v>
      </c>
      <c r="N244" t="s">
        <v>3342</v>
      </c>
      <c r="O244" t="s">
        <v>1116</v>
      </c>
      <c r="R244">
        <f>1</f>
        <v>1</v>
      </c>
      <c r="S244">
        <f>9.6</f>
        <v>9.6</v>
      </c>
      <c r="T244">
        <f>6.7</f>
        <v>6.7</v>
      </c>
      <c r="U244">
        <f>394</f>
        <v>394</v>
      </c>
      <c r="V244">
        <f>0.06</f>
        <v>0.06</v>
      </c>
      <c r="X244">
        <f>0</f>
        <v>0</v>
      </c>
      <c r="Y244" t="s">
        <v>180</v>
      </c>
      <c r="Z244">
        <f>0</f>
        <v>0</v>
      </c>
      <c r="AA244">
        <f>12</f>
        <v>12</v>
      </c>
      <c r="AB244" t="s">
        <v>179</v>
      </c>
      <c r="AD244">
        <f>0</f>
        <v>0</v>
      </c>
      <c r="AE244">
        <f>0</f>
        <v>0</v>
      </c>
      <c r="AG244" t="s">
        <v>180</v>
      </c>
      <c r="AH244" t="s">
        <v>193</v>
      </c>
      <c r="AK244" t="s">
        <v>181</v>
      </c>
      <c r="AL244" t="s">
        <v>182</v>
      </c>
      <c r="AM244">
        <f>19</f>
        <v>19</v>
      </c>
      <c r="AN244">
        <f>0.38</f>
        <v>0.38</v>
      </c>
      <c r="AO244">
        <f>22</f>
        <v>22</v>
      </c>
      <c r="AP244">
        <f>23</f>
        <v>23</v>
      </c>
      <c r="AQ244">
        <f>0.11</f>
        <v>0.11</v>
      </c>
    </row>
    <row r="245" spans="1:81" x14ac:dyDescent="0.25">
      <c r="A245" t="s">
        <v>1117</v>
      </c>
      <c r="B245" t="s">
        <v>170</v>
      </c>
      <c r="C245" s="1">
        <v>46126</v>
      </c>
      <c r="D245" t="s">
        <v>251</v>
      </c>
      <c r="E245" t="s">
        <v>252</v>
      </c>
      <c r="F245" t="s">
        <v>3584</v>
      </c>
      <c r="G245" t="s">
        <v>4307</v>
      </c>
      <c r="H245">
        <v>1063</v>
      </c>
      <c r="I245" t="s">
        <v>4307</v>
      </c>
      <c r="J245">
        <v>350</v>
      </c>
      <c r="K245" t="s">
        <v>4492</v>
      </c>
      <c r="L245" t="s">
        <v>271</v>
      </c>
      <c r="M245" t="s">
        <v>4609</v>
      </c>
      <c r="N245" t="s">
        <v>3585</v>
      </c>
      <c r="O245" t="s">
        <v>1118</v>
      </c>
      <c r="Q245" t="s">
        <v>257</v>
      </c>
      <c r="R245">
        <f>1</f>
        <v>1</v>
      </c>
      <c r="S245">
        <f>11.1</f>
        <v>11.1</v>
      </c>
      <c r="T245">
        <f>7.8</f>
        <v>7.8</v>
      </c>
      <c r="U245">
        <f>350</f>
        <v>350</v>
      </c>
      <c r="X245">
        <f>0</f>
        <v>0</v>
      </c>
      <c r="Y245" t="s">
        <v>180</v>
      </c>
      <c r="Z245">
        <f>0</f>
        <v>0</v>
      </c>
      <c r="AA245">
        <f>0</f>
        <v>0</v>
      </c>
      <c r="AB245">
        <f>0</f>
        <v>0</v>
      </c>
      <c r="AD245">
        <f>0</f>
        <v>0</v>
      </c>
      <c r="AE245">
        <f>0</f>
        <v>0</v>
      </c>
      <c r="AG245" t="s">
        <v>180</v>
      </c>
      <c r="CC245" t="s">
        <v>284</v>
      </c>
    </row>
    <row r="246" spans="1:81" x14ac:dyDescent="0.25">
      <c r="A246" t="s">
        <v>1119</v>
      </c>
      <c r="B246" t="s">
        <v>170</v>
      </c>
      <c r="C246" s="1">
        <v>46086</v>
      </c>
      <c r="D246" t="s">
        <v>251</v>
      </c>
      <c r="E246" t="s">
        <v>252</v>
      </c>
      <c r="F246" t="s">
        <v>4280</v>
      </c>
      <c r="G246" t="s">
        <v>4308</v>
      </c>
      <c r="H246">
        <v>1087</v>
      </c>
      <c r="I246" t="s">
        <v>4309</v>
      </c>
      <c r="J246">
        <v>250</v>
      </c>
      <c r="K246" t="s">
        <v>4492</v>
      </c>
      <c r="L246" t="s">
        <v>3586</v>
      </c>
      <c r="M246" t="s">
        <v>4610</v>
      </c>
      <c r="N246" t="s">
        <v>3343</v>
      </c>
      <c r="O246" t="s">
        <v>1120</v>
      </c>
      <c r="Q246" t="s">
        <v>274</v>
      </c>
      <c r="R246">
        <f>1</f>
        <v>1</v>
      </c>
      <c r="S246">
        <f>7.9</f>
        <v>7.9</v>
      </c>
      <c r="T246">
        <f>7.3</f>
        <v>7.3</v>
      </c>
      <c r="U246">
        <f>64</f>
        <v>64</v>
      </c>
      <c r="X246">
        <f>0</f>
        <v>0</v>
      </c>
      <c r="Y246">
        <f>0.18</f>
        <v>0.18</v>
      </c>
      <c r="Z246">
        <f>0</f>
        <v>0</v>
      </c>
      <c r="AA246">
        <f>0</f>
        <v>0</v>
      </c>
      <c r="AB246">
        <f>0</f>
        <v>0</v>
      </c>
      <c r="AD246">
        <f>0</f>
        <v>0</v>
      </c>
      <c r="AE246">
        <f>0</f>
        <v>0</v>
      </c>
      <c r="AG246" t="s">
        <v>180</v>
      </c>
    </row>
    <row r="247" spans="1:81" x14ac:dyDescent="0.25">
      <c r="A247" t="s">
        <v>1121</v>
      </c>
      <c r="B247" t="s">
        <v>170</v>
      </c>
      <c r="C247" s="1">
        <v>46084</v>
      </c>
      <c r="D247" t="s">
        <v>238</v>
      </c>
      <c r="E247" t="s">
        <v>239</v>
      </c>
      <c r="F247" t="s">
        <v>240</v>
      </c>
      <c r="G247" t="s">
        <v>3716</v>
      </c>
      <c r="H247">
        <v>1109</v>
      </c>
      <c r="I247" t="s">
        <v>3716</v>
      </c>
      <c r="J247">
        <v>255</v>
      </c>
      <c r="K247" t="s">
        <v>4494</v>
      </c>
      <c r="L247" t="s">
        <v>266</v>
      </c>
      <c r="M247" t="s">
        <v>3587</v>
      </c>
      <c r="N247" t="s">
        <v>3717</v>
      </c>
      <c r="O247" t="s">
        <v>1122</v>
      </c>
      <c r="Q247" t="s">
        <v>3588</v>
      </c>
      <c r="R247">
        <f>1</f>
        <v>1</v>
      </c>
      <c r="S247">
        <f>9.1</f>
        <v>9.1</v>
      </c>
      <c r="T247">
        <f>7.5</f>
        <v>7.5</v>
      </c>
      <c r="U247">
        <f>441</f>
        <v>441</v>
      </c>
      <c r="V247">
        <f>0.36</f>
        <v>0.36</v>
      </c>
      <c r="X247">
        <f>0</f>
        <v>0</v>
      </c>
      <c r="Y247">
        <f>0.13</f>
        <v>0.13</v>
      </c>
      <c r="Z247">
        <f>0</f>
        <v>0</v>
      </c>
      <c r="AA247" t="s">
        <v>179</v>
      </c>
      <c r="AB247">
        <f>45</f>
        <v>45</v>
      </c>
      <c r="AC247">
        <f>0</f>
        <v>0</v>
      </c>
      <c r="AD247">
        <f>0</f>
        <v>0</v>
      </c>
      <c r="AE247">
        <f>0</f>
        <v>0</v>
      </c>
      <c r="AG247" t="s">
        <v>220</v>
      </c>
      <c r="AH247">
        <f>3.4</f>
        <v>3.4</v>
      </c>
      <c r="AK247" t="s">
        <v>286</v>
      </c>
      <c r="AL247">
        <f>0.011</f>
        <v>1.0999999999999999E-2</v>
      </c>
      <c r="AM247">
        <f>6.1</f>
        <v>6.1</v>
      </c>
      <c r="AN247">
        <f>0.126</f>
        <v>0.126</v>
      </c>
      <c r="AO247">
        <f>2.9</f>
        <v>2.9</v>
      </c>
      <c r="AP247">
        <f>2.4</f>
        <v>2.4</v>
      </c>
      <c r="AQ247" t="s">
        <v>192</v>
      </c>
    </row>
    <row r="248" spans="1:81" x14ac:dyDescent="0.25">
      <c r="A248" t="s">
        <v>1123</v>
      </c>
      <c r="B248" t="s">
        <v>170</v>
      </c>
      <c r="C248" s="1">
        <v>46083</v>
      </c>
      <c r="D248" t="s">
        <v>238</v>
      </c>
      <c r="E248" t="s">
        <v>239</v>
      </c>
      <c r="F248" t="s">
        <v>240</v>
      </c>
      <c r="G248" t="s">
        <v>4310</v>
      </c>
      <c r="H248">
        <v>1107</v>
      </c>
      <c r="I248" t="s">
        <v>4310</v>
      </c>
      <c r="J248">
        <v>373</v>
      </c>
      <c r="K248" t="s">
        <v>4494</v>
      </c>
      <c r="L248" t="s">
        <v>291</v>
      </c>
      <c r="M248" t="s">
        <v>3344</v>
      </c>
      <c r="N248" t="s">
        <v>3935</v>
      </c>
      <c r="O248" t="s">
        <v>1124</v>
      </c>
      <c r="R248">
        <f>1</f>
        <v>1</v>
      </c>
      <c r="S248">
        <f>8.8</f>
        <v>8.8000000000000007</v>
      </c>
      <c r="T248">
        <f>7.4</f>
        <v>7.4</v>
      </c>
      <c r="U248">
        <f>528</f>
        <v>528</v>
      </c>
      <c r="X248">
        <f>0</f>
        <v>0</v>
      </c>
      <c r="Y248" t="s">
        <v>243</v>
      </c>
      <c r="Z248">
        <f>0</f>
        <v>0</v>
      </c>
      <c r="AA248">
        <f>12</f>
        <v>12</v>
      </c>
      <c r="AB248">
        <f>14</f>
        <v>14</v>
      </c>
      <c r="AC248">
        <f>0</f>
        <v>0</v>
      </c>
      <c r="AD248">
        <f>0</f>
        <v>0</v>
      </c>
      <c r="AE248">
        <f>0</f>
        <v>0</v>
      </c>
      <c r="AG248" t="s">
        <v>220</v>
      </c>
      <c r="AH248" t="s">
        <v>411</v>
      </c>
      <c r="AK248" t="s">
        <v>286</v>
      </c>
      <c r="AL248">
        <f>0.011</f>
        <v>1.0999999999999999E-2</v>
      </c>
      <c r="AM248">
        <f>5.2</f>
        <v>5.2</v>
      </c>
      <c r="AN248">
        <f>0.108</f>
        <v>0.108</v>
      </c>
      <c r="AO248">
        <f>3.7</f>
        <v>3.7</v>
      </c>
      <c r="AP248">
        <f>1.6</f>
        <v>1.6</v>
      </c>
      <c r="AQ248">
        <f>0.057</f>
        <v>5.7000000000000002E-2</v>
      </c>
    </row>
    <row r="249" spans="1:81" x14ac:dyDescent="0.25">
      <c r="A249" t="s">
        <v>1125</v>
      </c>
      <c r="B249" t="s">
        <v>170</v>
      </c>
      <c r="C249" s="1">
        <v>46119</v>
      </c>
      <c r="D249" t="s">
        <v>238</v>
      </c>
      <c r="E249" t="s">
        <v>260</v>
      </c>
      <c r="F249" t="s">
        <v>1126</v>
      </c>
      <c r="G249" t="s">
        <v>1127</v>
      </c>
      <c r="H249">
        <v>313</v>
      </c>
      <c r="I249" t="s">
        <v>1128</v>
      </c>
      <c r="J249">
        <v>250</v>
      </c>
      <c r="K249" t="s">
        <v>4492</v>
      </c>
      <c r="L249" t="s">
        <v>271</v>
      </c>
      <c r="M249" t="s">
        <v>3718</v>
      </c>
      <c r="N249" t="s">
        <v>1129</v>
      </c>
      <c r="O249" t="s">
        <v>1130</v>
      </c>
      <c r="Q249" t="s">
        <v>3488</v>
      </c>
      <c r="R249">
        <f>1</f>
        <v>1</v>
      </c>
      <c r="S249">
        <f>9.9</f>
        <v>9.9</v>
      </c>
      <c r="T249">
        <f>7.6</f>
        <v>7.6</v>
      </c>
      <c r="U249">
        <f>498</f>
        <v>498</v>
      </c>
      <c r="X249">
        <f>0</f>
        <v>0</v>
      </c>
      <c r="Y249">
        <f>0.55</f>
        <v>0.55000000000000004</v>
      </c>
      <c r="Z249">
        <f>0</f>
        <v>0</v>
      </c>
      <c r="AA249" t="s">
        <v>179</v>
      </c>
      <c r="AB249" t="s">
        <v>179</v>
      </c>
      <c r="AD249">
        <f>0</f>
        <v>0</v>
      </c>
      <c r="AE249">
        <f>0</f>
        <v>0</v>
      </c>
      <c r="AG249" t="s">
        <v>220</v>
      </c>
      <c r="CC249">
        <f>0.23</f>
        <v>0.23</v>
      </c>
    </row>
    <row r="250" spans="1:81" x14ac:dyDescent="0.25">
      <c r="A250" t="s">
        <v>1131</v>
      </c>
      <c r="B250" t="s">
        <v>170</v>
      </c>
      <c r="C250" s="1">
        <v>46128</v>
      </c>
      <c r="D250" t="s">
        <v>238</v>
      </c>
      <c r="E250" t="s">
        <v>239</v>
      </c>
      <c r="F250" t="s">
        <v>1132</v>
      </c>
      <c r="G250" t="s">
        <v>1133</v>
      </c>
      <c r="H250">
        <v>317</v>
      </c>
      <c r="I250" t="s">
        <v>1133</v>
      </c>
      <c r="J250">
        <v>274</v>
      </c>
      <c r="K250" t="s">
        <v>4494</v>
      </c>
      <c r="L250" t="s">
        <v>266</v>
      </c>
      <c r="M250" t="s">
        <v>3345</v>
      </c>
      <c r="N250" t="s">
        <v>3936</v>
      </c>
      <c r="O250" t="s">
        <v>1134</v>
      </c>
      <c r="R250">
        <f>1</f>
        <v>1</v>
      </c>
      <c r="S250">
        <f>11</f>
        <v>11</v>
      </c>
      <c r="T250">
        <f>7.3</f>
        <v>7.3</v>
      </c>
      <c r="U250">
        <f>587</f>
        <v>587</v>
      </c>
      <c r="V250">
        <f>0.11</f>
        <v>0.11</v>
      </c>
      <c r="X250">
        <f>0</f>
        <v>0</v>
      </c>
      <c r="Y250">
        <f>0.65</f>
        <v>0.65</v>
      </c>
      <c r="Z250">
        <f>0</f>
        <v>0</v>
      </c>
      <c r="AA250" t="s">
        <v>179</v>
      </c>
      <c r="AB250" t="s">
        <v>179</v>
      </c>
      <c r="AC250">
        <f>0</f>
        <v>0</v>
      </c>
      <c r="AD250">
        <f>0</f>
        <v>0</v>
      </c>
      <c r="AE250">
        <f>0</f>
        <v>0</v>
      </c>
      <c r="AG250" t="s">
        <v>220</v>
      </c>
      <c r="AH250">
        <f>0.51</f>
        <v>0.51</v>
      </c>
      <c r="AK250" t="s">
        <v>286</v>
      </c>
      <c r="AL250">
        <f>0.0019</f>
        <v>1.9E-3</v>
      </c>
      <c r="AM250">
        <f>4.1</f>
        <v>4.0999999999999996</v>
      </c>
      <c r="AN250">
        <f>0.083</f>
        <v>8.3000000000000004E-2</v>
      </c>
      <c r="AO250">
        <f>7.5</f>
        <v>7.5</v>
      </c>
      <c r="AP250">
        <f>1.7</f>
        <v>1.7</v>
      </c>
      <c r="AQ250" t="s">
        <v>192</v>
      </c>
      <c r="CC250" t="s">
        <v>180</v>
      </c>
    </row>
    <row r="251" spans="1:81" x14ac:dyDescent="0.25">
      <c r="A251" t="s">
        <v>1135</v>
      </c>
      <c r="B251" t="s">
        <v>170</v>
      </c>
      <c r="C251" s="1">
        <v>46084</v>
      </c>
      <c r="D251" t="s">
        <v>222</v>
      </c>
      <c r="E251" t="s">
        <v>260</v>
      </c>
      <c r="F251" t="s">
        <v>3346</v>
      </c>
      <c r="G251" t="s">
        <v>4311</v>
      </c>
      <c r="H251">
        <v>823</v>
      </c>
      <c r="I251" t="s">
        <v>4311</v>
      </c>
      <c r="J251">
        <v>350</v>
      </c>
      <c r="K251" t="s">
        <v>4492</v>
      </c>
      <c r="L251" t="s">
        <v>1136</v>
      </c>
      <c r="M251" t="s">
        <v>3347</v>
      </c>
      <c r="N251" t="s">
        <v>3348</v>
      </c>
      <c r="O251" t="s">
        <v>1137</v>
      </c>
      <c r="R251">
        <f>1</f>
        <v>1</v>
      </c>
      <c r="S251">
        <f>13.5</f>
        <v>13.5</v>
      </c>
      <c r="T251">
        <f>7.4</f>
        <v>7.4</v>
      </c>
      <c r="U251">
        <f>317</f>
        <v>317</v>
      </c>
      <c r="X251">
        <f>0</f>
        <v>0</v>
      </c>
      <c r="Y251">
        <f>0.31</f>
        <v>0.31</v>
      </c>
      <c r="Z251">
        <f>0</f>
        <v>0</v>
      </c>
      <c r="AA251" t="s">
        <v>179</v>
      </c>
      <c r="AB251" t="s">
        <v>179</v>
      </c>
      <c r="AD251">
        <f>0</f>
        <v>0</v>
      </c>
      <c r="AE251">
        <f>0</f>
        <v>0</v>
      </c>
      <c r="AG251" t="s">
        <v>220</v>
      </c>
      <c r="CC251">
        <f>0.27</f>
        <v>0.27</v>
      </c>
    </row>
    <row r="252" spans="1:81" x14ac:dyDescent="0.25">
      <c r="A252" t="s">
        <v>1138</v>
      </c>
      <c r="B252" t="s">
        <v>170</v>
      </c>
      <c r="C252" s="1">
        <v>46090</v>
      </c>
      <c r="D252" t="s">
        <v>222</v>
      </c>
      <c r="E252" t="s">
        <v>260</v>
      </c>
      <c r="F252" t="s">
        <v>1139</v>
      </c>
      <c r="G252" t="s">
        <v>1139</v>
      </c>
      <c r="H252">
        <v>1176</v>
      </c>
      <c r="I252" t="s">
        <v>1139</v>
      </c>
      <c r="J252">
        <v>350</v>
      </c>
      <c r="K252" t="s">
        <v>4492</v>
      </c>
      <c r="L252" t="s">
        <v>369</v>
      </c>
      <c r="M252" t="s">
        <v>3349</v>
      </c>
      <c r="N252" t="s">
        <v>1140</v>
      </c>
      <c r="O252" t="s">
        <v>1141</v>
      </c>
      <c r="R252">
        <f>1</f>
        <v>1</v>
      </c>
      <c r="S252">
        <f>10.1</f>
        <v>10.1</v>
      </c>
      <c r="T252">
        <f>7.4</f>
        <v>7.4</v>
      </c>
      <c r="U252">
        <f>452</f>
        <v>452</v>
      </c>
      <c r="V252">
        <f>0.13</f>
        <v>0.13</v>
      </c>
      <c r="X252">
        <f>1</f>
        <v>1</v>
      </c>
      <c r="Y252" t="s">
        <v>180</v>
      </c>
      <c r="Z252">
        <f>0</f>
        <v>0</v>
      </c>
      <c r="AA252" t="s">
        <v>179</v>
      </c>
      <c r="AB252" t="s">
        <v>179</v>
      </c>
      <c r="AD252">
        <f>0</f>
        <v>0</v>
      </c>
      <c r="AE252">
        <f>0</f>
        <v>0</v>
      </c>
      <c r="AG252" t="s">
        <v>180</v>
      </c>
      <c r="AH252" t="s">
        <v>193</v>
      </c>
      <c r="AK252" t="s">
        <v>181</v>
      </c>
      <c r="AL252" t="s">
        <v>182</v>
      </c>
      <c r="AM252">
        <f>4.2</f>
        <v>4.2</v>
      </c>
      <c r="AN252">
        <f>0.08</f>
        <v>0.08</v>
      </c>
      <c r="AO252">
        <f>9.9</f>
        <v>9.9</v>
      </c>
      <c r="AP252">
        <f>15</f>
        <v>15</v>
      </c>
      <c r="AQ252" t="s">
        <v>180</v>
      </c>
      <c r="CC252">
        <f>0.44</f>
        <v>0.44</v>
      </c>
    </row>
    <row r="253" spans="1:81" x14ac:dyDescent="0.25">
      <c r="A253" t="s">
        <v>1142</v>
      </c>
      <c r="B253" t="s">
        <v>170</v>
      </c>
      <c r="C253" s="1">
        <v>46090</v>
      </c>
      <c r="D253" t="s">
        <v>222</v>
      </c>
      <c r="E253" t="s">
        <v>223</v>
      </c>
      <c r="F253" t="s">
        <v>838</v>
      </c>
      <c r="G253" t="s">
        <v>3937</v>
      </c>
      <c r="H253">
        <v>1192</v>
      </c>
      <c r="I253" t="s">
        <v>3937</v>
      </c>
      <c r="J253">
        <v>250</v>
      </c>
      <c r="K253" t="s">
        <v>4492</v>
      </c>
      <c r="L253" t="s">
        <v>3589</v>
      </c>
      <c r="M253" t="s">
        <v>4611</v>
      </c>
      <c r="N253" t="s">
        <v>1143</v>
      </c>
      <c r="O253" t="s">
        <v>1144</v>
      </c>
      <c r="R253">
        <f>1</f>
        <v>1</v>
      </c>
      <c r="S253">
        <f>8.5</f>
        <v>8.5</v>
      </c>
      <c r="T253">
        <f>8.1</f>
        <v>8.1</v>
      </c>
      <c r="U253">
        <f>237</f>
        <v>237</v>
      </c>
      <c r="V253">
        <f>0.11</f>
        <v>0.11</v>
      </c>
      <c r="X253">
        <f>0</f>
        <v>0</v>
      </c>
      <c r="Y253">
        <f>0.63</f>
        <v>0.63</v>
      </c>
      <c r="Z253">
        <f>0</f>
        <v>0</v>
      </c>
      <c r="AA253" t="s">
        <v>179</v>
      </c>
      <c r="AB253" t="s">
        <v>179</v>
      </c>
      <c r="AD253">
        <f>0</f>
        <v>0</v>
      </c>
      <c r="AE253">
        <f>0</f>
        <v>0</v>
      </c>
      <c r="AG253" t="s">
        <v>180</v>
      </c>
    </row>
    <row r="254" spans="1:81" x14ac:dyDescent="0.25">
      <c r="A254" t="s">
        <v>1145</v>
      </c>
      <c r="B254" t="s">
        <v>170</v>
      </c>
      <c r="C254" s="1">
        <v>46104</v>
      </c>
      <c r="D254" t="s">
        <v>251</v>
      </c>
      <c r="E254" t="s">
        <v>252</v>
      </c>
      <c r="F254" t="s">
        <v>3590</v>
      </c>
      <c r="G254" t="s">
        <v>1146</v>
      </c>
      <c r="H254">
        <v>727</v>
      </c>
      <c r="I254" t="s">
        <v>4312</v>
      </c>
      <c r="J254">
        <v>288</v>
      </c>
      <c r="K254" t="s">
        <v>4492</v>
      </c>
      <c r="L254" t="s">
        <v>3567</v>
      </c>
      <c r="M254" t="s">
        <v>3591</v>
      </c>
      <c r="N254" t="s">
        <v>4612</v>
      </c>
      <c r="O254" t="s">
        <v>1147</v>
      </c>
      <c r="Q254" t="s">
        <v>3472</v>
      </c>
      <c r="R254">
        <f>1</f>
        <v>1</v>
      </c>
      <c r="S254">
        <f>11.3</f>
        <v>11.3</v>
      </c>
      <c r="T254">
        <f>8</f>
        <v>8</v>
      </c>
      <c r="U254">
        <f>225</f>
        <v>225</v>
      </c>
      <c r="X254">
        <f>0</f>
        <v>0</v>
      </c>
      <c r="Y254" t="s">
        <v>180</v>
      </c>
      <c r="Z254">
        <f>0</f>
        <v>0</v>
      </c>
      <c r="AA254">
        <f>0</f>
        <v>0</v>
      </c>
      <c r="AB254">
        <f>0</f>
        <v>0</v>
      </c>
      <c r="AD254">
        <f>0</f>
        <v>0</v>
      </c>
      <c r="AE254">
        <f>0</f>
        <v>0</v>
      </c>
      <c r="AG254" t="s">
        <v>180</v>
      </c>
    </row>
    <row r="255" spans="1:81" x14ac:dyDescent="0.25">
      <c r="A255" t="s">
        <v>1148</v>
      </c>
      <c r="B255" t="s">
        <v>170</v>
      </c>
      <c r="C255" s="1">
        <v>46084</v>
      </c>
      <c r="D255" t="s">
        <v>238</v>
      </c>
      <c r="E255" t="s">
        <v>260</v>
      </c>
      <c r="F255" t="s">
        <v>4313</v>
      </c>
      <c r="G255" t="s">
        <v>4314</v>
      </c>
      <c r="H255">
        <v>1332</v>
      </c>
      <c r="I255" t="s">
        <v>4314</v>
      </c>
      <c r="J255">
        <v>500</v>
      </c>
      <c r="K255" t="s">
        <v>4492</v>
      </c>
      <c r="L255" t="s">
        <v>369</v>
      </c>
      <c r="M255" t="s">
        <v>4613</v>
      </c>
      <c r="N255" t="s">
        <v>4614</v>
      </c>
      <c r="O255" t="s">
        <v>1149</v>
      </c>
      <c r="R255">
        <f>1</f>
        <v>1</v>
      </c>
      <c r="S255">
        <f>12.2</f>
        <v>12.2</v>
      </c>
      <c r="T255">
        <f>7.4</f>
        <v>7.4</v>
      </c>
      <c r="U255">
        <f>409</f>
        <v>409</v>
      </c>
      <c r="V255">
        <f>0.24</f>
        <v>0.24</v>
      </c>
      <c r="X255">
        <f>0</f>
        <v>0</v>
      </c>
      <c r="Y255">
        <f>0.17</f>
        <v>0.17</v>
      </c>
      <c r="Z255">
        <f>0</f>
        <v>0</v>
      </c>
      <c r="AA255" t="s">
        <v>179</v>
      </c>
      <c r="AB255" t="s">
        <v>179</v>
      </c>
      <c r="AD255">
        <f>0</f>
        <v>0</v>
      </c>
      <c r="AE255">
        <f>0</f>
        <v>0</v>
      </c>
      <c r="AG255" t="s">
        <v>220</v>
      </c>
      <c r="AH255">
        <f>0.59</f>
        <v>0.59</v>
      </c>
      <c r="AK255" t="s">
        <v>286</v>
      </c>
      <c r="AL255">
        <f>0.012</f>
        <v>1.2E-2</v>
      </c>
      <c r="AM255">
        <f>7.8</f>
        <v>7.8</v>
      </c>
      <c r="AN255">
        <f>0.16</f>
        <v>0.16</v>
      </c>
      <c r="AO255">
        <f>14</f>
        <v>14</v>
      </c>
      <c r="AP255">
        <f>8.3</f>
        <v>8.3000000000000007</v>
      </c>
      <c r="AQ255">
        <f>0.067</f>
        <v>6.7000000000000004E-2</v>
      </c>
      <c r="CC255" t="s">
        <v>180</v>
      </c>
    </row>
    <row r="256" spans="1:81" x14ac:dyDescent="0.25">
      <c r="A256" t="s">
        <v>1150</v>
      </c>
      <c r="B256" t="s">
        <v>170</v>
      </c>
      <c r="C256" s="1">
        <v>46098</v>
      </c>
      <c r="D256" t="s">
        <v>216</v>
      </c>
      <c r="E256" t="s">
        <v>217</v>
      </c>
      <c r="F256" t="s">
        <v>530</v>
      </c>
      <c r="G256" t="s">
        <v>1151</v>
      </c>
      <c r="H256">
        <v>1350</v>
      </c>
      <c r="I256" t="s">
        <v>1151</v>
      </c>
      <c r="J256">
        <v>183</v>
      </c>
      <c r="K256" t="s">
        <v>4492</v>
      </c>
      <c r="L256" t="s">
        <v>266</v>
      </c>
      <c r="M256" t="s">
        <v>4615</v>
      </c>
      <c r="N256" t="s">
        <v>1152</v>
      </c>
      <c r="O256" t="s">
        <v>1153</v>
      </c>
      <c r="Q256" t="s">
        <v>4616</v>
      </c>
      <c r="R256">
        <f>1</f>
        <v>1</v>
      </c>
      <c r="S256">
        <f>5.8</f>
        <v>5.8</v>
      </c>
      <c r="T256">
        <f>8.2</f>
        <v>8.1999999999999993</v>
      </c>
      <c r="U256">
        <f>322</f>
        <v>322</v>
      </c>
      <c r="V256">
        <f>0.2</f>
        <v>0.2</v>
      </c>
      <c r="X256">
        <f>1</f>
        <v>1</v>
      </c>
      <c r="Y256">
        <f>0.2</f>
        <v>0.2</v>
      </c>
      <c r="Z256">
        <f>0</f>
        <v>0</v>
      </c>
      <c r="AA256">
        <f>0</f>
        <v>0</v>
      </c>
      <c r="AB256">
        <f>0</f>
        <v>0</v>
      </c>
      <c r="AD256">
        <f>0</f>
        <v>0</v>
      </c>
      <c r="AE256">
        <f>0</f>
        <v>0</v>
      </c>
      <c r="AG256" t="s">
        <v>220</v>
      </c>
    </row>
    <row r="257" spans="1:81" x14ac:dyDescent="0.25">
      <c r="A257" t="s">
        <v>1154</v>
      </c>
      <c r="B257" t="s">
        <v>170</v>
      </c>
      <c r="C257" s="1">
        <v>46083</v>
      </c>
      <c r="D257" t="s">
        <v>425</v>
      </c>
      <c r="E257" t="s">
        <v>426</v>
      </c>
      <c r="F257" t="s">
        <v>655</v>
      </c>
      <c r="G257" t="s">
        <v>1155</v>
      </c>
      <c r="H257">
        <v>1360</v>
      </c>
      <c r="I257" t="s">
        <v>1156</v>
      </c>
      <c r="J257">
        <v>120</v>
      </c>
      <c r="K257" t="s">
        <v>4494</v>
      </c>
      <c r="L257" t="s">
        <v>369</v>
      </c>
      <c r="M257" t="s">
        <v>1157</v>
      </c>
      <c r="N257" t="s">
        <v>1158</v>
      </c>
      <c r="O257" t="s">
        <v>1159</v>
      </c>
      <c r="R257">
        <f>1</f>
        <v>1</v>
      </c>
      <c r="S257">
        <f>9.2</f>
        <v>9.1999999999999993</v>
      </c>
      <c r="T257">
        <f>7.2</f>
        <v>7.2</v>
      </c>
      <c r="U257">
        <f>205</f>
        <v>205</v>
      </c>
      <c r="X257">
        <f>0</f>
        <v>0</v>
      </c>
      <c r="Y257" t="s">
        <v>180</v>
      </c>
      <c r="Z257">
        <f>0</f>
        <v>0</v>
      </c>
      <c r="AA257" t="s">
        <v>179</v>
      </c>
      <c r="AB257" t="s">
        <v>179</v>
      </c>
      <c r="AC257">
        <f>0</f>
        <v>0</v>
      </c>
      <c r="AD257">
        <f>0</f>
        <v>0</v>
      </c>
      <c r="AE257">
        <f>0</f>
        <v>0</v>
      </c>
      <c r="AG257" t="s">
        <v>180</v>
      </c>
      <c r="AH257" t="s">
        <v>193</v>
      </c>
      <c r="AK257" t="s">
        <v>181</v>
      </c>
      <c r="AL257" t="s">
        <v>182</v>
      </c>
      <c r="AM257">
        <f>17</f>
        <v>17</v>
      </c>
      <c r="AN257">
        <f>0.34</f>
        <v>0.34</v>
      </c>
      <c r="AO257">
        <f>12</f>
        <v>12</v>
      </c>
      <c r="AP257">
        <f>21</f>
        <v>21</v>
      </c>
      <c r="AQ257" t="s">
        <v>180</v>
      </c>
    </row>
    <row r="258" spans="1:81" x14ac:dyDescent="0.25">
      <c r="A258" t="s">
        <v>1160</v>
      </c>
      <c r="B258" t="s">
        <v>170</v>
      </c>
      <c r="C258" s="1">
        <v>46127</v>
      </c>
      <c r="D258" t="s">
        <v>216</v>
      </c>
      <c r="E258" t="s">
        <v>217</v>
      </c>
      <c r="F258" t="s">
        <v>4617</v>
      </c>
      <c r="G258" t="s">
        <v>3938</v>
      </c>
      <c r="H258">
        <v>1386</v>
      </c>
      <c r="I258" t="s">
        <v>3938</v>
      </c>
      <c r="J258">
        <v>169</v>
      </c>
      <c r="K258" t="s">
        <v>4494</v>
      </c>
      <c r="L258" t="s">
        <v>369</v>
      </c>
      <c r="M258" t="s">
        <v>1161</v>
      </c>
      <c r="N258" t="s">
        <v>4618</v>
      </c>
      <c r="O258" t="s">
        <v>1162</v>
      </c>
      <c r="Q258" t="s">
        <v>3468</v>
      </c>
      <c r="R258">
        <f>1</f>
        <v>1</v>
      </c>
      <c r="S258">
        <f>12.8</f>
        <v>12.8</v>
      </c>
      <c r="T258">
        <f>8.4</f>
        <v>8.4</v>
      </c>
      <c r="U258">
        <f>336</f>
        <v>336</v>
      </c>
      <c r="V258">
        <f>0.3</f>
        <v>0.3</v>
      </c>
      <c r="X258">
        <f>1</f>
        <v>1</v>
      </c>
      <c r="Y258">
        <f>0.11</f>
        <v>0.11</v>
      </c>
      <c r="Z258">
        <f>0</f>
        <v>0</v>
      </c>
      <c r="AA258">
        <f>0</f>
        <v>0</v>
      </c>
      <c r="AB258">
        <f>0</f>
        <v>0</v>
      </c>
      <c r="AC258">
        <f>0</f>
        <v>0</v>
      </c>
      <c r="AD258">
        <f>0</f>
        <v>0</v>
      </c>
      <c r="AE258">
        <f>0</f>
        <v>0</v>
      </c>
      <c r="AG258" t="s">
        <v>220</v>
      </c>
      <c r="AH258">
        <f>0.35</f>
        <v>0.35</v>
      </c>
      <c r="AK258" t="s">
        <v>285</v>
      </c>
      <c r="AL258" t="s">
        <v>181</v>
      </c>
      <c r="AM258">
        <f>5.5</f>
        <v>5.5</v>
      </c>
      <c r="AN258">
        <f>0.11</f>
        <v>0.11</v>
      </c>
      <c r="AO258">
        <f>2.6</f>
        <v>2.6</v>
      </c>
      <c r="AP258">
        <f>1.3</f>
        <v>1.3</v>
      </c>
      <c r="AQ258" t="s">
        <v>284</v>
      </c>
    </row>
    <row r="259" spans="1:81" x14ac:dyDescent="0.25">
      <c r="A259" t="s">
        <v>1163</v>
      </c>
      <c r="B259" t="s">
        <v>170</v>
      </c>
      <c r="C259" s="1">
        <v>46092</v>
      </c>
      <c r="D259" t="s">
        <v>238</v>
      </c>
      <c r="E259" t="s">
        <v>239</v>
      </c>
      <c r="F259" t="s">
        <v>1164</v>
      </c>
      <c r="G259" t="s">
        <v>1165</v>
      </c>
      <c r="H259">
        <v>1387</v>
      </c>
      <c r="I259" t="s">
        <v>1165</v>
      </c>
      <c r="J259">
        <v>550</v>
      </c>
      <c r="K259" t="s">
        <v>4492</v>
      </c>
      <c r="L259" t="s">
        <v>369</v>
      </c>
      <c r="M259" t="s">
        <v>1166</v>
      </c>
      <c r="N259" t="s">
        <v>3939</v>
      </c>
      <c r="O259" t="s">
        <v>1167</v>
      </c>
      <c r="R259">
        <f>1</f>
        <v>1</v>
      </c>
      <c r="S259">
        <f>11.1</f>
        <v>11.1</v>
      </c>
      <c r="T259">
        <f>7.5</f>
        <v>7.5</v>
      </c>
      <c r="U259">
        <f>521</f>
        <v>521</v>
      </c>
      <c r="V259">
        <f>0.32</f>
        <v>0.32</v>
      </c>
      <c r="X259">
        <f>1</f>
        <v>1</v>
      </c>
      <c r="Y259">
        <f>0.06</f>
        <v>0.06</v>
      </c>
      <c r="Z259">
        <f>0</f>
        <v>0</v>
      </c>
      <c r="AA259" t="s">
        <v>179</v>
      </c>
      <c r="AB259" t="s">
        <v>179</v>
      </c>
      <c r="AD259">
        <f>0</f>
        <v>0</v>
      </c>
      <c r="AE259">
        <f>0</f>
        <v>0</v>
      </c>
      <c r="AG259" t="s">
        <v>220</v>
      </c>
    </row>
    <row r="260" spans="1:81" x14ac:dyDescent="0.25">
      <c r="A260" t="s">
        <v>1168</v>
      </c>
      <c r="B260" t="s">
        <v>170</v>
      </c>
      <c r="C260" s="1">
        <v>46132</v>
      </c>
      <c r="D260" t="s">
        <v>425</v>
      </c>
      <c r="E260" t="s">
        <v>426</v>
      </c>
      <c r="F260" t="s">
        <v>655</v>
      </c>
      <c r="G260" t="s">
        <v>732</v>
      </c>
      <c r="H260">
        <v>47</v>
      </c>
      <c r="I260" t="s">
        <v>1169</v>
      </c>
      <c r="J260">
        <v>320</v>
      </c>
      <c r="K260" t="s">
        <v>4492</v>
      </c>
      <c r="L260" t="s">
        <v>271</v>
      </c>
      <c r="M260" t="s">
        <v>1170</v>
      </c>
      <c r="N260" t="s">
        <v>1171</v>
      </c>
      <c r="O260" t="s">
        <v>1172</v>
      </c>
      <c r="R260">
        <f>1</f>
        <v>1</v>
      </c>
      <c r="S260">
        <f>12.1</f>
        <v>12.1</v>
      </c>
      <c r="T260">
        <f>7.8</f>
        <v>7.8</v>
      </c>
      <c r="U260">
        <f>456</f>
        <v>456</v>
      </c>
      <c r="X260">
        <f>0</f>
        <v>0</v>
      </c>
      <c r="Y260" t="s">
        <v>180</v>
      </c>
      <c r="Z260">
        <f>0</f>
        <v>0</v>
      </c>
      <c r="AA260" t="s">
        <v>179</v>
      </c>
      <c r="AB260" t="s">
        <v>179</v>
      </c>
      <c r="AD260">
        <f>0</f>
        <v>0</v>
      </c>
      <c r="AE260">
        <f>0</f>
        <v>0</v>
      </c>
      <c r="AG260" t="s">
        <v>180</v>
      </c>
      <c r="AH260" t="s">
        <v>193</v>
      </c>
      <c r="AK260" t="s">
        <v>181</v>
      </c>
      <c r="AL260" t="s">
        <v>182</v>
      </c>
      <c r="AM260">
        <f>16</f>
        <v>16</v>
      </c>
      <c r="AN260">
        <f>0.32</f>
        <v>0.32</v>
      </c>
      <c r="AO260">
        <f>13</f>
        <v>13</v>
      </c>
      <c r="AP260">
        <f>22</f>
        <v>22</v>
      </c>
      <c r="AQ260" t="s">
        <v>180</v>
      </c>
    </row>
    <row r="261" spans="1:81" x14ac:dyDescent="0.25">
      <c r="A261" t="s">
        <v>1173</v>
      </c>
      <c r="B261" t="s">
        <v>170</v>
      </c>
      <c r="C261" s="1">
        <v>46084</v>
      </c>
      <c r="D261" t="s">
        <v>222</v>
      </c>
      <c r="E261" t="s">
        <v>260</v>
      </c>
      <c r="F261" t="s">
        <v>1174</v>
      </c>
      <c r="G261" t="s">
        <v>1175</v>
      </c>
      <c r="H261">
        <v>1164</v>
      </c>
      <c r="I261" t="s">
        <v>1176</v>
      </c>
      <c r="J261">
        <v>440</v>
      </c>
      <c r="K261" t="s">
        <v>4494</v>
      </c>
      <c r="L261" t="s">
        <v>369</v>
      </c>
      <c r="M261" t="s">
        <v>3350</v>
      </c>
      <c r="N261" t="s">
        <v>4619</v>
      </c>
      <c r="O261" t="s">
        <v>1177</v>
      </c>
      <c r="R261">
        <f>1</f>
        <v>1</v>
      </c>
      <c r="S261">
        <f>7.7</f>
        <v>7.7</v>
      </c>
      <c r="T261">
        <f>7.5</f>
        <v>7.5</v>
      </c>
      <c r="U261">
        <f>369</f>
        <v>369</v>
      </c>
      <c r="V261" t="s">
        <v>258</v>
      </c>
      <c r="X261">
        <f>0</f>
        <v>0</v>
      </c>
      <c r="Y261">
        <f>0.11</f>
        <v>0.11</v>
      </c>
      <c r="Z261">
        <f>0</f>
        <v>0</v>
      </c>
      <c r="AA261" t="s">
        <v>179</v>
      </c>
      <c r="AB261" t="s">
        <v>179</v>
      </c>
      <c r="AC261">
        <f>0</f>
        <v>0</v>
      </c>
      <c r="AD261">
        <f>0</f>
        <v>0</v>
      </c>
      <c r="AE261">
        <f>0</f>
        <v>0</v>
      </c>
      <c r="AG261" t="s">
        <v>220</v>
      </c>
      <c r="CC261" t="s">
        <v>180</v>
      </c>
    </row>
    <row r="262" spans="1:81" x14ac:dyDescent="0.25">
      <c r="A262" t="s">
        <v>1178</v>
      </c>
      <c r="B262" t="s">
        <v>170</v>
      </c>
      <c r="C262" s="1">
        <v>46100</v>
      </c>
      <c r="D262" t="s">
        <v>222</v>
      </c>
      <c r="E262" t="s">
        <v>223</v>
      </c>
      <c r="F262" t="s">
        <v>3685</v>
      </c>
      <c r="G262" t="s">
        <v>1179</v>
      </c>
      <c r="H262">
        <v>1429</v>
      </c>
      <c r="I262" t="s">
        <v>1179</v>
      </c>
      <c r="J262">
        <v>211</v>
      </c>
      <c r="K262" t="s">
        <v>4494</v>
      </c>
      <c r="L262" t="s">
        <v>291</v>
      </c>
      <c r="M262" t="s">
        <v>4568</v>
      </c>
      <c r="N262" t="s">
        <v>1180</v>
      </c>
      <c r="O262" t="s">
        <v>1181</v>
      </c>
      <c r="R262">
        <f>1</f>
        <v>1</v>
      </c>
      <c r="S262">
        <f>9.4</f>
        <v>9.4</v>
      </c>
      <c r="T262">
        <f>7.7</f>
        <v>7.7</v>
      </c>
      <c r="U262">
        <f>539</f>
        <v>539</v>
      </c>
      <c r="X262">
        <f>1</f>
        <v>1</v>
      </c>
      <c r="Y262" t="s">
        <v>180</v>
      </c>
      <c r="Z262">
        <f>0</f>
        <v>0</v>
      </c>
      <c r="AA262" t="s">
        <v>179</v>
      </c>
      <c r="AB262" t="s">
        <v>179</v>
      </c>
      <c r="AC262">
        <f>0</f>
        <v>0</v>
      </c>
      <c r="AD262">
        <f>0</f>
        <v>0</v>
      </c>
      <c r="AE262">
        <f>0</f>
        <v>0</v>
      </c>
      <c r="AG262" t="s">
        <v>180</v>
      </c>
    </row>
    <row r="263" spans="1:81" x14ac:dyDescent="0.25">
      <c r="A263" t="s">
        <v>1182</v>
      </c>
      <c r="B263" t="s">
        <v>170</v>
      </c>
      <c r="C263" s="1">
        <v>46080</v>
      </c>
      <c r="D263" t="s">
        <v>251</v>
      </c>
      <c r="E263" t="s">
        <v>252</v>
      </c>
      <c r="F263" t="s">
        <v>3351</v>
      </c>
      <c r="G263" t="s">
        <v>4315</v>
      </c>
      <c r="H263">
        <v>1064</v>
      </c>
      <c r="I263" t="s">
        <v>4316</v>
      </c>
      <c r="J263">
        <v>315</v>
      </c>
      <c r="K263" t="s">
        <v>4494</v>
      </c>
      <c r="L263" t="s">
        <v>271</v>
      </c>
      <c r="M263" t="s">
        <v>4620</v>
      </c>
      <c r="N263" t="s">
        <v>3592</v>
      </c>
      <c r="O263" t="s">
        <v>1183</v>
      </c>
      <c r="Q263" t="s">
        <v>1184</v>
      </c>
      <c r="R263">
        <f>1</f>
        <v>1</v>
      </c>
      <c r="S263">
        <f>8</f>
        <v>8</v>
      </c>
      <c r="T263">
        <f>7.9</f>
        <v>7.9</v>
      </c>
      <c r="U263">
        <f>314</f>
        <v>314</v>
      </c>
      <c r="X263">
        <f>0</f>
        <v>0</v>
      </c>
      <c r="Y263">
        <f>0.13</f>
        <v>0.13</v>
      </c>
      <c r="Z263">
        <f>0</f>
        <v>0</v>
      </c>
      <c r="AA263">
        <f>0</f>
        <v>0</v>
      </c>
      <c r="AB263">
        <f>3</f>
        <v>3</v>
      </c>
      <c r="AC263">
        <f>0</f>
        <v>0</v>
      </c>
      <c r="AD263">
        <f>0</f>
        <v>0</v>
      </c>
      <c r="AE263">
        <f>0</f>
        <v>0</v>
      </c>
      <c r="AG263" t="s">
        <v>180</v>
      </c>
      <c r="AH263" t="s">
        <v>284</v>
      </c>
      <c r="AK263" t="s">
        <v>285</v>
      </c>
      <c r="AL263" t="s">
        <v>286</v>
      </c>
      <c r="AM263">
        <f>2.4</f>
        <v>2.4</v>
      </c>
      <c r="AN263">
        <f>0.48</f>
        <v>0.48</v>
      </c>
      <c r="AO263">
        <f>4.7</f>
        <v>4.7</v>
      </c>
      <c r="AP263">
        <f>3.3</f>
        <v>3.3</v>
      </c>
      <c r="AQ263" t="s">
        <v>284</v>
      </c>
      <c r="CC263" t="s">
        <v>284</v>
      </c>
    </row>
    <row r="264" spans="1:81" x14ac:dyDescent="0.25">
      <c r="A264" t="s">
        <v>1185</v>
      </c>
      <c r="B264" t="s">
        <v>766</v>
      </c>
      <c r="C264" s="1">
        <v>46078</v>
      </c>
      <c r="D264" t="s">
        <v>184</v>
      </c>
      <c r="E264" t="s">
        <v>185</v>
      </c>
      <c r="F264" t="s">
        <v>384</v>
      </c>
      <c r="G264" t="s">
        <v>3940</v>
      </c>
      <c r="H264">
        <v>1019</v>
      </c>
      <c r="I264" t="s">
        <v>3940</v>
      </c>
      <c r="J264">
        <v>866</v>
      </c>
      <c r="K264" t="s">
        <v>4492</v>
      </c>
      <c r="L264" t="s">
        <v>3567</v>
      </c>
      <c r="M264" t="s">
        <v>4621</v>
      </c>
      <c r="N264" t="s">
        <v>4622</v>
      </c>
      <c r="O264" t="s">
        <v>1186</v>
      </c>
      <c r="R264">
        <f>1</f>
        <v>1</v>
      </c>
      <c r="S264">
        <f>9.5</f>
        <v>9.5</v>
      </c>
      <c r="T264">
        <f>7.4</f>
        <v>7.4</v>
      </c>
      <c r="U264">
        <f>426</f>
        <v>426</v>
      </c>
      <c r="X264">
        <f>0</f>
        <v>0</v>
      </c>
      <c r="Y264" t="s">
        <v>180</v>
      </c>
      <c r="Z264">
        <f>0</f>
        <v>0</v>
      </c>
      <c r="AA264">
        <f>136</f>
        <v>136</v>
      </c>
      <c r="AB264" t="s">
        <v>1187</v>
      </c>
      <c r="AD264">
        <f>0</f>
        <v>0</v>
      </c>
      <c r="AE264">
        <f>0</f>
        <v>0</v>
      </c>
      <c r="AG264" t="s">
        <v>180</v>
      </c>
    </row>
    <row r="265" spans="1:81" x14ac:dyDescent="0.25">
      <c r="A265" t="s">
        <v>1188</v>
      </c>
      <c r="B265" t="s">
        <v>170</v>
      </c>
      <c r="C265" s="1">
        <v>46085</v>
      </c>
      <c r="D265" t="s">
        <v>251</v>
      </c>
      <c r="E265" t="s">
        <v>252</v>
      </c>
      <c r="F265" t="s">
        <v>265</v>
      </c>
      <c r="G265" t="s">
        <v>3941</v>
      </c>
      <c r="H265">
        <v>1463</v>
      </c>
      <c r="I265" t="s">
        <v>3941</v>
      </c>
      <c r="J265">
        <v>301</v>
      </c>
      <c r="K265" t="s">
        <v>4494</v>
      </c>
      <c r="L265" t="s">
        <v>3567</v>
      </c>
      <c r="M265" t="s">
        <v>3942</v>
      </c>
      <c r="N265" t="s">
        <v>4623</v>
      </c>
      <c r="O265" t="s">
        <v>1189</v>
      </c>
      <c r="Q265" t="s">
        <v>257</v>
      </c>
      <c r="R265">
        <f>1</f>
        <v>1</v>
      </c>
      <c r="S265">
        <f>5.9</f>
        <v>5.9</v>
      </c>
      <c r="T265">
        <f>8</f>
        <v>8</v>
      </c>
      <c r="U265">
        <f>199</f>
        <v>199</v>
      </c>
      <c r="X265">
        <f>0</f>
        <v>0</v>
      </c>
      <c r="Y265" t="s">
        <v>180</v>
      </c>
      <c r="Z265">
        <f>0</f>
        <v>0</v>
      </c>
      <c r="AA265">
        <f>0</f>
        <v>0</v>
      </c>
      <c r="AB265">
        <f>0</f>
        <v>0</v>
      </c>
      <c r="AC265">
        <f>0</f>
        <v>0</v>
      </c>
      <c r="AD265">
        <f>0</f>
        <v>0</v>
      </c>
      <c r="AE265">
        <f>0</f>
        <v>0</v>
      </c>
      <c r="AG265" t="s">
        <v>180</v>
      </c>
    </row>
    <row r="266" spans="1:81" x14ac:dyDescent="0.25">
      <c r="A266" t="s">
        <v>1190</v>
      </c>
      <c r="B266" t="s">
        <v>170</v>
      </c>
      <c r="C266" s="1">
        <v>46084</v>
      </c>
      <c r="D266" t="s">
        <v>251</v>
      </c>
      <c r="E266" t="s">
        <v>252</v>
      </c>
      <c r="F266" t="s">
        <v>3691</v>
      </c>
      <c r="G266" t="s">
        <v>1191</v>
      </c>
      <c r="H266">
        <v>1464</v>
      </c>
      <c r="I266" t="s">
        <v>1191</v>
      </c>
      <c r="J266">
        <v>230</v>
      </c>
      <c r="K266" t="s">
        <v>4492</v>
      </c>
      <c r="M266" t="s">
        <v>4624</v>
      </c>
      <c r="N266" t="s">
        <v>3719</v>
      </c>
      <c r="O266" t="s">
        <v>1192</v>
      </c>
      <c r="Q266" t="s">
        <v>3476</v>
      </c>
      <c r="R266">
        <f>1</f>
        <v>1</v>
      </c>
      <c r="S266">
        <f>7.9</f>
        <v>7.9</v>
      </c>
      <c r="T266">
        <f>7.6</f>
        <v>7.6</v>
      </c>
      <c r="U266">
        <f>330</f>
        <v>330</v>
      </c>
      <c r="X266">
        <f>0</f>
        <v>0</v>
      </c>
      <c r="Y266">
        <f>0.31</f>
        <v>0.31</v>
      </c>
      <c r="Z266">
        <f>0</f>
        <v>0</v>
      </c>
      <c r="AA266">
        <f>0</f>
        <v>0</v>
      </c>
      <c r="AB266">
        <f>0</f>
        <v>0</v>
      </c>
      <c r="AD266">
        <f>0</f>
        <v>0</v>
      </c>
      <c r="AE266">
        <f>0</f>
        <v>0</v>
      </c>
      <c r="AG266" t="s">
        <v>180</v>
      </c>
    </row>
    <row r="267" spans="1:81" x14ac:dyDescent="0.25">
      <c r="A267" t="s">
        <v>1193</v>
      </c>
      <c r="B267" t="s">
        <v>766</v>
      </c>
      <c r="C267" s="1">
        <v>46132</v>
      </c>
      <c r="D267" t="s">
        <v>222</v>
      </c>
      <c r="E267" t="s">
        <v>260</v>
      </c>
      <c r="F267" t="s">
        <v>518</v>
      </c>
      <c r="G267" t="s">
        <v>1194</v>
      </c>
      <c r="H267">
        <v>900</v>
      </c>
      <c r="I267" t="s">
        <v>1194</v>
      </c>
      <c r="J267">
        <v>322</v>
      </c>
      <c r="K267" t="s">
        <v>4494</v>
      </c>
      <c r="L267" t="s">
        <v>266</v>
      </c>
      <c r="M267" t="s">
        <v>1195</v>
      </c>
      <c r="N267" t="s">
        <v>4625</v>
      </c>
      <c r="O267" t="s">
        <v>1196</v>
      </c>
      <c r="Q267" t="s">
        <v>3489</v>
      </c>
      <c r="R267">
        <f>1</f>
        <v>1</v>
      </c>
      <c r="S267">
        <f>13</f>
        <v>13</v>
      </c>
      <c r="T267">
        <f>7.6</f>
        <v>7.6</v>
      </c>
      <c r="U267">
        <f>551</f>
        <v>551</v>
      </c>
      <c r="V267">
        <f>0.3</f>
        <v>0.3</v>
      </c>
      <c r="X267">
        <f>0</f>
        <v>0</v>
      </c>
      <c r="Y267">
        <f>0.49</f>
        <v>0.49</v>
      </c>
      <c r="Z267">
        <f>0</f>
        <v>0</v>
      </c>
      <c r="AA267">
        <f>52</f>
        <v>52</v>
      </c>
      <c r="AB267">
        <f>109</f>
        <v>109</v>
      </c>
      <c r="AC267">
        <f>0</f>
        <v>0</v>
      </c>
      <c r="AD267">
        <f>0</f>
        <v>0</v>
      </c>
      <c r="AE267">
        <f>1</f>
        <v>1</v>
      </c>
      <c r="AG267" t="s">
        <v>180</v>
      </c>
    </row>
    <row r="268" spans="1:81" x14ac:dyDescent="0.25">
      <c r="A268" t="s">
        <v>1197</v>
      </c>
      <c r="B268" t="s">
        <v>170</v>
      </c>
      <c r="C268" s="1">
        <v>46090</v>
      </c>
      <c r="D268" t="s">
        <v>222</v>
      </c>
      <c r="E268" t="s">
        <v>260</v>
      </c>
      <c r="F268" t="s">
        <v>518</v>
      </c>
      <c r="G268" t="s">
        <v>3943</v>
      </c>
      <c r="H268">
        <v>1480</v>
      </c>
      <c r="I268" t="s">
        <v>3943</v>
      </c>
      <c r="J268">
        <v>270</v>
      </c>
      <c r="K268" t="s">
        <v>4492</v>
      </c>
      <c r="L268" t="s">
        <v>266</v>
      </c>
      <c r="M268" t="s">
        <v>1198</v>
      </c>
      <c r="N268" t="s">
        <v>4626</v>
      </c>
      <c r="O268" t="s">
        <v>1199</v>
      </c>
      <c r="Q268" t="s">
        <v>3490</v>
      </c>
      <c r="R268">
        <f>1</f>
        <v>1</v>
      </c>
      <c r="S268">
        <f>9.9</f>
        <v>9.9</v>
      </c>
      <c r="T268">
        <f>7.5</f>
        <v>7.5</v>
      </c>
      <c r="U268">
        <f>586</f>
        <v>586</v>
      </c>
      <c r="V268">
        <f>0.14</f>
        <v>0.14000000000000001</v>
      </c>
      <c r="X268">
        <f>1</f>
        <v>1</v>
      </c>
      <c r="Y268" t="s">
        <v>180</v>
      </c>
      <c r="Z268">
        <f>0</f>
        <v>0</v>
      </c>
      <c r="AA268" t="s">
        <v>179</v>
      </c>
      <c r="AB268" t="s">
        <v>179</v>
      </c>
      <c r="AD268">
        <f>0</f>
        <v>0</v>
      </c>
      <c r="AE268">
        <f>0</f>
        <v>0</v>
      </c>
      <c r="AG268" t="s">
        <v>180</v>
      </c>
    </row>
    <row r="269" spans="1:81" x14ac:dyDescent="0.25">
      <c r="A269" t="s">
        <v>1200</v>
      </c>
      <c r="B269" t="s">
        <v>766</v>
      </c>
      <c r="C269" s="1">
        <v>46080</v>
      </c>
      <c r="D269" t="s">
        <v>302</v>
      </c>
      <c r="E269" t="s">
        <v>303</v>
      </c>
      <c r="F269" t="s">
        <v>3338</v>
      </c>
      <c r="G269" t="s">
        <v>1201</v>
      </c>
      <c r="H269">
        <v>1233</v>
      </c>
      <c r="I269" t="s">
        <v>1201</v>
      </c>
      <c r="J269">
        <v>160</v>
      </c>
      <c r="K269" t="s">
        <v>4494</v>
      </c>
      <c r="L269" t="s">
        <v>3331</v>
      </c>
      <c r="M269" t="s">
        <v>4627</v>
      </c>
      <c r="N269" t="s">
        <v>4628</v>
      </c>
      <c r="O269" t="s">
        <v>1202</v>
      </c>
      <c r="R269">
        <f>1</f>
        <v>1</v>
      </c>
      <c r="S269">
        <f>5.2</f>
        <v>5.2</v>
      </c>
      <c r="T269">
        <f>7.4</f>
        <v>7.4</v>
      </c>
      <c r="U269">
        <f>140</f>
        <v>140</v>
      </c>
      <c r="X269">
        <f>0</f>
        <v>0</v>
      </c>
      <c r="Y269" t="s">
        <v>180</v>
      </c>
      <c r="Z269">
        <f>0</f>
        <v>0</v>
      </c>
      <c r="AA269" t="s">
        <v>179</v>
      </c>
      <c r="AB269" t="s">
        <v>179</v>
      </c>
      <c r="AC269">
        <f>0</f>
        <v>0</v>
      </c>
      <c r="AD269">
        <f>0</f>
        <v>0</v>
      </c>
      <c r="AE269">
        <f>1</f>
        <v>1</v>
      </c>
      <c r="AG269" t="s">
        <v>180</v>
      </c>
      <c r="AH269">
        <f>0.6</f>
        <v>0.6</v>
      </c>
      <c r="AK269" t="s">
        <v>181</v>
      </c>
      <c r="AL269" t="s">
        <v>182</v>
      </c>
      <c r="AM269">
        <f>1.2</f>
        <v>1.2</v>
      </c>
      <c r="AN269">
        <f>0.02</f>
        <v>0.02</v>
      </c>
      <c r="AO269">
        <f>6.6</f>
        <v>6.6</v>
      </c>
      <c r="AP269">
        <f>31</f>
        <v>31</v>
      </c>
      <c r="AQ269" t="s">
        <v>180</v>
      </c>
    </row>
    <row r="270" spans="1:81" x14ac:dyDescent="0.25">
      <c r="A270" t="s">
        <v>1203</v>
      </c>
      <c r="B270" t="s">
        <v>170</v>
      </c>
      <c r="C270" s="1">
        <v>46087</v>
      </c>
      <c r="D270" t="s">
        <v>302</v>
      </c>
      <c r="E270" t="s">
        <v>303</v>
      </c>
      <c r="F270" t="s">
        <v>3338</v>
      </c>
      <c r="G270" t="s">
        <v>1204</v>
      </c>
      <c r="H270">
        <v>1234</v>
      </c>
      <c r="I270" t="s">
        <v>1204</v>
      </c>
      <c r="J270">
        <v>135</v>
      </c>
      <c r="K270" t="s">
        <v>4494</v>
      </c>
      <c r="L270" t="s">
        <v>3331</v>
      </c>
      <c r="M270" t="s">
        <v>3352</v>
      </c>
      <c r="N270" t="s">
        <v>3353</v>
      </c>
      <c r="O270" t="s">
        <v>1205</v>
      </c>
      <c r="R270">
        <f>1</f>
        <v>1</v>
      </c>
      <c r="S270">
        <f>6.2</f>
        <v>6.2</v>
      </c>
      <c r="T270">
        <f>7.6</f>
        <v>7.6</v>
      </c>
      <c r="U270">
        <f>93</f>
        <v>93</v>
      </c>
      <c r="X270">
        <f>0</f>
        <v>0</v>
      </c>
      <c r="Y270">
        <f>0.26</f>
        <v>0.26</v>
      </c>
      <c r="Z270">
        <f>0</f>
        <v>0</v>
      </c>
      <c r="AA270" t="s">
        <v>179</v>
      </c>
      <c r="AB270" t="s">
        <v>179</v>
      </c>
      <c r="AC270">
        <f>0</f>
        <v>0</v>
      </c>
      <c r="AD270">
        <f>0</f>
        <v>0</v>
      </c>
      <c r="AE270">
        <f>0</f>
        <v>0</v>
      </c>
      <c r="AG270" t="s">
        <v>180</v>
      </c>
    </row>
    <row r="271" spans="1:81" x14ac:dyDescent="0.25">
      <c r="A271" t="s">
        <v>1206</v>
      </c>
      <c r="B271" t="s">
        <v>170</v>
      </c>
      <c r="C271" s="1">
        <v>46090</v>
      </c>
      <c r="D271" t="s">
        <v>222</v>
      </c>
      <c r="E271" t="s">
        <v>260</v>
      </c>
      <c r="F271" t="s">
        <v>4249</v>
      </c>
      <c r="G271" t="s">
        <v>1207</v>
      </c>
      <c r="H271">
        <v>857</v>
      </c>
      <c r="I271" t="s">
        <v>4629</v>
      </c>
      <c r="J271">
        <v>270</v>
      </c>
      <c r="K271" t="s">
        <v>4492</v>
      </c>
      <c r="L271" t="s">
        <v>266</v>
      </c>
      <c r="M271" t="s">
        <v>4630</v>
      </c>
      <c r="N271" t="s">
        <v>3944</v>
      </c>
      <c r="O271" t="s">
        <v>1208</v>
      </c>
      <c r="R271">
        <f>1</f>
        <v>1</v>
      </c>
      <c r="S271">
        <f>8.4</f>
        <v>8.4</v>
      </c>
      <c r="T271">
        <f>7.6</f>
        <v>7.6</v>
      </c>
      <c r="U271">
        <f>479</f>
        <v>479</v>
      </c>
      <c r="V271">
        <f>0.2</f>
        <v>0.2</v>
      </c>
      <c r="X271">
        <f>1</f>
        <v>1</v>
      </c>
      <c r="Y271">
        <f>0.13</f>
        <v>0.13</v>
      </c>
      <c r="Z271">
        <f>0</f>
        <v>0</v>
      </c>
      <c r="AA271" t="s">
        <v>179</v>
      </c>
      <c r="AB271" t="s">
        <v>179</v>
      </c>
      <c r="AD271">
        <f>0</f>
        <v>0</v>
      </c>
      <c r="AE271">
        <f>0</f>
        <v>0</v>
      </c>
      <c r="AG271" t="s">
        <v>180</v>
      </c>
    </row>
    <row r="272" spans="1:81" x14ac:dyDescent="0.25">
      <c r="A272" t="s">
        <v>1209</v>
      </c>
      <c r="B272" t="s">
        <v>170</v>
      </c>
      <c r="C272" s="1">
        <v>46097</v>
      </c>
      <c r="D272" t="s">
        <v>184</v>
      </c>
      <c r="E272" t="s">
        <v>546</v>
      </c>
      <c r="F272" t="s">
        <v>547</v>
      </c>
      <c r="G272" t="s">
        <v>1210</v>
      </c>
      <c r="H272">
        <v>1503</v>
      </c>
      <c r="I272" t="s">
        <v>1210</v>
      </c>
      <c r="J272">
        <v>350</v>
      </c>
      <c r="K272" t="s">
        <v>4492</v>
      </c>
      <c r="L272" t="s">
        <v>266</v>
      </c>
      <c r="M272" t="s">
        <v>4631</v>
      </c>
      <c r="N272" t="s">
        <v>1211</v>
      </c>
      <c r="O272" t="s">
        <v>1212</v>
      </c>
      <c r="R272">
        <f>1</f>
        <v>1</v>
      </c>
      <c r="S272">
        <f>9</f>
        <v>9</v>
      </c>
      <c r="T272">
        <f>7.6</f>
        <v>7.6</v>
      </c>
      <c r="U272">
        <f>689</f>
        <v>689</v>
      </c>
      <c r="V272">
        <f>0.22</f>
        <v>0.22</v>
      </c>
      <c r="X272">
        <f>0</f>
        <v>0</v>
      </c>
      <c r="Y272" t="s">
        <v>180</v>
      </c>
      <c r="Z272">
        <f>0</f>
        <v>0</v>
      </c>
      <c r="AA272" t="s">
        <v>179</v>
      </c>
      <c r="AB272" t="s">
        <v>179</v>
      </c>
      <c r="AD272">
        <f>0</f>
        <v>0</v>
      </c>
      <c r="AE272">
        <f>0</f>
        <v>0</v>
      </c>
      <c r="AG272" t="s">
        <v>180</v>
      </c>
      <c r="AH272" t="s">
        <v>193</v>
      </c>
      <c r="AK272" t="s">
        <v>181</v>
      </c>
      <c r="AL272" t="s">
        <v>182</v>
      </c>
      <c r="AM272">
        <f>4</f>
        <v>4</v>
      </c>
      <c r="AN272">
        <f>0.08</f>
        <v>0.08</v>
      </c>
      <c r="AO272">
        <f>26</f>
        <v>26</v>
      </c>
      <c r="AP272">
        <f>59</f>
        <v>59</v>
      </c>
      <c r="AQ272" t="s">
        <v>180</v>
      </c>
      <c r="CC272">
        <f>0.41</f>
        <v>0.41</v>
      </c>
    </row>
    <row r="273" spans="1:81" x14ac:dyDescent="0.25">
      <c r="A273" t="s">
        <v>1213</v>
      </c>
      <c r="B273" t="s">
        <v>170</v>
      </c>
      <c r="C273" s="1">
        <v>46079</v>
      </c>
      <c r="D273" t="s">
        <v>184</v>
      </c>
      <c r="E273" t="s">
        <v>185</v>
      </c>
      <c r="F273" t="s">
        <v>419</v>
      </c>
      <c r="G273" t="s">
        <v>1214</v>
      </c>
      <c r="H273">
        <v>1486</v>
      </c>
      <c r="I273" t="s">
        <v>1214</v>
      </c>
      <c r="J273">
        <v>484</v>
      </c>
      <c r="K273" t="s">
        <v>4492</v>
      </c>
      <c r="L273" t="s">
        <v>176</v>
      </c>
      <c r="M273" t="s">
        <v>1215</v>
      </c>
      <c r="N273" t="s">
        <v>1216</v>
      </c>
      <c r="O273" t="s">
        <v>1217</v>
      </c>
      <c r="R273">
        <f>1</f>
        <v>1</v>
      </c>
      <c r="S273">
        <f>7.9</f>
        <v>7.9</v>
      </c>
      <c r="T273">
        <f>7.6</f>
        <v>7.6</v>
      </c>
      <c r="U273">
        <f>626</f>
        <v>626</v>
      </c>
      <c r="X273">
        <f>0</f>
        <v>0</v>
      </c>
      <c r="Y273" t="s">
        <v>180</v>
      </c>
      <c r="Z273">
        <f>0</f>
        <v>0</v>
      </c>
      <c r="AA273" t="s">
        <v>179</v>
      </c>
      <c r="AB273" t="s">
        <v>179</v>
      </c>
      <c r="AD273">
        <f>0</f>
        <v>0</v>
      </c>
      <c r="AE273">
        <f>0</f>
        <v>0</v>
      </c>
      <c r="AG273" t="s">
        <v>180</v>
      </c>
    </row>
    <row r="274" spans="1:81" x14ac:dyDescent="0.25">
      <c r="A274" t="s">
        <v>1218</v>
      </c>
      <c r="B274" t="s">
        <v>170</v>
      </c>
      <c r="C274" s="1">
        <v>46125</v>
      </c>
      <c r="D274" t="s">
        <v>184</v>
      </c>
      <c r="E274" t="s">
        <v>546</v>
      </c>
      <c r="F274" t="s">
        <v>547</v>
      </c>
      <c r="G274" t="s">
        <v>4317</v>
      </c>
      <c r="H274">
        <v>1516</v>
      </c>
      <c r="I274" t="s">
        <v>4317</v>
      </c>
      <c r="J274">
        <v>584</v>
      </c>
      <c r="K274" t="s">
        <v>4492</v>
      </c>
      <c r="L274" t="s">
        <v>266</v>
      </c>
      <c r="M274" t="s">
        <v>3945</v>
      </c>
      <c r="N274" t="s">
        <v>3354</v>
      </c>
      <c r="O274" t="s">
        <v>1219</v>
      </c>
      <c r="R274">
        <f>1</f>
        <v>1</v>
      </c>
      <c r="S274">
        <f>14.5</f>
        <v>14.5</v>
      </c>
      <c r="T274">
        <f>7.5</f>
        <v>7.5</v>
      </c>
      <c r="U274">
        <f>582</f>
        <v>582</v>
      </c>
      <c r="V274">
        <f>0.18</f>
        <v>0.18</v>
      </c>
      <c r="X274">
        <f>0</f>
        <v>0</v>
      </c>
      <c r="Y274">
        <f>0.1</f>
        <v>0.1</v>
      </c>
      <c r="Z274">
        <f>0</f>
        <v>0</v>
      </c>
      <c r="AA274" t="s">
        <v>179</v>
      </c>
      <c r="AB274" t="s">
        <v>179</v>
      </c>
      <c r="AD274">
        <f>0</f>
        <v>0</v>
      </c>
      <c r="AE274">
        <f>0</f>
        <v>0</v>
      </c>
      <c r="AG274" t="s">
        <v>180</v>
      </c>
      <c r="AH274" t="s">
        <v>193</v>
      </c>
      <c r="AK274" t="s">
        <v>181</v>
      </c>
      <c r="AL274" t="s">
        <v>182</v>
      </c>
      <c r="AM274">
        <f>4.9</f>
        <v>4.9000000000000004</v>
      </c>
      <c r="AN274">
        <f>0.1</f>
        <v>0.1</v>
      </c>
      <c r="AO274">
        <f>9.5</f>
        <v>9.5</v>
      </c>
      <c r="AP274">
        <f>3.2</f>
        <v>3.2</v>
      </c>
      <c r="AQ274" t="s">
        <v>180</v>
      </c>
    </row>
    <row r="275" spans="1:81" x14ac:dyDescent="0.25">
      <c r="A275" t="s">
        <v>1220</v>
      </c>
      <c r="B275" t="s">
        <v>170</v>
      </c>
      <c r="C275" s="1">
        <v>46083</v>
      </c>
      <c r="D275" t="s">
        <v>216</v>
      </c>
      <c r="E275" t="s">
        <v>217</v>
      </c>
      <c r="F275" t="s">
        <v>1221</v>
      </c>
      <c r="G275" t="s">
        <v>1222</v>
      </c>
      <c r="H275">
        <v>1512</v>
      </c>
      <c r="I275" t="s">
        <v>1222</v>
      </c>
      <c r="J275">
        <v>150</v>
      </c>
      <c r="K275" t="s">
        <v>4494</v>
      </c>
      <c r="M275" t="s">
        <v>1222</v>
      </c>
      <c r="N275" t="s">
        <v>1223</v>
      </c>
      <c r="O275" t="s">
        <v>1224</v>
      </c>
      <c r="Q275" t="s">
        <v>3468</v>
      </c>
      <c r="R275">
        <f>1</f>
        <v>1</v>
      </c>
      <c r="S275">
        <f>8.8</f>
        <v>8.8000000000000007</v>
      </c>
      <c r="T275">
        <f>8.3</f>
        <v>8.3000000000000007</v>
      </c>
      <c r="U275">
        <f>178</f>
        <v>178</v>
      </c>
      <c r="X275">
        <f>1</f>
        <v>1</v>
      </c>
      <c r="Y275">
        <f>0.1</f>
        <v>0.1</v>
      </c>
      <c r="Z275">
        <f>0</f>
        <v>0</v>
      </c>
      <c r="AA275">
        <f>0</f>
        <v>0</v>
      </c>
      <c r="AB275">
        <f>0</f>
        <v>0</v>
      </c>
      <c r="AC275">
        <f>0</f>
        <v>0</v>
      </c>
      <c r="AD275">
        <f>0</f>
        <v>0</v>
      </c>
      <c r="AE275">
        <f>0</f>
        <v>0</v>
      </c>
      <c r="AG275" t="s">
        <v>220</v>
      </c>
      <c r="CC275">
        <f>0.44</f>
        <v>0.44</v>
      </c>
    </row>
    <row r="276" spans="1:81" x14ac:dyDescent="0.25">
      <c r="A276" t="s">
        <v>1225</v>
      </c>
      <c r="B276" t="s">
        <v>170</v>
      </c>
      <c r="C276" s="1">
        <v>46127</v>
      </c>
      <c r="D276" t="s">
        <v>251</v>
      </c>
      <c r="E276" t="s">
        <v>252</v>
      </c>
      <c r="F276" t="s">
        <v>265</v>
      </c>
      <c r="G276" t="s">
        <v>4318</v>
      </c>
      <c r="H276">
        <v>58</v>
      </c>
      <c r="I276" t="s">
        <v>4318</v>
      </c>
      <c r="J276">
        <v>274</v>
      </c>
      <c r="K276" t="s">
        <v>4492</v>
      </c>
      <c r="L276" t="s">
        <v>271</v>
      </c>
      <c r="M276" t="s">
        <v>3355</v>
      </c>
      <c r="N276" t="s">
        <v>3356</v>
      </c>
      <c r="O276" t="s">
        <v>1226</v>
      </c>
      <c r="Q276" t="s">
        <v>3491</v>
      </c>
      <c r="R276">
        <f>1</f>
        <v>1</v>
      </c>
      <c r="S276">
        <f>8.8</f>
        <v>8.8000000000000007</v>
      </c>
      <c r="T276">
        <f>7.7</f>
        <v>7.7</v>
      </c>
      <c r="U276">
        <f>375</f>
        <v>375</v>
      </c>
      <c r="X276">
        <f>0</f>
        <v>0</v>
      </c>
      <c r="Y276" t="s">
        <v>180</v>
      </c>
      <c r="Z276">
        <f>0</f>
        <v>0</v>
      </c>
      <c r="AA276">
        <f>16</f>
        <v>16</v>
      </c>
      <c r="AB276">
        <f>0</f>
        <v>0</v>
      </c>
      <c r="AD276">
        <f>0</f>
        <v>0</v>
      </c>
      <c r="AE276">
        <f>0</f>
        <v>0</v>
      </c>
      <c r="AG276" t="s">
        <v>180</v>
      </c>
      <c r="AH276" t="s">
        <v>284</v>
      </c>
      <c r="AK276" t="s">
        <v>285</v>
      </c>
      <c r="AL276" t="s">
        <v>286</v>
      </c>
      <c r="AM276">
        <f>1.2</f>
        <v>1.2</v>
      </c>
      <c r="AN276">
        <f>0.024</f>
        <v>2.4E-2</v>
      </c>
      <c r="AO276">
        <f>3.5</f>
        <v>3.5</v>
      </c>
      <c r="AP276" t="s">
        <v>284</v>
      </c>
      <c r="AQ276" t="s">
        <v>284</v>
      </c>
    </row>
    <row r="277" spans="1:81" x14ac:dyDescent="0.25">
      <c r="A277" t="s">
        <v>1227</v>
      </c>
      <c r="B277" t="s">
        <v>170</v>
      </c>
      <c r="C277" s="1">
        <v>46080</v>
      </c>
      <c r="D277" t="s">
        <v>184</v>
      </c>
      <c r="E277" t="s">
        <v>546</v>
      </c>
      <c r="F277" t="s">
        <v>1228</v>
      </c>
      <c r="G277" t="s">
        <v>1229</v>
      </c>
      <c r="H277">
        <v>1533</v>
      </c>
      <c r="I277" t="s">
        <v>1229</v>
      </c>
      <c r="J277">
        <v>350</v>
      </c>
      <c r="K277" t="s">
        <v>4494</v>
      </c>
      <c r="L277" t="s">
        <v>369</v>
      </c>
      <c r="M277" t="s">
        <v>1229</v>
      </c>
      <c r="N277" t="s">
        <v>3946</v>
      </c>
      <c r="O277" t="s">
        <v>1230</v>
      </c>
      <c r="Q277" t="s">
        <v>1231</v>
      </c>
      <c r="R277">
        <f>1</f>
        <v>1</v>
      </c>
      <c r="S277">
        <f>8.1</f>
        <v>8.1</v>
      </c>
      <c r="T277">
        <f>6.6</f>
        <v>6.6</v>
      </c>
      <c r="U277">
        <f>68</f>
        <v>68</v>
      </c>
      <c r="V277">
        <f>0.16</f>
        <v>0.16</v>
      </c>
      <c r="X277">
        <f>0</f>
        <v>0</v>
      </c>
      <c r="Y277" t="s">
        <v>180</v>
      </c>
      <c r="Z277">
        <f>0</f>
        <v>0</v>
      </c>
      <c r="AA277" t="s">
        <v>179</v>
      </c>
      <c r="AB277" t="s">
        <v>179</v>
      </c>
      <c r="AC277">
        <f>0</f>
        <v>0</v>
      </c>
      <c r="AD277">
        <f>0</f>
        <v>0</v>
      </c>
      <c r="AE277">
        <f>0</f>
        <v>0</v>
      </c>
      <c r="AG277" t="s">
        <v>180</v>
      </c>
      <c r="AH277" t="s">
        <v>193</v>
      </c>
      <c r="AK277" t="s">
        <v>181</v>
      </c>
      <c r="AL277" t="s">
        <v>182</v>
      </c>
      <c r="AM277">
        <f>3</f>
        <v>3</v>
      </c>
      <c r="AN277">
        <f>0.06</f>
        <v>0.06</v>
      </c>
      <c r="AO277">
        <f>4</f>
        <v>4</v>
      </c>
      <c r="AP277">
        <f>1.5</f>
        <v>1.5</v>
      </c>
      <c r="AQ277" t="s">
        <v>180</v>
      </c>
      <c r="CC277">
        <f>0.44</f>
        <v>0.44</v>
      </c>
    </row>
    <row r="278" spans="1:81" x14ac:dyDescent="0.25">
      <c r="A278" t="s">
        <v>1232</v>
      </c>
      <c r="B278" t="s">
        <v>766</v>
      </c>
      <c r="C278" s="1">
        <v>46133</v>
      </c>
      <c r="D278" t="s">
        <v>184</v>
      </c>
      <c r="E278" t="s">
        <v>185</v>
      </c>
      <c r="F278" t="s">
        <v>1084</v>
      </c>
      <c r="G278" t="s">
        <v>1233</v>
      </c>
      <c r="H278">
        <v>571</v>
      </c>
      <c r="I278" t="s">
        <v>1233</v>
      </c>
      <c r="J278">
        <v>376</v>
      </c>
      <c r="K278" t="s">
        <v>4494</v>
      </c>
      <c r="L278" t="s">
        <v>271</v>
      </c>
      <c r="M278" t="s">
        <v>1234</v>
      </c>
      <c r="N278" t="s">
        <v>1235</v>
      </c>
      <c r="O278" t="s">
        <v>1236</v>
      </c>
      <c r="R278">
        <f>1</f>
        <v>1</v>
      </c>
      <c r="S278">
        <f>13.5</f>
        <v>13.5</v>
      </c>
      <c r="T278">
        <f>7.6</f>
        <v>7.6</v>
      </c>
      <c r="U278">
        <f>430</f>
        <v>430</v>
      </c>
      <c r="X278">
        <f>0</f>
        <v>0</v>
      </c>
      <c r="Y278" t="s">
        <v>180</v>
      </c>
      <c r="Z278">
        <f>0</f>
        <v>0</v>
      </c>
      <c r="AA278" t="s">
        <v>179</v>
      </c>
      <c r="AB278" t="s">
        <v>179</v>
      </c>
      <c r="AC278">
        <f>0</f>
        <v>0</v>
      </c>
      <c r="AD278">
        <f>0</f>
        <v>0</v>
      </c>
      <c r="AE278">
        <f>6</f>
        <v>6</v>
      </c>
      <c r="AG278" t="s">
        <v>180</v>
      </c>
    </row>
    <row r="279" spans="1:81" x14ac:dyDescent="0.25">
      <c r="A279" t="s">
        <v>1237</v>
      </c>
      <c r="B279" t="s">
        <v>170</v>
      </c>
      <c r="C279" s="1">
        <v>46113</v>
      </c>
      <c r="D279" t="s">
        <v>216</v>
      </c>
      <c r="E279" t="s">
        <v>217</v>
      </c>
      <c r="F279" t="s">
        <v>3312</v>
      </c>
      <c r="G279" t="s">
        <v>1238</v>
      </c>
      <c r="H279">
        <v>1536</v>
      </c>
      <c r="I279" t="s">
        <v>1239</v>
      </c>
      <c r="J279">
        <v>151</v>
      </c>
      <c r="K279" t="s">
        <v>4494</v>
      </c>
      <c r="L279" t="s">
        <v>3593</v>
      </c>
      <c r="M279" t="s">
        <v>3947</v>
      </c>
      <c r="N279" t="s">
        <v>1240</v>
      </c>
      <c r="O279" t="s">
        <v>1241</v>
      </c>
      <c r="R279">
        <f>1</f>
        <v>1</v>
      </c>
      <c r="S279">
        <f>12.7</f>
        <v>12.7</v>
      </c>
      <c r="T279">
        <f>8.4</f>
        <v>8.4</v>
      </c>
      <c r="U279">
        <f>341</f>
        <v>341</v>
      </c>
      <c r="X279">
        <f>1</f>
        <v>1</v>
      </c>
      <c r="Y279">
        <f>0.19</f>
        <v>0.19</v>
      </c>
      <c r="Z279">
        <f>0</f>
        <v>0</v>
      </c>
      <c r="AA279">
        <f>0</f>
        <v>0</v>
      </c>
      <c r="AB279">
        <f>1</f>
        <v>1</v>
      </c>
      <c r="AC279">
        <f>0</f>
        <v>0</v>
      </c>
      <c r="AD279">
        <f>0</f>
        <v>0</v>
      </c>
      <c r="AE279">
        <f>0</f>
        <v>0</v>
      </c>
      <c r="AG279" t="s">
        <v>220</v>
      </c>
      <c r="AH279">
        <f>0.48</f>
        <v>0.48</v>
      </c>
      <c r="AK279" t="s">
        <v>285</v>
      </c>
      <c r="AL279" t="s">
        <v>181</v>
      </c>
      <c r="AM279">
        <f>6.1</f>
        <v>6.1</v>
      </c>
      <c r="AN279">
        <f>0.12</f>
        <v>0.12</v>
      </c>
      <c r="AO279">
        <f>3.2</f>
        <v>3.2</v>
      </c>
      <c r="AP279">
        <f>2.9</f>
        <v>2.9</v>
      </c>
      <c r="AQ279" t="s">
        <v>284</v>
      </c>
    </row>
    <row r="280" spans="1:81" x14ac:dyDescent="0.25">
      <c r="A280" t="s">
        <v>1242</v>
      </c>
      <c r="B280" t="s">
        <v>170</v>
      </c>
      <c r="C280" s="1">
        <v>46126</v>
      </c>
      <c r="D280" t="s">
        <v>216</v>
      </c>
      <c r="E280" t="s">
        <v>217</v>
      </c>
      <c r="F280" t="s">
        <v>368</v>
      </c>
      <c r="G280" t="s">
        <v>1243</v>
      </c>
      <c r="H280">
        <v>395</v>
      </c>
      <c r="I280" t="s">
        <v>1243</v>
      </c>
      <c r="J280">
        <v>145</v>
      </c>
      <c r="K280" t="s">
        <v>4494</v>
      </c>
      <c r="L280" t="s">
        <v>369</v>
      </c>
      <c r="M280" t="s">
        <v>4632</v>
      </c>
      <c r="N280" t="s">
        <v>1244</v>
      </c>
      <c r="O280" t="s">
        <v>1245</v>
      </c>
      <c r="R280">
        <f>1</f>
        <v>1</v>
      </c>
      <c r="S280">
        <f>10.7</f>
        <v>10.7</v>
      </c>
      <c r="T280">
        <f>8.2</f>
        <v>8.1999999999999993</v>
      </c>
      <c r="U280">
        <f>197</f>
        <v>197</v>
      </c>
      <c r="V280">
        <f>0.05</f>
        <v>0.05</v>
      </c>
      <c r="X280">
        <f>1</f>
        <v>1</v>
      </c>
      <c r="Y280">
        <f>0.13</f>
        <v>0.13</v>
      </c>
      <c r="Z280">
        <f>0</f>
        <v>0</v>
      </c>
      <c r="AA280">
        <f>0</f>
        <v>0</v>
      </c>
      <c r="AB280">
        <f>0</f>
        <v>0</v>
      </c>
      <c r="AC280">
        <f>0</f>
        <v>0</v>
      </c>
      <c r="AD280">
        <f>0</f>
        <v>0</v>
      </c>
      <c r="AE280">
        <f>0</f>
        <v>0</v>
      </c>
      <c r="AG280" t="s">
        <v>220</v>
      </c>
      <c r="AH280" t="s">
        <v>411</v>
      </c>
      <c r="AK280" t="s">
        <v>285</v>
      </c>
      <c r="AL280" t="s">
        <v>181</v>
      </c>
      <c r="AM280" t="s">
        <v>284</v>
      </c>
      <c r="AN280">
        <f>0</f>
        <v>0</v>
      </c>
      <c r="AO280">
        <f>2.2</f>
        <v>2.2000000000000002</v>
      </c>
      <c r="AP280" t="s">
        <v>284</v>
      </c>
      <c r="AQ280" t="s">
        <v>284</v>
      </c>
    </row>
    <row r="281" spans="1:81" x14ac:dyDescent="0.25">
      <c r="A281" t="s">
        <v>1246</v>
      </c>
      <c r="B281" t="s">
        <v>170</v>
      </c>
      <c r="C281" s="1">
        <v>46126</v>
      </c>
      <c r="D281" t="s">
        <v>216</v>
      </c>
      <c r="E281" t="s">
        <v>217</v>
      </c>
      <c r="F281" t="s">
        <v>368</v>
      </c>
      <c r="G281" t="s">
        <v>1247</v>
      </c>
      <c r="H281">
        <v>267</v>
      </c>
      <c r="I281" t="s">
        <v>1247</v>
      </c>
      <c r="J281">
        <v>146</v>
      </c>
      <c r="K281" t="s">
        <v>4494</v>
      </c>
      <c r="L281" t="s">
        <v>369</v>
      </c>
      <c r="M281" t="s">
        <v>1248</v>
      </c>
      <c r="N281" t="s">
        <v>1249</v>
      </c>
      <c r="O281" t="s">
        <v>1250</v>
      </c>
      <c r="R281">
        <f>1</f>
        <v>1</v>
      </c>
      <c r="S281">
        <f>10</f>
        <v>10</v>
      </c>
      <c r="T281">
        <f>8.4</f>
        <v>8.4</v>
      </c>
      <c r="U281">
        <f>248</f>
        <v>248</v>
      </c>
      <c r="V281">
        <f>0.05</f>
        <v>0.05</v>
      </c>
      <c r="X281">
        <f>1</f>
        <v>1</v>
      </c>
      <c r="Y281">
        <f>0.26</f>
        <v>0.26</v>
      </c>
      <c r="Z281">
        <f>0</f>
        <v>0</v>
      </c>
      <c r="AA281">
        <f>0</f>
        <v>0</v>
      </c>
      <c r="AB281">
        <f>0</f>
        <v>0</v>
      </c>
      <c r="AC281">
        <f>0</f>
        <v>0</v>
      </c>
      <c r="AD281">
        <f>0</f>
        <v>0</v>
      </c>
      <c r="AE281">
        <f>0</f>
        <v>0</v>
      </c>
      <c r="AG281" t="s">
        <v>220</v>
      </c>
    </row>
    <row r="282" spans="1:81" x14ac:dyDescent="0.25">
      <c r="A282" t="s">
        <v>1251</v>
      </c>
      <c r="B282" t="s">
        <v>170</v>
      </c>
      <c r="C282" s="1">
        <v>46126</v>
      </c>
      <c r="D282" t="s">
        <v>216</v>
      </c>
      <c r="E282" t="s">
        <v>217</v>
      </c>
      <c r="F282" t="s">
        <v>368</v>
      </c>
      <c r="G282" t="s">
        <v>1252</v>
      </c>
      <c r="H282">
        <v>410</v>
      </c>
      <c r="I282" t="s">
        <v>1252</v>
      </c>
      <c r="J282">
        <v>139</v>
      </c>
      <c r="K282" t="s">
        <v>4494</v>
      </c>
      <c r="L282" t="s">
        <v>369</v>
      </c>
      <c r="M282" t="s">
        <v>4633</v>
      </c>
      <c r="N282" t="s">
        <v>1253</v>
      </c>
      <c r="O282" t="s">
        <v>1254</v>
      </c>
      <c r="R282">
        <f>1</f>
        <v>1</v>
      </c>
      <c r="S282">
        <f>9.8</f>
        <v>9.8000000000000007</v>
      </c>
      <c r="T282">
        <f>8.5</f>
        <v>8.5</v>
      </c>
      <c r="U282">
        <f>216</f>
        <v>216</v>
      </c>
      <c r="V282">
        <f>0.1</f>
        <v>0.1</v>
      </c>
      <c r="X282">
        <f>1</f>
        <v>1</v>
      </c>
      <c r="Y282">
        <f>0.16</f>
        <v>0.16</v>
      </c>
      <c r="Z282">
        <f>0</f>
        <v>0</v>
      </c>
      <c r="AA282">
        <f>0</f>
        <v>0</v>
      </c>
      <c r="AB282">
        <f>0</f>
        <v>0</v>
      </c>
      <c r="AC282">
        <f>0</f>
        <v>0</v>
      </c>
      <c r="AD282">
        <f>0</f>
        <v>0</v>
      </c>
      <c r="AE282">
        <f>0</f>
        <v>0</v>
      </c>
      <c r="AG282" t="s">
        <v>220</v>
      </c>
      <c r="AH282">
        <f>1</f>
        <v>1</v>
      </c>
      <c r="AK282" t="s">
        <v>285</v>
      </c>
      <c r="AL282" t="s">
        <v>181</v>
      </c>
      <c r="AM282">
        <f>2.1</f>
        <v>2.1</v>
      </c>
      <c r="AN282">
        <f>0.04</f>
        <v>0.04</v>
      </c>
      <c r="AO282" t="s">
        <v>284</v>
      </c>
      <c r="AP282" t="s">
        <v>284</v>
      </c>
      <c r="AQ282" t="s">
        <v>284</v>
      </c>
    </row>
    <row r="283" spans="1:81" x14ac:dyDescent="0.25">
      <c r="A283" t="s">
        <v>1255</v>
      </c>
      <c r="B283" t="s">
        <v>170</v>
      </c>
      <c r="C283" s="1">
        <v>46126</v>
      </c>
      <c r="D283" t="s">
        <v>216</v>
      </c>
      <c r="E283" t="s">
        <v>217</v>
      </c>
      <c r="F283" t="s">
        <v>368</v>
      </c>
      <c r="G283" t="s">
        <v>1256</v>
      </c>
      <c r="H283">
        <v>259</v>
      </c>
      <c r="I283" t="s">
        <v>1256</v>
      </c>
      <c r="J283">
        <v>177</v>
      </c>
      <c r="K283" t="s">
        <v>4494</v>
      </c>
      <c r="L283" t="s">
        <v>266</v>
      </c>
      <c r="M283" t="s">
        <v>1257</v>
      </c>
      <c r="N283" t="s">
        <v>1258</v>
      </c>
      <c r="O283" t="s">
        <v>1259</v>
      </c>
      <c r="R283">
        <f>1</f>
        <v>1</v>
      </c>
      <c r="S283">
        <f>9.6</f>
        <v>9.6</v>
      </c>
      <c r="T283">
        <f>8.4</f>
        <v>8.4</v>
      </c>
      <c r="U283">
        <f>203</f>
        <v>203</v>
      </c>
      <c r="V283" t="s">
        <v>192</v>
      </c>
      <c r="X283">
        <f>1</f>
        <v>1</v>
      </c>
      <c r="Y283">
        <f>0.1</f>
        <v>0.1</v>
      </c>
      <c r="Z283">
        <f>0</f>
        <v>0</v>
      </c>
      <c r="AA283">
        <f>0</f>
        <v>0</v>
      </c>
      <c r="AB283">
        <f>0</f>
        <v>0</v>
      </c>
      <c r="AC283">
        <f>0</f>
        <v>0</v>
      </c>
      <c r="AD283">
        <f>0</f>
        <v>0</v>
      </c>
      <c r="AE283">
        <f>0</f>
        <v>0</v>
      </c>
      <c r="AG283" t="s">
        <v>220</v>
      </c>
      <c r="AH283">
        <f>0.51</f>
        <v>0.51</v>
      </c>
      <c r="AK283" t="s">
        <v>285</v>
      </c>
      <c r="AL283" t="s">
        <v>181</v>
      </c>
      <c r="AM283">
        <f>2.3</f>
        <v>2.2999999999999998</v>
      </c>
      <c r="AN283">
        <f>0.05</f>
        <v>0.05</v>
      </c>
      <c r="AO283">
        <f>4.2</f>
        <v>4.2</v>
      </c>
      <c r="AP283" t="s">
        <v>284</v>
      </c>
      <c r="AQ283" t="s">
        <v>284</v>
      </c>
    </row>
    <row r="284" spans="1:81" x14ac:dyDescent="0.25">
      <c r="A284" t="s">
        <v>1260</v>
      </c>
      <c r="B284" t="s">
        <v>170</v>
      </c>
      <c r="C284" s="1">
        <v>46093</v>
      </c>
      <c r="D284" t="s">
        <v>222</v>
      </c>
      <c r="E284" t="s">
        <v>223</v>
      </c>
      <c r="F284" t="s">
        <v>4508</v>
      </c>
      <c r="G284" t="s">
        <v>4319</v>
      </c>
      <c r="H284">
        <v>1538</v>
      </c>
      <c r="I284" t="s">
        <v>4319</v>
      </c>
      <c r="J284">
        <v>421</v>
      </c>
      <c r="K284" t="s">
        <v>4494</v>
      </c>
      <c r="L284" t="s">
        <v>266</v>
      </c>
      <c r="M284" t="s">
        <v>4543</v>
      </c>
      <c r="N284" t="s">
        <v>3357</v>
      </c>
      <c r="R284">
        <f>1</f>
        <v>1</v>
      </c>
      <c r="S284">
        <f>10</f>
        <v>10</v>
      </c>
      <c r="T284">
        <f>7.7</f>
        <v>7.7</v>
      </c>
      <c r="U284">
        <f>396</f>
        <v>396</v>
      </c>
      <c r="V284">
        <f>0.2</f>
        <v>0.2</v>
      </c>
      <c r="X284">
        <f>0</f>
        <v>0</v>
      </c>
      <c r="Y284">
        <f>0.22</f>
        <v>0.22</v>
      </c>
      <c r="Z284">
        <f>0</f>
        <v>0</v>
      </c>
      <c r="AA284" t="s">
        <v>179</v>
      </c>
      <c r="AB284" t="s">
        <v>179</v>
      </c>
      <c r="AC284">
        <f>0</f>
        <v>0</v>
      </c>
      <c r="AD284">
        <f>0</f>
        <v>0</v>
      </c>
      <c r="AE284">
        <f>0</f>
        <v>0</v>
      </c>
      <c r="AG284" t="s">
        <v>180</v>
      </c>
      <c r="AH284" t="s">
        <v>193</v>
      </c>
      <c r="AK284" t="s">
        <v>181</v>
      </c>
      <c r="AL284" t="s">
        <v>182</v>
      </c>
      <c r="AM284">
        <f>5.8</f>
        <v>5.8</v>
      </c>
      <c r="AN284">
        <f>0.12</f>
        <v>0.12</v>
      </c>
      <c r="AO284">
        <f>9.7</f>
        <v>9.6999999999999993</v>
      </c>
      <c r="AP284">
        <f>3.9</f>
        <v>3.9</v>
      </c>
      <c r="AQ284">
        <f>0.16</f>
        <v>0.16</v>
      </c>
    </row>
    <row r="285" spans="1:81" x14ac:dyDescent="0.25">
      <c r="A285" t="s">
        <v>1261</v>
      </c>
      <c r="B285" t="s">
        <v>170</v>
      </c>
      <c r="C285" s="1">
        <v>46094</v>
      </c>
      <c r="D285" t="s">
        <v>302</v>
      </c>
      <c r="E285" t="s">
        <v>303</v>
      </c>
      <c r="F285" t="s">
        <v>3720</v>
      </c>
      <c r="G285" t="s">
        <v>1262</v>
      </c>
      <c r="H285">
        <v>1199</v>
      </c>
      <c r="I285" t="s">
        <v>1263</v>
      </c>
      <c r="J285">
        <v>120</v>
      </c>
      <c r="K285" t="s">
        <v>4494</v>
      </c>
      <c r="L285" t="s">
        <v>271</v>
      </c>
      <c r="M285" t="s">
        <v>3594</v>
      </c>
      <c r="N285" t="s">
        <v>3595</v>
      </c>
      <c r="O285" t="s">
        <v>1264</v>
      </c>
      <c r="R285">
        <f>1</f>
        <v>1</v>
      </c>
      <c r="S285">
        <f>9.5</f>
        <v>9.5</v>
      </c>
      <c r="T285">
        <f>8.2</f>
        <v>8.1999999999999993</v>
      </c>
      <c r="U285">
        <f>531</f>
        <v>531</v>
      </c>
      <c r="X285">
        <f>0</f>
        <v>0</v>
      </c>
      <c r="Y285" t="s">
        <v>180</v>
      </c>
      <c r="Z285">
        <f>0</f>
        <v>0</v>
      </c>
      <c r="AA285" t="s">
        <v>179</v>
      </c>
      <c r="AB285" t="s">
        <v>179</v>
      </c>
      <c r="AC285">
        <f>0</f>
        <v>0</v>
      </c>
      <c r="AD285">
        <f>0</f>
        <v>0</v>
      </c>
      <c r="AE285">
        <f>0</f>
        <v>0</v>
      </c>
      <c r="AG285" t="s">
        <v>180</v>
      </c>
      <c r="AH285" t="s">
        <v>193</v>
      </c>
      <c r="AK285" t="s">
        <v>181</v>
      </c>
      <c r="AL285" t="s">
        <v>182</v>
      </c>
      <c r="AM285">
        <f>12</f>
        <v>12</v>
      </c>
      <c r="AN285">
        <f>0.24</f>
        <v>0.24</v>
      </c>
      <c r="AO285">
        <f>7.6</f>
        <v>7.6</v>
      </c>
      <c r="AP285">
        <f>17</f>
        <v>17</v>
      </c>
      <c r="AQ285" t="s">
        <v>180</v>
      </c>
      <c r="CC285">
        <f>0.17</f>
        <v>0.17</v>
      </c>
    </row>
    <row r="286" spans="1:81" x14ac:dyDescent="0.25">
      <c r="A286" t="s">
        <v>1265</v>
      </c>
      <c r="B286" t="s">
        <v>170</v>
      </c>
      <c r="C286" s="1">
        <v>46084</v>
      </c>
      <c r="D286" t="s">
        <v>302</v>
      </c>
      <c r="E286" t="s">
        <v>303</v>
      </c>
      <c r="F286" t="s">
        <v>4557</v>
      </c>
      <c r="G286" t="s">
        <v>1266</v>
      </c>
      <c r="H286">
        <v>1037</v>
      </c>
      <c r="I286" t="s">
        <v>1267</v>
      </c>
      <c r="J286">
        <v>300</v>
      </c>
      <c r="K286" t="s">
        <v>4494</v>
      </c>
      <c r="L286" t="s">
        <v>3324</v>
      </c>
      <c r="M286" t="s">
        <v>3358</v>
      </c>
      <c r="N286" t="s">
        <v>3359</v>
      </c>
      <c r="O286" t="s">
        <v>1268</v>
      </c>
      <c r="R286">
        <f>1</f>
        <v>1</v>
      </c>
      <c r="S286">
        <f>8</f>
        <v>8</v>
      </c>
      <c r="T286">
        <f>6.9</f>
        <v>6.9</v>
      </c>
      <c r="U286">
        <f>320</f>
        <v>320</v>
      </c>
      <c r="X286">
        <f>0</f>
        <v>0</v>
      </c>
      <c r="Y286" t="s">
        <v>180</v>
      </c>
      <c r="Z286">
        <f>0</f>
        <v>0</v>
      </c>
      <c r="AA286" t="s">
        <v>179</v>
      </c>
      <c r="AB286" t="s">
        <v>179</v>
      </c>
      <c r="AC286">
        <f>0</f>
        <v>0</v>
      </c>
      <c r="AD286">
        <f>0</f>
        <v>0</v>
      </c>
      <c r="AE286">
        <f>0</f>
        <v>0</v>
      </c>
      <c r="AG286" t="s">
        <v>180</v>
      </c>
      <c r="CC286">
        <f>0.46</f>
        <v>0.46</v>
      </c>
    </row>
    <row r="287" spans="1:81" x14ac:dyDescent="0.25">
      <c r="A287" t="s">
        <v>1269</v>
      </c>
      <c r="B287" t="s">
        <v>170</v>
      </c>
      <c r="C287" s="1">
        <v>46080</v>
      </c>
      <c r="D287" t="s">
        <v>302</v>
      </c>
      <c r="E287" t="s">
        <v>303</v>
      </c>
      <c r="F287" t="s">
        <v>4296</v>
      </c>
      <c r="G287" t="s">
        <v>4320</v>
      </c>
      <c r="H287">
        <v>926</v>
      </c>
      <c r="I287" t="s">
        <v>4320</v>
      </c>
      <c r="J287">
        <v>201</v>
      </c>
      <c r="K287" t="s">
        <v>4494</v>
      </c>
      <c r="L287" t="s">
        <v>271</v>
      </c>
      <c r="M287" t="s">
        <v>4634</v>
      </c>
      <c r="N287" t="s">
        <v>3360</v>
      </c>
      <c r="O287" t="s">
        <v>1270</v>
      </c>
      <c r="R287">
        <f>1</f>
        <v>1</v>
      </c>
      <c r="S287">
        <f>7.5</f>
        <v>7.5</v>
      </c>
      <c r="T287">
        <f>7.6</f>
        <v>7.6</v>
      </c>
      <c r="U287">
        <f>309</f>
        <v>309</v>
      </c>
      <c r="X287">
        <f>0</f>
        <v>0</v>
      </c>
      <c r="Y287" t="s">
        <v>180</v>
      </c>
      <c r="Z287">
        <f>0</f>
        <v>0</v>
      </c>
      <c r="AA287" t="s">
        <v>179</v>
      </c>
      <c r="AB287" t="s">
        <v>179</v>
      </c>
      <c r="AC287">
        <f>0</f>
        <v>0</v>
      </c>
      <c r="AD287">
        <f>0</f>
        <v>0</v>
      </c>
      <c r="AE287">
        <f>0</f>
        <v>0</v>
      </c>
      <c r="AG287" t="s">
        <v>180</v>
      </c>
    </row>
    <row r="288" spans="1:81" x14ac:dyDescent="0.25">
      <c r="A288" t="s">
        <v>1271</v>
      </c>
      <c r="B288" t="s">
        <v>170</v>
      </c>
      <c r="C288" s="1">
        <v>46080</v>
      </c>
      <c r="D288" t="s">
        <v>184</v>
      </c>
      <c r="E288" t="s">
        <v>546</v>
      </c>
      <c r="F288" t="s">
        <v>547</v>
      </c>
      <c r="G288" t="s">
        <v>1272</v>
      </c>
      <c r="H288">
        <v>1531</v>
      </c>
      <c r="I288" t="s">
        <v>1272</v>
      </c>
      <c r="J288">
        <v>520</v>
      </c>
      <c r="K288" t="s">
        <v>4492</v>
      </c>
      <c r="L288" t="s">
        <v>3589</v>
      </c>
      <c r="M288" t="s">
        <v>3948</v>
      </c>
      <c r="N288" t="s">
        <v>3949</v>
      </c>
      <c r="O288" t="s">
        <v>1273</v>
      </c>
      <c r="R288">
        <f>1</f>
        <v>1</v>
      </c>
      <c r="S288">
        <f>8.6</f>
        <v>8.6</v>
      </c>
      <c r="T288">
        <f>7.4</f>
        <v>7.4</v>
      </c>
      <c r="U288">
        <f>399</f>
        <v>399</v>
      </c>
      <c r="V288">
        <f>0.19</f>
        <v>0.19</v>
      </c>
      <c r="X288">
        <f>0</f>
        <v>0</v>
      </c>
      <c r="Y288" t="s">
        <v>180</v>
      </c>
      <c r="Z288">
        <f>0</f>
        <v>0</v>
      </c>
      <c r="AA288" t="s">
        <v>179</v>
      </c>
      <c r="AB288" t="s">
        <v>179</v>
      </c>
      <c r="AD288">
        <f>0</f>
        <v>0</v>
      </c>
      <c r="AE288">
        <f>0</f>
        <v>0</v>
      </c>
      <c r="AG288" t="s">
        <v>180</v>
      </c>
    </row>
    <row r="289" spans="1:81" x14ac:dyDescent="0.25">
      <c r="A289" t="s">
        <v>1274</v>
      </c>
      <c r="B289" t="s">
        <v>170</v>
      </c>
      <c r="C289" s="1">
        <v>46077</v>
      </c>
      <c r="D289" t="s">
        <v>302</v>
      </c>
      <c r="E289" t="s">
        <v>303</v>
      </c>
      <c r="F289" t="s">
        <v>310</v>
      </c>
      <c r="G289" t="s">
        <v>311</v>
      </c>
      <c r="H289">
        <v>1038</v>
      </c>
      <c r="I289" t="s">
        <v>3361</v>
      </c>
      <c r="J289">
        <v>609</v>
      </c>
      <c r="K289" t="s">
        <v>4492</v>
      </c>
      <c r="L289" t="s">
        <v>266</v>
      </c>
      <c r="M289" t="s">
        <v>1275</v>
      </c>
      <c r="N289" t="s">
        <v>3362</v>
      </c>
      <c r="O289" t="s">
        <v>1276</v>
      </c>
      <c r="R289">
        <f>1</f>
        <v>1</v>
      </c>
      <c r="S289">
        <f>6.9</f>
        <v>6.9</v>
      </c>
      <c r="T289">
        <f>7</f>
        <v>7</v>
      </c>
      <c r="U289">
        <f>42</f>
        <v>42</v>
      </c>
      <c r="V289">
        <f>0.35</f>
        <v>0.35</v>
      </c>
      <c r="X289">
        <f>0</f>
        <v>0</v>
      </c>
      <c r="Y289" t="s">
        <v>180</v>
      </c>
      <c r="Z289">
        <f>0</f>
        <v>0</v>
      </c>
      <c r="AA289" t="s">
        <v>179</v>
      </c>
      <c r="AB289" t="s">
        <v>179</v>
      </c>
      <c r="AD289">
        <f>0</f>
        <v>0</v>
      </c>
      <c r="AE289">
        <f>0</f>
        <v>0</v>
      </c>
      <c r="AG289" t="s">
        <v>180</v>
      </c>
      <c r="AH289" t="s">
        <v>193</v>
      </c>
      <c r="AK289" t="s">
        <v>181</v>
      </c>
      <c r="AL289" t="s">
        <v>182</v>
      </c>
      <c r="AM289">
        <f>0.97</f>
        <v>0.97</v>
      </c>
      <c r="AN289">
        <f>0.02</f>
        <v>0.02</v>
      </c>
      <c r="AO289">
        <f>1.5</f>
        <v>1.5</v>
      </c>
      <c r="AP289">
        <f>1.8</f>
        <v>1.8</v>
      </c>
      <c r="AQ289" t="s">
        <v>180</v>
      </c>
    </row>
    <row r="290" spans="1:81" x14ac:dyDescent="0.25">
      <c r="A290" t="s">
        <v>1277</v>
      </c>
      <c r="B290" t="s">
        <v>170</v>
      </c>
      <c r="C290" s="1">
        <v>46084</v>
      </c>
      <c r="D290" t="s">
        <v>184</v>
      </c>
      <c r="E290" t="s">
        <v>185</v>
      </c>
      <c r="F290" t="s">
        <v>761</v>
      </c>
      <c r="G290" t="s">
        <v>1278</v>
      </c>
      <c r="H290">
        <v>1078</v>
      </c>
      <c r="I290" t="s">
        <v>1279</v>
      </c>
      <c r="J290">
        <v>414</v>
      </c>
      <c r="K290" t="s">
        <v>4492</v>
      </c>
      <c r="L290" t="s">
        <v>3578</v>
      </c>
      <c r="M290" t="s">
        <v>4635</v>
      </c>
      <c r="N290" t="s">
        <v>1280</v>
      </c>
      <c r="O290" t="s">
        <v>1281</v>
      </c>
      <c r="R290">
        <f>1</f>
        <v>1</v>
      </c>
      <c r="S290">
        <f>8.5</f>
        <v>8.5</v>
      </c>
      <c r="T290">
        <f>7.7</f>
        <v>7.7</v>
      </c>
      <c r="U290">
        <f>402</f>
        <v>402</v>
      </c>
      <c r="V290">
        <f>0.21</f>
        <v>0.21</v>
      </c>
      <c r="X290">
        <f>0</f>
        <v>0</v>
      </c>
      <c r="Y290">
        <f>0.1</f>
        <v>0.1</v>
      </c>
      <c r="Z290">
        <f>0</f>
        <v>0</v>
      </c>
      <c r="AA290" t="s">
        <v>179</v>
      </c>
      <c r="AB290" t="s">
        <v>179</v>
      </c>
      <c r="AD290">
        <f>0</f>
        <v>0</v>
      </c>
      <c r="AE290">
        <f>0</f>
        <v>0</v>
      </c>
      <c r="AG290" t="s">
        <v>180</v>
      </c>
    </row>
    <row r="291" spans="1:81" x14ac:dyDescent="0.25">
      <c r="A291" t="s">
        <v>1282</v>
      </c>
      <c r="B291" t="s">
        <v>170</v>
      </c>
      <c r="C291" s="1">
        <v>46100</v>
      </c>
      <c r="D291" t="s">
        <v>302</v>
      </c>
      <c r="E291" t="s">
        <v>172</v>
      </c>
      <c r="F291" t="s">
        <v>3596</v>
      </c>
      <c r="G291" t="s">
        <v>3950</v>
      </c>
      <c r="H291">
        <v>444</v>
      </c>
      <c r="I291" t="s">
        <v>3951</v>
      </c>
      <c r="J291">
        <v>160</v>
      </c>
      <c r="K291" t="s">
        <v>4492</v>
      </c>
      <c r="L291" t="s">
        <v>271</v>
      </c>
      <c r="M291" t="s">
        <v>4636</v>
      </c>
      <c r="N291" t="s">
        <v>4637</v>
      </c>
      <c r="O291" t="s">
        <v>1283</v>
      </c>
      <c r="Q291" t="s">
        <v>4638</v>
      </c>
      <c r="R291">
        <f>1</f>
        <v>1</v>
      </c>
      <c r="S291">
        <f>10</f>
        <v>10</v>
      </c>
      <c r="T291">
        <f>7.4</f>
        <v>7.4</v>
      </c>
      <c r="U291">
        <f>465</f>
        <v>465</v>
      </c>
      <c r="X291">
        <f>0</f>
        <v>0</v>
      </c>
      <c r="Y291">
        <f>0.1</f>
        <v>0.1</v>
      </c>
      <c r="Z291">
        <f>0</f>
        <v>0</v>
      </c>
      <c r="AA291" t="s">
        <v>179</v>
      </c>
      <c r="AB291" t="s">
        <v>179</v>
      </c>
      <c r="AD291">
        <f>0</f>
        <v>0</v>
      </c>
      <c r="AE291">
        <f>0</f>
        <v>0</v>
      </c>
      <c r="AG291" t="s">
        <v>180</v>
      </c>
      <c r="CC291">
        <f>0.29</f>
        <v>0.28999999999999998</v>
      </c>
    </row>
    <row r="292" spans="1:81" x14ac:dyDescent="0.25">
      <c r="A292" t="s">
        <v>1284</v>
      </c>
      <c r="B292" t="s">
        <v>170</v>
      </c>
      <c r="C292" s="1">
        <v>46080</v>
      </c>
      <c r="D292" t="s">
        <v>251</v>
      </c>
      <c r="E292" t="s">
        <v>252</v>
      </c>
      <c r="F292" t="s">
        <v>280</v>
      </c>
      <c r="G292" t="s">
        <v>1285</v>
      </c>
      <c r="H292">
        <v>1100</v>
      </c>
      <c r="I292" t="s">
        <v>1285</v>
      </c>
      <c r="J292">
        <v>223</v>
      </c>
      <c r="K292" t="s">
        <v>4494</v>
      </c>
      <c r="L292" t="s">
        <v>3566</v>
      </c>
      <c r="M292" t="s">
        <v>4639</v>
      </c>
      <c r="N292" t="s">
        <v>1286</v>
      </c>
      <c r="O292" t="s">
        <v>1287</v>
      </c>
      <c r="Q292" t="s">
        <v>257</v>
      </c>
      <c r="R292">
        <f>1</f>
        <v>1</v>
      </c>
      <c r="S292">
        <f>7.3</f>
        <v>7.3</v>
      </c>
      <c r="T292">
        <f>7.7</f>
        <v>7.7</v>
      </c>
      <c r="U292">
        <f>436</f>
        <v>436</v>
      </c>
      <c r="X292">
        <f>0</f>
        <v>0</v>
      </c>
      <c r="Y292">
        <f>0.11</f>
        <v>0.11</v>
      </c>
      <c r="Z292">
        <f>0</f>
        <v>0</v>
      </c>
      <c r="AA292">
        <f>6</f>
        <v>6</v>
      </c>
      <c r="AB292">
        <f>2</f>
        <v>2</v>
      </c>
      <c r="AC292">
        <f>0</f>
        <v>0</v>
      </c>
      <c r="AD292">
        <f>0</f>
        <v>0</v>
      </c>
      <c r="AE292">
        <f>0</f>
        <v>0</v>
      </c>
      <c r="AG292" t="s">
        <v>180</v>
      </c>
      <c r="AH292" t="s">
        <v>284</v>
      </c>
      <c r="AK292" t="s">
        <v>285</v>
      </c>
      <c r="AL292" t="s">
        <v>180</v>
      </c>
      <c r="AM292">
        <f>5</f>
        <v>5</v>
      </c>
      <c r="AN292">
        <f>0.1</f>
        <v>0.1</v>
      </c>
      <c r="AO292">
        <f>4.3</f>
        <v>4.3</v>
      </c>
      <c r="AP292">
        <f>7.3</f>
        <v>7.3</v>
      </c>
      <c r="AQ292" t="s">
        <v>284</v>
      </c>
    </row>
    <row r="293" spans="1:81" x14ac:dyDescent="0.25">
      <c r="A293" t="s">
        <v>1288</v>
      </c>
      <c r="B293" t="s">
        <v>170</v>
      </c>
      <c r="C293" s="1">
        <v>46086</v>
      </c>
      <c r="D293" t="s">
        <v>251</v>
      </c>
      <c r="E293" t="s">
        <v>252</v>
      </c>
      <c r="F293" t="s">
        <v>1289</v>
      </c>
      <c r="G293" t="s">
        <v>1290</v>
      </c>
      <c r="H293">
        <v>1083</v>
      </c>
      <c r="I293" t="s">
        <v>1290</v>
      </c>
      <c r="J293">
        <v>260</v>
      </c>
      <c r="K293" t="s">
        <v>4492</v>
      </c>
      <c r="L293" t="s">
        <v>271</v>
      </c>
      <c r="M293" t="s">
        <v>4321</v>
      </c>
      <c r="N293" t="s">
        <v>1291</v>
      </c>
      <c r="O293" t="s">
        <v>1292</v>
      </c>
      <c r="Q293" t="s">
        <v>1293</v>
      </c>
      <c r="R293">
        <f>1</f>
        <v>1</v>
      </c>
      <c r="S293">
        <f>8.3</f>
        <v>8.3000000000000007</v>
      </c>
      <c r="T293">
        <f>8.2</f>
        <v>8.1999999999999993</v>
      </c>
      <c r="U293">
        <f>315</f>
        <v>315</v>
      </c>
      <c r="X293">
        <f>0</f>
        <v>0</v>
      </c>
      <c r="Y293">
        <f>0.51</f>
        <v>0.51</v>
      </c>
      <c r="Z293">
        <f>0</f>
        <v>0</v>
      </c>
      <c r="AA293">
        <f>0</f>
        <v>0</v>
      </c>
      <c r="AB293">
        <f>0</f>
        <v>0</v>
      </c>
      <c r="AD293">
        <f>0</f>
        <v>0</v>
      </c>
      <c r="AE293">
        <f>0</f>
        <v>0</v>
      </c>
      <c r="AG293" t="s">
        <v>180</v>
      </c>
      <c r="CC293" t="s">
        <v>284</v>
      </c>
    </row>
    <row r="294" spans="1:81" x14ac:dyDescent="0.25">
      <c r="A294" t="s">
        <v>1294</v>
      </c>
      <c r="B294" t="s">
        <v>170</v>
      </c>
      <c r="C294" s="1">
        <v>46090</v>
      </c>
      <c r="D294" t="s">
        <v>184</v>
      </c>
      <c r="E294" t="s">
        <v>185</v>
      </c>
      <c r="F294" t="s">
        <v>3721</v>
      </c>
      <c r="G294" t="s">
        <v>1295</v>
      </c>
      <c r="H294">
        <v>1458</v>
      </c>
      <c r="I294" t="s">
        <v>1295</v>
      </c>
      <c r="J294">
        <v>420</v>
      </c>
      <c r="K294" t="s">
        <v>4494</v>
      </c>
      <c r="L294" t="s">
        <v>3567</v>
      </c>
      <c r="M294" t="s">
        <v>1296</v>
      </c>
      <c r="N294" t="s">
        <v>1297</v>
      </c>
      <c r="O294" t="s">
        <v>1298</v>
      </c>
      <c r="R294">
        <f>1</f>
        <v>1</v>
      </c>
      <c r="S294">
        <f>11.3</f>
        <v>11.3</v>
      </c>
      <c r="T294">
        <f>7.6</f>
        <v>7.6</v>
      </c>
      <c r="U294">
        <f>387</f>
        <v>387</v>
      </c>
      <c r="X294">
        <f>0</f>
        <v>0</v>
      </c>
      <c r="Y294" t="s">
        <v>180</v>
      </c>
      <c r="Z294">
        <f>0</f>
        <v>0</v>
      </c>
      <c r="AA294" t="s">
        <v>179</v>
      </c>
      <c r="AB294" t="s">
        <v>179</v>
      </c>
      <c r="AC294">
        <f>0</f>
        <v>0</v>
      </c>
      <c r="AD294">
        <f>0</f>
        <v>0</v>
      </c>
      <c r="AE294">
        <f>0</f>
        <v>0</v>
      </c>
      <c r="AG294" t="s">
        <v>180</v>
      </c>
      <c r="AH294" t="s">
        <v>193</v>
      </c>
      <c r="AK294" t="s">
        <v>181</v>
      </c>
      <c r="AL294" t="s">
        <v>182</v>
      </c>
      <c r="AM294">
        <f>3.3</f>
        <v>3.3</v>
      </c>
      <c r="AN294">
        <f>0.07</f>
        <v>7.0000000000000007E-2</v>
      </c>
      <c r="AO294">
        <f>2.5</f>
        <v>2.5</v>
      </c>
      <c r="AP294">
        <f>1.7</f>
        <v>1.7</v>
      </c>
      <c r="AQ294" t="s">
        <v>180</v>
      </c>
      <c r="CC294">
        <f>0.17</f>
        <v>0.17</v>
      </c>
    </row>
    <row r="295" spans="1:81" x14ac:dyDescent="0.25">
      <c r="A295" t="s">
        <v>1299</v>
      </c>
      <c r="B295" t="s">
        <v>170</v>
      </c>
      <c r="C295" s="1">
        <v>46083</v>
      </c>
      <c r="D295" t="s">
        <v>425</v>
      </c>
      <c r="E295" t="s">
        <v>426</v>
      </c>
      <c r="F295" t="s">
        <v>695</v>
      </c>
      <c r="G295" t="s">
        <v>4322</v>
      </c>
      <c r="H295">
        <v>961</v>
      </c>
      <c r="I295" t="s">
        <v>4322</v>
      </c>
      <c r="J295">
        <v>200</v>
      </c>
      <c r="K295" t="s">
        <v>4494</v>
      </c>
      <c r="L295" t="s">
        <v>266</v>
      </c>
      <c r="M295" t="s">
        <v>3363</v>
      </c>
      <c r="N295" t="s">
        <v>3364</v>
      </c>
      <c r="O295" t="s">
        <v>1300</v>
      </c>
      <c r="R295">
        <f>1</f>
        <v>1</v>
      </c>
      <c r="S295">
        <f>7.7</f>
        <v>7.7</v>
      </c>
      <c r="T295">
        <f>7.6</f>
        <v>7.6</v>
      </c>
      <c r="U295">
        <f>342</f>
        <v>342</v>
      </c>
      <c r="V295">
        <f>0.12</f>
        <v>0.12</v>
      </c>
      <c r="X295">
        <f>0</f>
        <v>0</v>
      </c>
      <c r="Y295" t="s">
        <v>180</v>
      </c>
      <c r="Z295">
        <f>0</f>
        <v>0</v>
      </c>
      <c r="AA295" t="s">
        <v>179</v>
      </c>
      <c r="AB295" t="s">
        <v>179</v>
      </c>
      <c r="AC295">
        <f>0</f>
        <v>0</v>
      </c>
      <c r="AD295">
        <f>0</f>
        <v>0</v>
      </c>
      <c r="AE295">
        <f>0</f>
        <v>0</v>
      </c>
      <c r="AG295" t="s">
        <v>180</v>
      </c>
      <c r="AH295" t="s">
        <v>193</v>
      </c>
      <c r="AK295" t="s">
        <v>181</v>
      </c>
      <c r="AL295" t="s">
        <v>182</v>
      </c>
      <c r="AM295">
        <f>2.9</f>
        <v>2.9</v>
      </c>
      <c r="AN295">
        <f>0.06</f>
        <v>0.06</v>
      </c>
      <c r="AO295">
        <f>13</f>
        <v>13</v>
      </c>
      <c r="AP295">
        <f>1.4</f>
        <v>1.4</v>
      </c>
      <c r="AQ295" t="s">
        <v>180</v>
      </c>
    </row>
    <row r="296" spans="1:81" x14ac:dyDescent="0.25">
      <c r="A296" t="s">
        <v>1301</v>
      </c>
      <c r="B296" t="s">
        <v>170</v>
      </c>
      <c r="C296" s="1">
        <v>46083</v>
      </c>
      <c r="D296" t="s">
        <v>238</v>
      </c>
      <c r="E296" t="s">
        <v>260</v>
      </c>
      <c r="F296" t="s">
        <v>1302</v>
      </c>
      <c r="G296" t="s">
        <v>3952</v>
      </c>
      <c r="H296">
        <v>1591</v>
      </c>
      <c r="I296" t="s">
        <v>3953</v>
      </c>
      <c r="J296">
        <v>230</v>
      </c>
      <c r="K296" t="s">
        <v>4492</v>
      </c>
      <c r="L296" t="s">
        <v>266</v>
      </c>
      <c r="M296" t="s">
        <v>4640</v>
      </c>
      <c r="N296" t="s">
        <v>1303</v>
      </c>
      <c r="O296" t="s">
        <v>1304</v>
      </c>
      <c r="R296">
        <f>1</f>
        <v>1</v>
      </c>
      <c r="S296">
        <f>8</f>
        <v>8</v>
      </c>
      <c r="T296">
        <f>7.4</f>
        <v>7.4</v>
      </c>
      <c r="U296">
        <f>501</f>
        <v>501</v>
      </c>
      <c r="V296">
        <f>0.07</f>
        <v>7.0000000000000007E-2</v>
      </c>
      <c r="X296">
        <f>0</f>
        <v>0</v>
      </c>
      <c r="Y296">
        <f>0.11</f>
        <v>0.11</v>
      </c>
      <c r="Z296">
        <f>0</f>
        <v>0</v>
      </c>
      <c r="AA296" t="s">
        <v>179</v>
      </c>
      <c r="AB296" t="s">
        <v>179</v>
      </c>
      <c r="AD296">
        <f>0</f>
        <v>0</v>
      </c>
      <c r="AE296">
        <f>0</f>
        <v>0</v>
      </c>
      <c r="AG296" t="s">
        <v>220</v>
      </c>
      <c r="AH296">
        <f>0.6</f>
        <v>0.6</v>
      </c>
      <c r="AK296" t="s">
        <v>286</v>
      </c>
      <c r="AL296">
        <f>0.01</f>
        <v>0.01</v>
      </c>
      <c r="AM296">
        <f>3.6</f>
        <v>3.6</v>
      </c>
      <c r="AN296">
        <f>0.075</f>
        <v>7.4999999999999997E-2</v>
      </c>
      <c r="AO296">
        <f>4.7</f>
        <v>4.7</v>
      </c>
      <c r="AP296">
        <f>1.4</f>
        <v>1.4</v>
      </c>
      <c r="AQ296">
        <f>0.053</f>
        <v>5.2999999999999999E-2</v>
      </c>
    </row>
    <row r="297" spans="1:81" x14ac:dyDescent="0.25">
      <c r="A297" t="s">
        <v>1305</v>
      </c>
      <c r="B297" t="s">
        <v>170</v>
      </c>
      <c r="C297" s="1">
        <v>46079</v>
      </c>
      <c r="D297" t="s">
        <v>184</v>
      </c>
      <c r="E297" t="s">
        <v>185</v>
      </c>
      <c r="F297" t="s">
        <v>4641</v>
      </c>
      <c r="G297" t="s">
        <v>4642</v>
      </c>
      <c r="H297">
        <v>1612</v>
      </c>
      <c r="I297" t="s">
        <v>4643</v>
      </c>
      <c r="J297">
        <v>600</v>
      </c>
      <c r="K297" t="s">
        <v>4492</v>
      </c>
      <c r="L297" t="s">
        <v>266</v>
      </c>
      <c r="M297" t="s">
        <v>3597</v>
      </c>
      <c r="N297" t="s">
        <v>4644</v>
      </c>
      <c r="O297" t="s">
        <v>1306</v>
      </c>
      <c r="R297">
        <f>1</f>
        <v>1</v>
      </c>
      <c r="S297">
        <f>8.5</f>
        <v>8.5</v>
      </c>
      <c r="T297">
        <f>7.6</f>
        <v>7.6</v>
      </c>
      <c r="U297">
        <f>454</f>
        <v>454</v>
      </c>
      <c r="V297">
        <f>0.17</f>
        <v>0.17</v>
      </c>
      <c r="X297">
        <f>0</f>
        <v>0</v>
      </c>
      <c r="Y297">
        <f>0.2</f>
        <v>0.2</v>
      </c>
      <c r="Z297">
        <f>0</f>
        <v>0</v>
      </c>
      <c r="AA297" t="s">
        <v>179</v>
      </c>
      <c r="AB297" t="s">
        <v>179</v>
      </c>
      <c r="AD297">
        <f>0</f>
        <v>0</v>
      </c>
      <c r="AE297">
        <f>0</f>
        <v>0</v>
      </c>
      <c r="AG297" t="s">
        <v>180</v>
      </c>
    </row>
    <row r="298" spans="1:81" x14ac:dyDescent="0.25">
      <c r="A298" t="s">
        <v>1307</v>
      </c>
      <c r="B298" t="s">
        <v>170</v>
      </c>
      <c r="C298" s="1">
        <v>46125</v>
      </c>
      <c r="D298" t="s">
        <v>222</v>
      </c>
      <c r="E298" t="s">
        <v>223</v>
      </c>
      <c r="F298" t="s">
        <v>296</v>
      </c>
      <c r="G298" t="s">
        <v>297</v>
      </c>
      <c r="H298">
        <v>156</v>
      </c>
      <c r="I298" t="s">
        <v>4645</v>
      </c>
      <c r="J298">
        <v>462</v>
      </c>
      <c r="K298" t="s">
        <v>4494</v>
      </c>
      <c r="L298" t="s">
        <v>4646</v>
      </c>
      <c r="M298" t="s">
        <v>4647</v>
      </c>
      <c r="N298" t="s">
        <v>3954</v>
      </c>
      <c r="O298" t="s">
        <v>1308</v>
      </c>
      <c r="R298">
        <f>1</f>
        <v>1</v>
      </c>
      <c r="S298">
        <f>12.2</f>
        <v>12.2</v>
      </c>
      <c r="T298">
        <f>7.9</f>
        <v>7.9</v>
      </c>
      <c r="U298">
        <f>389</f>
        <v>389</v>
      </c>
      <c r="V298">
        <f>0.11</f>
        <v>0.11</v>
      </c>
      <c r="X298">
        <f>1</f>
        <v>1</v>
      </c>
      <c r="Y298" t="s">
        <v>180</v>
      </c>
      <c r="Z298">
        <f>0</f>
        <v>0</v>
      </c>
      <c r="AA298" t="s">
        <v>179</v>
      </c>
      <c r="AB298" t="s">
        <v>179</v>
      </c>
      <c r="AC298">
        <f>0</f>
        <v>0</v>
      </c>
      <c r="AD298">
        <f>0</f>
        <v>0</v>
      </c>
      <c r="AE298">
        <f>0</f>
        <v>0</v>
      </c>
      <c r="AG298" t="s">
        <v>180</v>
      </c>
      <c r="AH298" t="s">
        <v>193</v>
      </c>
      <c r="AK298" t="s">
        <v>181</v>
      </c>
      <c r="AL298" t="s">
        <v>182</v>
      </c>
      <c r="AM298">
        <f>2.9</f>
        <v>2.9</v>
      </c>
      <c r="AN298">
        <f>0.06</f>
        <v>0.06</v>
      </c>
      <c r="AO298">
        <f>16</f>
        <v>16</v>
      </c>
      <c r="AP298">
        <f>2.5</f>
        <v>2.5</v>
      </c>
      <c r="AQ298" t="s">
        <v>180</v>
      </c>
      <c r="BU298" t="s">
        <v>179</v>
      </c>
    </row>
    <row r="299" spans="1:81" x14ac:dyDescent="0.25">
      <c r="A299" t="s">
        <v>1309</v>
      </c>
      <c r="B299" t="s">
        <v>170</v>
      </c>
      <c r="C299" s="1">
        <v>46078</v>
      </c>
      <c r="D299" t="s">
        <v>184</v>
      </c>
      <c r="E299" t="s">
        <v>185</v>
      </c>
      <c r="F299" t="s">
        <v>186</v>
      </c>
      <c r="G299" t="s">
        <v>1310</v>
      </c>
      <c r="H299">
        <v>1607</v>
      </c>
      <c r="I299" t="s">
        <v>1310</v>
      </c>
      <c r="J299">
        <v>574</v>
      </c>
      <c r="K299" t="s">
        <v>4492</v>
      </c>
      <c r="L299" t="s">
        <v>266</v>
      </c>
      <c r="M299" t="s">
        <v>4648</v>
      </c>
      <c r="N299" t="s">
        <v>1311</v>
      </c>
      <c r="O299" t="s">
        <v>1312</v>
      </c>
      <c r="R299">
        <f>1</f>
        <v>1</v>
      </c>
      <c r="S299">
        <f>8.7</f>
        <v>8.6999999999999993</v>
      </c>
      <c r="T299">
        <f>7.4</f>
        <v>7.4</v>
      </c>
      <c r="U299">
        <f>445</f>
        <v>445</v>
      </c>
      <c r="V299">
        <f>0.14</f>
        <v>0.14000000000000001</v>
      </c>
      <c r="X299">
        <f>0</f>
        <v>0</v>
      </c>
      <c r="Y299" t="s">
        <v>180</v>
      </c>
      <c r="Z299">
        <f>0</f>
        <v>0</v>
      </c>
      <c r="AA299" t="s">
        <v>179</v>
      </c>
      <c r="AB299" t="s">
        <v>179</v>
      </c>
      <c r="AD299">
        <f>0</f>
        <v>0</v>
      </c>
      <c r="AE299">
        <f>0</f>
        <v>0</v>
      </c>
      <c r="AG299" t="s">
        <v>180</v>
      </c>
      <c r="AH299" t="s">
        <v>193</v>
      </c>
      <c r="AK299" t="s">
        <v>181</v>
      </c>
      <c r="AL299" t="s">
        <v>182</v>
      </c>
      <c r="AM299">
        <f>1.2</f>
        <v>1.2</v>
      </c>
      <c r="AN299">
        <f>0.02</f>
        <v>0.02</v>
      </c>
      <c r="AO299">
        <f>9.8</f>
        <v>9.8000000000000007</v>
      </c>
      <c r="AP299">
        <f>9.9</f>
        <v>9.9</v>
      </c>
      <c r="AQ299" t="s">
        <v>180</v>
      </c>
    </row>
    <row r="300" spans="1:81" x14ac:dyDescent="0.25">
      <c r="A300" t="s">
        <v>1313</v>
      </c>
      <c r="B300" t="s">
        <v>170</v>
      </c>
      <c r="C300" s="1">
        <v>46090</v>
      </c>
      <c r="D300" t="s">
        <v>222</v>
      </c>
      <c r="E300" t="s">
        <v>260</v>
      </c>
      <c r="F300" t="s">
        <v>4249</v>
      </c>
      <c r="G300" t="s">
        <v>1314</v>
      </c>
      <c r="H300">
        <v>1635</v>
      </c>
      <c r="I300" t="s">
        <v>1314</v>
      </c>
      <c r="J300">
        <v>240</v>
      </c>
      <c r="K300" t="s">
        <v>4492</v>
      </c>
      <c r="L300" t="s">
        <v>266</v>
      </c>
      <c r="M300" t="s">
        <v>3365</v>
      </c>
      <c r="N300" t="s">
        <v>3366</v>
      </c>
      <c r="O300" t="s">
        <v>1315</v>
      </c>
      <c r="Q300" t="s">
        <v>3492</v>
      </c>
      <c r="R300">
        <f>1</f>
        <v>1</v>
      </c>
      <c r="S300">
        <f>10.2</f>
        <v>10.199999999999999</v>
      </c>
      <c r="T300">
        <f>7.6</f>
        <v>7.6</v>
      </c>
      <c r="U300">
        <f>462</f>
        <v>462</v>
      </c>
      <c r="V300">
        <f>0.27</f>
        <v>0.27</v>
      </c>
      <c r="X300">
        <f>1</f>
        <v>1</v>
      </c>
      <c r="Y300" t="s">
        <v>180</v>
      </c>
      <c r="Z300">
        <f>0</f>
        <v>0</v>
      </c>
      <c r="AA300" t="s">
        <v>179</v>
      </c>
      <c r="AB300" t="s">
        <v>179</v>
      </c>
      <c r="AD300">
        <f>0</f>
        <v>0</v>
      </c>
      <c r="AE300">
        <f>0</f>
        <v>0</v>
      </c>
      <c r="AG300" t="s">
        <v>180</v>
      </c>
    </row>
    <row r="301" spans="1:81" x14ac:dyDescent="0.25">
      <c r="A301" t="s">
        <v>1316</v>
      </c>
      <c r="B301" t="s">
        <v>170</v>
      </c>
      <c r="C301" s="1">
        <v>46121</v>
      </c>
      <c r="D301" t="s">
        <v>251</v>
      </c>
      <c r="E301" t="s">
        <v>252</v>
      </c>
      <c r="F301" t="s">
        <v>361</v>
      </c>
      <c r="G301" t="s">
        <v>3955</v>
      </c>
      <c r="H301">
        <v>1636</v>
      </c>
      <c r="I301" t="s">
        <v>3955</v>
      </c>
      <c r="J301">
        <v>300</v>
      </c>
      <c r="K301" t="s">
        <v>4492</v>
      </c>
      <c r="M301" t="s">
        <v>1317</v>
      </c>
      <c r="N301" t="s">
        <v>3956</v>
      </c>
      <c r="O301" t="s">
        <v>1318</v>
      </c>
      <c r="Q301" t="s">
        <v>3472</v>
      </c>
      <c r="R301">
        <f>1</f>
        <v>1</v>
      </c>
      <c r="S301">
        <f>10.7</f>
        <v>10.7</v>
      </c>
      <c r="T301">
        <f>7.5</f>
        <v>7.5</v>
      </c>
      <c r="U301">
        <f>527</f>
        <v>527</v>
      </c>
      <c r="X301">
        <f>0</f>
        <v>0</v>
      </c>
      <c r="Y301" t="s">
        <v>180</v>
      </c>
      <c r="Z301">
        <f>0</f>
        <v>0</v>
      </c>
      <c r="AA301">
        <f>0</f>
        <v>0</v>
      </c>
      <c r="AB301">
        <f>0</f>
        <v>0</v>
      </c>
      <c r="AD301">
        <f>0</f>
        <v>0</v>
      </c>
      <c r="AE301">
        <f>0</f>
        <v>0</v>
      </c>
      <c r="AG301" t="s">
        <v>180</v>
      </c>
      <c r="AH301" t="s">
        <v>284</v>
      </c>
      <c r="AK301" t="s">
        <v>285</v>
      </c>
      <c r="AL301" t="s">
        <v>286</v>
      </c>
      <c r="AM301">
        <f>12</f>
        <v>12</v>
      </c>
      <c r="AN301">
        <f>0.24</f>
        <v>0.24</v>
      </c>
      <c r="AO301">
        <f>7.3</f>
        <v>7.3</v>
      </c>
      <c r="AP301">
        <f>28</f>
        <v>28</v>
      </c>
      <c r="AQ301" t="s">
        <v>284</v>
      </c>
    </row>
    <row r="302" spans="1:81" x14ac:dyDescent="0.25">
      <c r="A302" t="s">
        <v>1319</v>
      </c>
      <c r="B302" t="s">
        <v>170</v>
      </c>
      <c r="C302" s="1">
        <v>46087</v>
      </c>
      <c r="D302" t="s">
        <v>222</v>
      </c>
      <c r="E302" t="s">
        <v>223</v>
      </c>
      <c r="F302" t="s">
        <v>296</v>
      </c>
      <c r="G302" t="s">
        <v>297</v>
      </c>
      <c r="H302">
        <v>718</v>
      </c>
      <c r="I302" t="s">
        <v>1320</v>
      </c>
      <c r="J302">
        <v>289</v>
      </c>
      <c r="K302" t="s">
        <v>4494</v>
      </c>
      <c r="L302" t="s">
        <v>4649</v>
      </c>
      <c r="M302" t="s">
        <v>3367</v>
      </c>
      <c r="N302" t="s">
        <v>3368</v>
      </c>
      <c r="O302" t="s">
        <v>1321</v>
      </c>
      <c r="R302">
        <f>1</f>
        <v>1</v>
      </c>
      <c r="S302">
        <f>6.8</f>
        <v>6.8</v>
      </c>
      <c r="T302">
        <f>7.9</f>
        <v>7.9</v>
      </c>
      <c r="U302">
        <f>559</f>
        <v>559</v>
      </c>
      <c r="V302">
        <f>0.23</f>
        <v>0.23</v>
      </c>
      <c r="X302">
        <f>1</f>
        <v>1</v>
      </c>
      <c r="Y302">
        <f>0.31</f>
        <v>0.31</v>
      </c>
      <c r="Z302">
        <f>0</f>
        <v>0</v>
      </c>
      <c r="AA302" t="s">
        <v>179</v>
      </c>
      <c r="AB302" t="s">
        <v>179</v>
      </c>
      <c r="AC302">
        <f>0</f>
        <v>0</v>
      </c>
      <c r="AD302">
        <f>0</f>
        <v>0</v>
      </c>
      <c r="AE302">
        <f>0</f>
        <v>0</v>
      </c>
      <c r="AG302" t="s">
        <v>180</v>
      </c>
      <c r="AH302" t="s">
        <v>193</v>
      </c>
      <c r="AK302" t="s">
        <v>181</v>
      </c>
      <c r="AL302" t="s">
        <v>182</v>
      </c>
      <c r="AM302">
        <f>5.3</f>
        <v>5.3</v>
      </c>
      <c r="AN302">
        <f>0.11</f>
        <v>0.11</v>
      </c>
      <c r="AO302">
        <f>13</f>
        <v>13</v>
      </c>
      <c r="AP302">
        <f>25</f>
        <v>25</v>
      </c>
      <c r="AQ302" t="s">
        <v>180</v>
      </c>
    </row>
    <row r="303" spans="1:81" x14ac:dyDescent="0.25">
      <c r="A303" t="s">
        <v>1322</v>
      </c>
      <c r="B303" t="s">
        <v>170</v>
      </c>
      <c r="C303" s="1">
        <v>46121</v>
      </c>
      <c r="D303" t="s">
        <v>425</v>
      </c>
      <c r="E303" t="s">
        <v>426</v>
      </c>
      <c r="F303" t="s">
        <v>695</v>
      </c>
      <c r="G303" t="s">
        <v>890</v>
      </c>
      <c r="H303">
        <v>49</v>
      </c>
      <c r="I303" t="s">
        <v>890</v>
      </c>
      <c r="J303">
        <v>350</v>
      </c>
      <c r="K303" t="s">
        <v>4494</v>
      </c>
      <c r="L303" t="s">
        <v>266</v>
      </c>
      <c r="M303" t="s">
        <v>1323</v>
      </c>
      <c r="N303" t="s">
        <v>3957</v>
      </c>
      <c r="O303" t="s">
        <v>1324</v>
      </c>
      <c r="R303">
        <f>1</f>
        <v>1</v>
      </c>
      <c r="S303">
        <f>10.5</f>
        <v>10.5</v>
      </c>
      <c r="T303">
        <f>7.8</f>
        <v>7.8</v>
      </c>
      <c r="U303">
        <f>363</f>
        <v>363</v>
      </c>
      <c r="V303">
        <f>0.12</f>
        <v>0.12</v>
      </c>
      <c r="X303">
        <f>0</f>
        <v>0</v>
      </c>
      <c r="Y303" t="s">
        <v>180</v>
      </c>
      <c r="Z303">
        <f>0</f>
        <v>0</v>
      </c>
      <c r="AA303" t="s">
        <v>179</v>
      </c>
      <c r="AB303" t="s">
        <v>179</v>
      </c>
      <c r="AC303">
        <f>0</f>
        <v>0</v>
      </c>
      <c r="AD303">
        <f>0</f>
        <v>0</v>
      </c>
      <c r="AE303">
        <f>0</f>
        <v>0</v>
      </c>
      <c r="AG303" t="s">
        <v>180</v>
      </c>
    </row>
    <row r="304" spans="1:81" x14ac:dyDescent="0.25">
      <c r="A304" t="s">
        <v>1325</v>
      </c>
      <c r="B304" t="s">
        <v>170</v>
      </c>
      <c r="C304" s="1">
        <v>46112</v>
      </c>
      <c r="D304" t="s">
        <v>251</v>
      </c>
      <c r="E304" t="s">
        <v>185</v>
      </c>
      <c r="F304" t="s">
        <v>3369</v>
      </c>
      <c r="G304" t="s">
        <v>4323</v>
      </c>
      <c r="H304">
        <v>1659</v>
      </c>
      <c r="I304" t="s">
        <v>4324</v>
      </c>
      <c r="J304">
        <v>250</v>
      </c>
      <c r="K304" t="s">
        <v>3334</v>
      </c>
      <c r="L304" t="s">
        <v>266</v>
      </c>
      <c r="M304" t="s">
        <v>4650</v>
      </c>
      <c r="N304" t="s">
        <v>3370</v>
      </c>
      <c r="O304" t="s">
        <v>1326</v>
      </c>
      <c r="Q304" t="s">
        <v>257</v>
      </c>
      <c r="R304">
        <f>1</f>
        <v>1</v>
      </c>
      <c r="S304">
        <f>7.4</f>
        <v>7.4</v>
      </c>
      <c r="T304">
        <f>8.1</f>
        <v>8.1</v>
      </c>
      <c r="U304">
        <f>263</f>
        <v>263</v>
      </c>
      <c r="V304" t="s">
        <v>258</v>
      </c>
      <c r="X304">
        <f>0</f>
        <v>0</v>
      </c>
      <c r="Y304">
        <f>0.33</f>
        <v>0.33</v>
      </c>
      <c r="Z304">
        <f>0</f>
        <v>0</v>
      </c>
      <c r="AA304">
        <f>42</f>
        <v>42</v>
      </c>
      <c r="AB304">
        <f>5</f>
        <v>5</v>
      </c>
      <c r="AC304">
        <f>0</f>
        <v>0</v>
      </c>
      <c r="AD304">
        <f>0</f>
        <v>0</v>
      </c>
      <c r="AE304">
        <f>0</f>
        <v>0</v>
      </c>
      <c r="AG304" t="s">
        <v>180</v>
      </c>
      <c r="AH304" t="s">
        <v>284</v>
      </c>
      <c r="AK304" t="s">
        <v>285</v>
      </c>
      <c r="AL304" t="s">
        <v>286</v>
      </c>
      <c r="AM304">
        <f>1.5</f>
        <v>1.5</v>
      </c>
      <c r="AN304">
        <f>0.03</f>
        <v>0.03</v>
      </c>
      <c r="AO304">
        <f>4.7</f>
        <v>4.7</v>
      </c>
      <c r="AP304">
        <f>4.5</f>
        <v>4.5</v>
      </c>
      <c r="AQ304" t="s">
        <v>284</v>
      </c>
      <c r="CC304" t="s">
        <v>284</v>
      </c>
    </row>
    <row r="305" spans="1:81" x14ac:dyDescent="0.25">
      <c r="A305" t="s">
        <v>1327</v>
      </c>
      <c r="B305" t="s">
        <v>170</v>
      </c>
      <c r="C305" s="1">
        <v>46083</v>
      </c>
      <c r="D305" t="s">
        <v>251</v>
      </c>
      <c r="E305" t="s">
        <v>185</v>
      </c>
      <c r="F305" t="s">
        <v>3598</v>
      </c>
      <c r="G305" t="s">
        <v>4325</v>
      </c>
      <c r="H305">
        <v>1661</v>
      </c>
      <c r="I305" t="s">
        <v>4326</v>
      </c>
      <c r="J305">
        <v>350</v>
      </c>
      <c r="K305" t="s">
        <v>3334</v>
      </c>
      <c r="L305" t="s">
        <v>266</v>
      </c>
      <c r="M305" t="s">
        <v>4651</v>
      </c>
      <c r="N305" t="s">
        <v>1328</v>
      </c>
      <c r="O305" t="s">
        <v>1329</v>
      </c>
      <c r="Q305" t="s">
        <v>257</v>
      </c>
      <c r="R305">
        <f>1</f>
        <v>1</v>
      </c>
      <c r="S305">
        <f>8.6</f>
        <v>8.6</v>
      </c>
      <c r="T305">
        <f>7.8</f>
        <v>7.8</v>
      </c>
      <c r="U305">
        <f>267</f>
        <v>267</v>
      </c>
      <c r="V305" t="s">
        <v>258</v>
      </c>
      <c r="X305">
        <f>0</f>
        <v>0</v>
      </c>
      <c r="Y305" t="s">
        <v>180</v>
      </c>
      <c r="Z305">
        <f>0</f>
        <v>0</v>
      </c>
      <c r="AA305">
        <f>0</f>
        <v>0</v>
      </c>
      <c r="AB305">
        <f>0</f>
        <v>0</v>
      </c>
      <c r="AC305">
        <f>0</f>
        <v>0</v>
      </c>
      <c r="AD305">
        <f>0</f>
        <v>0</v>
      </c>
      <c r="AE305">
        <f>0</f>
        <v>0</v>
      </c>
      <c r="AG305" t="s">
        <v>180</v>
      </c>
      <c r="AH305" t="s">
        <v>284</v>
      </c>
      <c r="AK305" t="s">
        <v>285</v>
      </c>
      <c r="AL305" t="s">
        <v>286</v>
      </c>
      <c r="AM305">
        <f>2.2</f>
        <v>2.2000000000000002</v>
      </c>
      <c r="AN305">
        <f>0.044</f>
        <v>4.3999999999999997E-2</v>
      </c>
      <c r="AO305">
        <f>4.3</f>
        <v>4.3</v>
      </c>
      <c r="AP305">
        <f>2.3</f>
        <v>2.2999999999999998</v>
      </c>
      <c r="AQ305" t="s">
        <v>284</v>
      </c>
      <c r="CC305" t="s">
        <v>284</v>
      </c>
    </row>
    <row r="306" spans="1:81" x14ac:dyDescent="0.25">
      <c r="A306" t="s">
        <v>1330</v>
      </c>
      <c r="B306" t="s">
        <v>170</v>
      </c>
      <c r="C306" s="1">
        <v>46083</v>
      </c>
      <c r="D306" t="s">
        <v>251</v>
      </c>
      <c r="E306" t="s">
        <v>185</v>
      </c>
      <c r="F306" t="s">
        <v>4652</v>
      </c>
      <c r="G306" t="s">
        <v>3958</v>
      </c>
      <c r="H306">
        <v>1662</v>
      </c>
      <c r="I306" t="s">
        <v>3959</v>
      </c>
      <c r="J306">
        <v>330</v>
      </c>
      <c r="K306" t="s">
        <v>3334</v>
      </c>
      <c r="L306" t="s">
        <v>266</v>
      </c>
      <c r="M306" t="s">
        <v>1331</v>
      </c>
      <c r="N306" t="s">
        <v>1332</v>
      </c>
      <c r="O306" t="s">
        <v>1333</v>
      </c>
      <c r="Q306" t="s">
        <v>3472</v>
      </c>
      <c r="R306">
        <f>1</f>
        <v>1</v>
      </c>
      <c r="S306">
        <f>10.8</f>
        <v>10.8</v>
      </c>
      <c r="T306">
        <f>7.8</f>
        <v>7.8</v>
      </c>
      <c r="U306">
        <f>279</f>
        <v>279</v>
      </c>
      <c r="V306" t="s">
        <v>258</v>
      </c>
      <c r="X306">
        <f>0</f>
        <v>0</v>
      </c>
      <c r="Y306">
        <f>0.37</f>
        <v>0.37</v>
      </c>
      <c r="Z306">
        <f>0</f>
        <v>0</v>
      </c>
      <c r="AA306">
        <f>0</f>
        <v>0</v>
      </c>
      <c r="AB306">
        <f>0</f>
        <v>0</v>
      </c>
      <c r="AC306">
        <f>0</f>
        <v>0</v>
      </c>
      <c r="AD306">
        <f>0</f>
        <v>0</v>
      </c>
      <c r="AE306">
        <f>0</f>
        <v>0</v>
      </c>
      <c r="AG306" t="s">
        <v>180</v>
      </c>
      <c r="CC306" t="s">
        <v>284</v>
      </c>
    </row>
    <row r="307" spans="1:81" x14ac:dyDescent="0.25">
      <c r="A307" t="s">
        <v>1334</v>
      </c>
      <c r="B307" t="s">
        <v>170</v>
      </c>
      <c r="C307" s="1">
        <v>46126</v>
      </c>
      <c r="D307" t="s">
        <v>251</v>
      </c>
      <c r="E307" t="s">
        <v>185</v>
      </c>
      <c r="F307" t="s">
        <v>3960</v>
      </c>
      <c r="G307" t="s">
        <v>4327</v>
      </c>
      <c r="H307">
        <v>1665</v>
      </c>
      <c r="I307" t="s">
        <v>4328</v>
      </c>
      <c r="J307">
        <v>320</v>
      </c>
      <c r="K307" t="s">
        <v>3334</v>
      </c>
      <c r="L307" t="s">
        <v>266</v>
      </c>
      <c r="M307" t="s">
        <v>4653</v>
      </c>
      <c r="N307" t="s">
        <v>3961</v>
      </c>
      <c r="O307" t="s">
        <v>1335</v>
      </c>
      <c r="Q307" t="s">
        <v>274</v>
      </c>
      <c r="R307">
        <f>1</f>
        <v>1</v>
      </c>
      <c r="S307">
        <f>12.1</f>
        <v>12.1</v>
      </c>
      <c r="T307">
        <f>7.7</f>
        <v>7.7</v>
      </c>
      <c r="U307">
        <f>316</f>
        <v>316</v>
      </c>
      <c r="V307">
        <f>0.16</f>
        <v>0.16</v>
      </c>
      <c r="X307">
        <f>0</f>
        <v>0</v>
      </c>
      <c r="Y307">
        <f>0.26</f>
        <v>0.26</v>
      </c>
      <c r="Z307">
        <f>0</f>
        <v>0</v>
      </c>
      <c r="AA307">
        <f>0</f>
        <v>0</v>
      </c>
      <c r="AB307">
        <f>0</f>
        <v>0</v>
      </c>
      <c r="AC307">
        <f>0</f>
        <v>0</v>
      </c>
      <c r="AD307">
        <f>0</f>
        <v>0</v>
      </c>
      <c r="AE307">
        <f>0</f>
        <v>0</v>
      </c>
      <c r="AG307" t="s">
        <v>180</v>
      </c>
      <c r="AH307" t="s">
        <v>284</v>
      </c>
      <c r="AK307" t="s">
        <v>285</v>
      </c>
      <c r="AM307">
        <f>3.8</f>
        <v>3.8</v>
      </c>
      <c r="AN307">
        <f>0.076</f>
        <v>7.5999999999999998E-2</v>
      </c>
      <c r="AO307">
        <f>5.7</f>
        <v>5.7</v>
      </c>
      <c r="AP307">
        <f>1.3</f>
        <v>1.3</v>
      </c>
      <c r="AQ307" t="s">
        <v>284</v>
      </c>
      <c r="CC307" t="s">
        <v>284</v>
      </c>
    </row>
    <row r="308" spans="1:81" x14ac:dyDescent="0.25">
      <c r="A308" t="s">
        <v>1336</v>
      </c>
      <c r="B308" t="s">
        <v>170</v>
      </c>
      <c r="C308" s="1">
        <v>46083</v>
      </c>
      <c r="D308" t="s">
        <v>216</v>
      </c>
      <c r="E308" t="s">
        <v>217</v>
      </c>
      <c r="F308" t="s">
        <v>3312</v>
      </c>
      <c r="G308" t="s">
        <v>618</v>
      </c>
      <c r="H308">
        <v>1795</v>
      </c>
      <c r="I308" t="s">
        <v>4329</v>
      </c>
      <c r="J308">
        <v>197</v>
      </c>
      <c r="K308" t="s">
        <v>4494</v>
      </c>
      <c r="L308" t="s">
        <v>1337</v>
      </c>
      <c r="M308" t="s">
        <v>4654</v>
      </c>
      <c r="N308" t="s">
        <v>3371</v>
      </c>
      <c r="O308" t="s">
        <v>1338</v>
      </c>
      <c r="Q308" t="s">
        <v>1339</v>
      </c>
      <c r="R308">
        <f>1</f>
        <v>1</v>
      </c>
      <c r="S308">
        <f>9.8</f>
        <v>9.8000000000000007</v>
      </c>
      <c r="T308">
        <f>8.4</f>
        <v>8.4</v>
      </c>
      <c r="U308">
        <f>274</f>
        <v>274</v>
      </c>
      <c r="V308">
        <f>0.16</f>
        <v>0.16</v>
      </c>
      <c r="X308">
        <f>1</f>
        <v>1</v>
      </c>
      <c r="Y308">
        <f>0.12</f>
        <v>0.12</v>
      </c>
      <c r="Z308">
        <f>0</f>
        <v>0</v>
      </c>
      <c r="AA308">
        <f>1</f>
        <v>1</v>
      </c>
      <c r="AB308">
        <f>0</f>
        <v>0</v>
      </c>
      <c r="AC308">
        <f>0</f>
        <v>0</v>
      </c>
      <c r="AD308">
        <f>0</f>
        <v>0</v>
      </c>
      <c r="AE308">
        <f>0</f>
        <v>0</v>
      </c>
      <c r="AG308" t="s">
        <v>220</v>
      </c>
    </row>
    <row r="309" spans="1:81" x14ac:dyDescent="0.25">
      <c r="A309" t="s">
        <v>1340</v>
      </c>
      <c r="B309" t="s">
        <v>170</v>
      </c>
      <c r="C309" s="1">
        <v>46092</v>
      </c>
      <c r="D309" t="s">
        <v>238</v>
      </c>
      <c r="E309" t="s">
        <v>239</v>
      </c>
      <c r="F309" t="s">
        <v>478</v>
      </c>
      <c r="G309" t="s">
        <v>1341</v>
      </c>
      <c r="H309">
        <v>139</v>
      </c>
      <c r="I309" t="s">
        <v>1341</v>
      </c>
      <c r="J309">
        <v>380</v>
      </c>
      <c r="K309" t="s">
        <v>4494</v>
      </c>
      <c r="L309" t="s">
        <v>3553</v>
      </c>
      <c r="M309" t="s">
        <v>4655</v>
      </c>
      <c r="N309" t="s">
        <v>3962</v>
      </c>
      <c r="O309" t="s">
        <v>1342</v>
      </c>
      <c r="Q309" t="s">
        <v>1343</v>
      </c>
      <c r="R309">
        <f>1</f>
        <v>1</v>
      </c>
      <c r="S309">
        <f>10.1</f>
        <v>10.1</v>
      </c>
      <c r="T309">
        <f>7.6</f>
        <v>7.6</v>
      </c>
      <c r="U309">
        <f>435</f>
        <v>435</v>
      </c>
      <c r="V309">
        <f>0.25</f>
        <v>0.25</v>
      </c>
      <c r="X309">
        <f>0</f>
        <v>0</v>
      </c>
      <c r="Y309">
        <f>0.55</f>
        <v>0.55000000000000004</v>
      </c>
      <c r="Z309">
        <f>0</f>
        <v>0</v>
      </c>
      <c r="AA309" t="s">
        <v>179</v>
      </c>
      <c r="AB309" t="s">
        <v>179</v>
      </c>
      <c r="AC309">
        <f>0</f>
        <v>0</v>
      </c>
      <c r="AD309">
        <f>0</f>
        <v>0</v>
      </c>
      <c r="AE309">
        <f>0</f>
        <v>0</v>
      </c>
      <c r="AG309" t="s">
        <v>220</v>
      </c>
    </row>
    <row r="310" spans="1:81" x14ac:dyDescent="0.25">
      <c r="A310" t="s">
        <v>1344</v>
      </c>
      <c r="B310" t="s">
        <v>170</v>
      </c>
      <c r="C310" s="1">
        <v>46079</v>
      </c>
      <c r="D310" t="s">
        <v>184</v>
      </c>
      <c r="E310" t="s">
        <v>185</v>
      </c>
      <c r="F310" t="s">
        <v>963</v>
      </c>
      <c r="G310" t="s">
        <v>1345</v>
      </c>
      <c r="H310">
        <v>177</v>
      </c>
      <c r="I310" t="s">
        <v>1345</v>
      </c>
      <c r="J310">
        <v>831</v>
      </c>
      <c r="K310" t="s">
        <v>4492</v>
      </c>
      <c r="L310" t="s">
        <v>176</v>
      </c>
      <c r="M310" t="s">
        <v>4330</v>
      </c>
      <c r="N310" t="s">
        <v>1346</v>
      </c>
      <c r="O310" t="s">
        <v>1347</v>
      </c>
      <c r="R310">
        <f>1</f>
        <v>1</v>
      </c>
      <c r="S310">
        <f>7.9</f>
        <v>7.9</v>
      </c>
      <c r="T310">
        <f>7.9</f>
        <v>7.9</v>
      </c>
      <c r="U310">
        <f>464</f>
        <v>464</v>
      </c>
      <c r="X310">
        <f>1</f>
        <v>1</v>
      </c>
      <c r="Y310" t="s">
        <v>180</v>
      </c>
      <c r="Z310">
        <f>0</f>
        <v>0</v>
      </c>
      <c r="AA310" t="s">
        <v>179</v>
      </c>
      <c r="AB310" t="s">
        <v>179</v>
      </c>
      <c r="AD310">
        <f>0</f>
        <v>0</v>
      </c>
      <c r="AE310">
        <f>0</f>
        <v>0</v>
      </c>
      <c r="AG310" t="s">
        <v>180</v>
      </c>
    </row>
    <row r="311" spans="1:81" x14ac:dyDescent="0.25">
      <c r="A311" t="s">
        <v>1348</v>
      </c>
      <c r="B311" t="s">
        <v>170</v>
      </c>
      <c r="C311" s="1">
        <v>46086</v>
      </c>
      <c r="D311" t="s">
        <v>302</v>
      </c>
      <c r="E311" t="s">
        <v>303</v>
      </c>
      <c r="F311" t="s">
        <v>1349</v>
      </c>
      <c r="G311" t="s">
        <v>4656</v>
      </c>
      <c r="H311">
        <v>1678</v>
      </c>
      <c r="I311" t="s">
        <v>4656</v>
      </c>
      <c r="J311">
        <v>240</v>
      </c>
      <c r="K311" t="s">
        <v>4494</v>
      </c>
      <c r="M311" t="s">
        <v>4657</v>
      </c>
      <c r="N311" t="s">
        <v>1350</v>
      </c>
      <c r="O311" t="s">
        <v>1351</v>
      </c>
      <c r="R311">
        <f>1</f>
        <v>1</v>
      </c>
      <c r="S311">
        <f>9.6</f>
        <v>9.6</v>
      </c>
      <c r="T311">
        <f>7</f>
        <v>7</v>
      </c>
      <c r="U311">
        <f>109</f>
        <v>109</v>
      </c>
      <c r="X311">
        <f>0</f>
        <v>0</v>
      </c>
      <c r="Y311" t="s">
        <v>180</v>
      </c>
      <c r="Z311">
        <f>0</f>
        <v>0</v>
      </c>
      <c r="AA311" t="s">
        <v>179</v>
      </c>
      <c r="AB311" t="s">
        <v>179</v>
      </c>
      <c r="AC311">
        <f>0</f>
        <v>0</v>
      </c>
      <c r="AD311">
        <f>0</f>
        <v>0</v>
      </c>
      <c r="AE311">
        <f>0</f>
        <v>0</v>
      </c>
      <c r="AG311" t="s">
        <v>180</v>
      </c>
      <c r="AH311" t="s">
        <v>193</v>
      </c>
      <c r="AK311" t="s">
        <v>181</v>
      </c>
      <c r="AL311" t="s">
        <v>182</v>
      </c>
      <c r="AM311">
        <f>0.84</f>
        <v>0.84</v>
      </c>
      <c r="AN311">
        <f>0.02</f>
        <v>0.02</v>
      </c>
      <c r="AO311">
        <f>11</f>
        <v>11</v>
      </c>
      <c r="AP311">
        <f>1.6</f>
        <v>1.6</v>
      </c>
      <c r="AQ311" t="s">
        <v>180</v>
      </c>
    </row>
    <row r="312" spans="1:81" x14ac:dyDescent="0.25">
      <c r="A312" t="s">
        <v>1352</v>
      </c>
      <c r="B312" t="s">
        <v>170</v>
      </c>
      <c r="C312" s="1">
        <v>46094</v>
      </c>
      <c r="D312" t="s">
        <v>302</v>
      </c>
      <c r="E312" t="s">
        <v>303</v>
      </c>
      <c r="F312" t="s">
        <v>1349</v>
      </c>
      <c r="G312" t="s">
        <v>3963</v>
      </c>
      <c r="H312">
        <v>1553</v>
      </c>
      <c r="I312" t="s">
        <v>3963</v>
      </c>
      <c r="J312">
        <v>350</v>
      </c>
      <c r="K312" t="s">
        <v>4494</v>
      </c>
      <c r="M312" t="s">
        <v>1353</v>
      </c>
      <c r="N312" t="s">
        <v>3964</v>
      </c>
      <c r="O312" t="s">
        <v>1354</v>
      </c>
      <c r="R312">
        <f>1</f>
        <v>1</v>
      </c>
      <c r="S312">
        <f>9.5</f>
        <v>9.5</v>
      </c>
      <c r="T312">
        <f>7.3</f>
        <v>7.3</v>
      </c>
      <c r="U312">
        <f>110</f>
        <v>110</v>
      </c>
      <c r="X312">
        <f>0</f>
        <v>0</v>
      </c>
      <c r="Y312" t="s">
        <v>180</v>
      </c>
      <c r="Z312">
        <f>0</f>
        <v>0</v>
      </c>
      <c r="AA312" t="s">
        <v>179</v>
      </c>
      <c r="AB312" t="s">
        <v>179</v>
      </c>
      <c r="AC312">
        <f>0</f>
        <v>0</v>
      </c>
      <c r="AD312">
        <f>0</f>
        <v>0</v>
      </c>
      <c r="AE312">
        <f>0</f>
        <v>0</v>
      </c>
      <c r="AG312" t="s">
        <v>180</v>
      </c>
    </row>
    <row r="313" spans="1:81" x14ac:dyDescent="0.25">
      <c r="A313" t="s">
        <v>1355</v>
      </c>
      <c r="B313" t="s">
        <v>170</v>
      </c>
      <c r="C313" s="1">
        <v>46079</v>
      </c>
      <c r="D313" t="s">
        <v>184</v>
      </c>
      <c r="E313" t="s">
        <v>546</v>
      </c>
      <c r="F313" t="s">
        <v>671</v>
      </c>
      <c r="G313" t="s">
        <v>1356</v>
      </c>
      <c r="H313">
        <v>1683</v>
      </c>
      <c r="I313" t="s">
        <v>1357</v>
      </c>
      <c r="J313">
        <v>686</v>
      </c>
      <c r="K313" t="s">
        <v>4492</v>
      </c>
      <c r="L313" t="s">
        <v>266</v>
      </c>
      <c r="M313" t="s">
        <v>4658</v>
      </c>
      <c r="N313" t="s">
        <v>1358</v>
      </c>
      <c r="O313" t="s">
        <v>1359</v>
      </c>
      <c r="R313">
        <f>1</f>
        <v>1</v>
      </c>
      <c r="S313">
        <f>6.8</f>
        <v>6.8</v>
      </c>
      <c r="T313">
        <f>7.9</f>
        <v>7.9</v>
      </c>
      <c r="U313">
        <f>384</f>
        <v>384</v>
      </c>
      <c r="V313">
        <f>0.34</f>
        <v>0.34</v>
      </c>
      <c r="X313">
        <f>0</f>
        <v>0</v>
      </c>
      <c r="Y313" t="s">
        <v>180</v>
      </c>
      <c r="Z313">
        <f>0</f>
        <v>0</v>
      </c>
      <c r="AA313" t="s">
        <v>179</v>
      </c>
      <c r="AB313" t="s">
        <v>179</v>
      </c>
      <c r="AD313">
        <f>0</f>
        <v>0</v>
      </c>
      <c r="AE313">
        <f>0</f>
        <v>0</v>
      </c>
      <c r="AG313" t="s">
        <v>180</v>
      </c>
    </row>
    <row r="314" spans="1:81" x14ac:dyDescent="0.25">
      <c r="A314" t="s">
        <v>1360</v>
      </c>
      <c r="B314" t="s">
        <v>170</v>
      </c>
      <c r="C314" s="1">
        <v>46079</v>
      </c>
      <c r="D314" t="s">
        <v>184</v>
      </c>
      <c r="E314" t="s">
        <v>546</v>
      </c>
      <c r="F314" t="s">
        <v>671</v>
      </c>
      <c r="G314" t="s">
        <v>1361</v>
      </c>
      <c r="H314">
        <v>1684</v>
      </c>
      <c r="I314" t="s">
        <v>1362</v>
      </c>
      <c r="J314">
        <v>372</v>
      </c>
      <c r="K314" t="s">
        <v>4494</v>
      </c>
      <c r="L314" t="s">
        <v>266</v>
      </c>
      <c r="M314" t="s">
        <v>4659</v>
      </c>
      <c r="N314" t="s">
        <v>1363</v>
      </c>
      <c r="O314" t="s">
        <v>1364</v>
      </c>
      <c r="R314">
        <f>1</f>
        <v>1</v>
      </c>
      <c r="S314">
        <f>10.2</f>
        <v>10.199999999999999</v>
      </c>
      <c r="T314">
        <f>7.9</f>
        <v>7.9</v>
      </c>
      <c r="U314">
        <f>453</f>
        <v>453</v>
      </c>
      <c r="V314">
        <f>0.23</f>
        <v>0.23</v>
      </c>
      <c r="X314">
        <f>0</f>
        <v>0</v>
      </c>
      <c r="Y314" t="s">
        <v>180</v>
      </c>
      <c r="Z314">
        <f>0</f>
        <v>0</v>
      </c>
      <c r="AA314" t="s">
        <v>179</v>
      </c>
      <c r="AB314" t="s">
        <v>179</v>
      </c>
      <c r="AC314">
        <f>0</f>
        <v>0</v>
      </c>
      <c r="AD314">
        <f>0</f>
        <v>0</v>
      </c>
      <c r="AE314">
        <f>0</f>
        <v>0</v>
      </c>
      <c r="AG314" t="s">
        <v>180</v>
      </c>
      <c r="AH314" t="s">
        <v>193</v>
      </c>
      <c r="AK314" t="s">
        <v>181</v>
      </c>
      <c r="AL314" t="s">
        <v>182</v>
      </c>
      <c r="AM314">
        <f>4.4</f>
        <v>4.4000000000000004</v>
      </c>
      <c r="AN314">
        <f>0.09</f>
        <v>0.09</v>
      </c>
      <c r="AO314">
        <f>17</f>
        <v>17</v>
      </c>
      <c r="AP314">
        <f>1.9</f>
        <v>1.9</v>
      </c>
      <c r="AQ314">
        <f>0.16</f>
        <v>0.16</v>
      </c>
    </row>
    <row r="315" spans="1:81" x14ac:dyDescent="0.25">
      <c r="A315" t="s">
        <v>1365</v>
      </c>
      <c r="B315" t="s">
        <v>170</v>
      </c>
      <c r="C315" s="1">
        <v>46086</v>
      </c>
      <c r="D315" t="s">
        <v>302</v>
      </c>
      <c r="E315" t="s">
        <v>303</v>
      </c>
      <c r="F315" t="s">
        <v>1349</v>
      </c>
      <c r="G315" t="s">
        <v>3722</v>
      </c>
      <c r="H315">
        <v>1203</v>
      </c>
      <c r="I315" t="s">
        <v>3722</v>
      </c>
      <c r="J315">
        <v>324</v>
      </c>
      <c r="K315" t="s">
        <v>4494</v>
      </c>
      <c r="L315" t="s">
        <v>266</v>
      </c>
      <c r="M315" t="s">
        <v>1366</v>
      </c>
      <c r="N315" t="s">
        <v>3599</v>
      </c>
      <c r="O315" t="s">
        <v>1367</v>
      </c>
      <c r="R315">
        <f>1</f>
        <v>1</v>
      </c>
      <c r="S315">
        <f>9.8</f>
        <v>9.8000000000000007</v>
      </c>
      <c r="T315">
        <f>7.2</f>
        <v>7.2</v>
      </c>
      <c r="U315">
        <f>326</f>
        <v>326</v>
      </c>
      <c r="V315">
        <f>0.23</f>
        <v>0.23</v>
      </c>
      <c r="X315">
        <f>0</f>
        <v>0</v>
      </c>
      <c r="Y315" t="s">
        <v>180</v>
      </c>
      <c r="Z315">
        <f>0</f>
        <v>0</v>
      </c>
      <c r="AA315" t="s">
        <v>179</v>
      </c>
      <c r="AB315" t="s">
        <v>179</v>
      </c>
      <c r="AC315">
        <f>0</f>
        <v>0</v>
      </c>
      <c r="AD315">
        <f>0</f>
        <v>0</v>
      </c>
      <c r="AE315">
        <f>0</f>
        <v>0</v>
      </c>
      <c r="AG315" t="s">
        <v>180</v>
      </c>
    </row>
    <row r="316" spans="1:81" x14ac:dyDescent="0.25">
      <c r="A316" t="s">
        <v>1368</v>
      </c>
      <c r="B316" t="s">
        <v>170</v>
      </c>
      <c r="C316" s="1">
        <v>46104</v>
      </c>
      <c r="D316" t="s">
        <v>222</v>
      </c>
      <c r="E316" t="s">
        <v>223</v>
      </c>
      <c r="F316" t="s">
        <v>4331</v>
      </c>
      <c r="G316" t="s">
        <v>1369</v>
      </c>
      <c r="H316">
        <v>861</v>
      </c>
      <c r="I316" t="s">
        <v>1369</v>
      </c>
      <c r="J316">
        <v>300</v>
      </c>
      <c r="K316" t="s">
        <v>4492</v>
      </c>
      <c r="L316" t="s">
        <v>3324</v>
      </c>
      <c r="M316" t="s">
        <v>4660</v>
      </c>
      <c r="N316" t="s">
        <v>1370</v>
      </c>
      <c r="O316" t="s">
        <v>1371</v>
      </c>
      <c r="R316">
        <f>1</f>
        <v>1</v>
      </c>
      <c r="S316">
        <f>9</f>
        <v>9</v>
      </c>
      <c r="T316">
        <f>8</f>
        <v>8</v>
      </c>
      <c r="U316">
        <f>323</f>
        <v>323</v>
      </c>
      <c r="X316">
        <f>1</f>
        <v>1</v>
      </c>
      <c r="Y316">
        <f>0.71</f>
        <v>0.71</v>
      </c>
      <c r="Z316">
        <f>0</f>
        <v>0</v>
      </c>
      <c r="AA316" t="s">
        <v>179</v>
      </c>
      <c r="AB316" t="s">
        <v>179</v>
      </c>
      <c r="AD316">
        <f>0</f>
        <v>0</v>
      </c>
      <c r="AE316">
        <f>0</f>
        <v>0</v>
      </c>
      <c r="AG316" t="s">
        <v>180</v>
      </c>
      <c r="AH316" t="s">
        <v>193</v>
      </c>
      <c r="AK316" t="s">
        <v>181</v>
      </c>
      <c r="AL316" t="s">
        <v>182</v>
      </c>
      <c r="AM316">
        <f>3</f>
        <v>3</v>
      </c>
      <c r="AN316">
        <f>0.06</f>
        <v>0.06</v>
      </c>
      <c r="AO316">
        <f>5</f>
        <v>5</v>
      </c>
      <c r="AP316">
        <f>1.6</f>
        <v>1.6</v>
      </c>
      <c r="AQ316" t="s">
        <v>180</v>
      </c>
      <c r="CC316">
        <f>0.19</f>
        <v>0.19</v>
      </c>
    </row>
    <row r="317" spans="1:81" x14ac:dyDescent="0.25">
      <c r="A317" t="s">
        <v>1372</v>
      </c>
      <c r="B317" t="s">
        <v>170</v>
      </c>
      <c r="C317" s="1">
        <v>46090</v>
      </c>
      <c r="D317" t="s">
        <v>222</v>
      </c>
      <c r="E317" t="s">
        <v>223</v>
      </c>
      <c r="F317" t="s">
        <v>536</v>
      </c>
      <c r="G317" t="s">
        <v>1373</v>
      </c>
      <c r="H317">
        <v>1633</v>
      </c>
      <c r="I317" t="s">
        <v>1373</v>
      </c>
      <c r="J317">
        <v>252</v>
      </c>
      <c r="K317" t="s">
        <v>4492</v>
      </c>
      <c r="L317" t="s">
        <v>266</v>
      </c>
      <c r="M317" t="s">
        <v>1374</v>
      </c>
      <c r="N317" t="s">
        <v>1375</v>
      </c>
      <c r="Q317" t="s">
        <v>3476</v>
      </c>
      <c r="R317">
        <f>1</f>
        <v>1</v>
      </c>
      <c r="S317">
        <f>8.5</f>
        <v>8.5</v>
      </c>
      <c r="T317">
        <f>8.1</f>
        <v>8.1</v>
      </c>
      <c r="U317">
        <f>430</f>
        <v>430</v>
      </c>
      <c r="V317">
        <f>0.23</f>
        <v>0.23</v>
      </c>
      <c r="X317">
        <f>1</f>
        <v>1</v>
      </c>
      <c r="Y317" t="s">
        <v>180</v>
      </c>
      <c r="Z317">
        <f>0</f>
        <v>0</v>
      </c>
      <c r="AA317" t="s">
        <v>179</v>
      </c>
      <c r="AB317" t="s">
        <v>179</v>
      </c>
      <c r="AD317">
        <f>0</f>
        <v>0</v>
      </c>
      <c r="AE317">
        <f>0</f>
        <v>0</v>
      </c>
      <c r="AG317" t="s">
        <v>180</v>
      </c>
    </row>
    <row r="318" spans="1:81" x14ac:dyDescent="0.25">
      <c r="A318" t="s">
        <v>1376</v>
      </c>
      <c r="B318" t="s">
        <v>170</v>
      </c>
      <c r="C318" s="1">
        <v>46077</v>
      </c>
      <c r="D318" t="s">
        <v>302</v>
      </c>
      <c r="E318" t="s">
        <v>303</v>
      </c>
      <c r="F318" t="s">
        <v>3338</v>
      </c>
      <c r="G318" t="s">
        <v>1377</v>
      </c>
      <c r="H318">
        <v>1034</v>
      </c>
      <c r="I318" t="s">
        <v>1378</v>
      </c>
      <c r="J318">
        <v>150</v>
      </c>
      <c r="K318" t="s">
        <v>4494</v>
      </c>
      <c r="L318" t="s">
        <v>3331</v>
      </c>
      <c r="M318" t="s">
        <v>1379</v>
      </c>
      <c r="N318" t="s">
        <v>1380</v>
      </c>
      <c r="O318" t="s">
        <v>1381</v>
      </c>
      <c r="Q318" t="s">
        <v>3493</v>
      </c>
      <c r="R318">
        <f>1</f>
        <v>1</v>
      </c>
      <c r="S318">
        <f>7.8</f>
        <v>7.8</v>
      </c>
      <c r="T318">
        <f>7.9</f>
        <v>7.9</v>
      </c>
      <c r="U318">
        <f>349</f>
        <v>349</v>
      </c>
      <c r="X318">
        <f>0</f>
        <v>0</v>
      </c>
      <c r="Y318" t="s">
        <v>180</v>
      </c>
      <c r="Z318">
        <f>0</f>
        <v>0</v>
      </c>
      <c r="AA318" t="s">
        <v>179</v>
      </c>
      <c r="AB318" t="s">
        <v>179</v>
      </c>
      <c r="AC318">
        <f>0</f>
        <v>0</v>
      </c>
      <c r="AD318">
        <f>0</f>
        <v>0</v>
      </c>
      <c r="AE318">
        <f>0</f>
        <v>0</v>
      </c>
      <c r="AG318" t="s">
        <v>180</v>
      </c>
      <c r="AH318" t="s">
        <v>193</v>
      </c>
      <c r="AK318" t="s">
        <v>181</v>
      </c>
      <c r="AL318" t="s">
        <v>182</v>
      </c>
      <c r="AM318">
        <f>9.7</f>
        <v>9.6999999999999993</v>
      </c>
      <c r="AN318">
        <f>0.19</f>
        <v>0.19</v>
      </c>
      <c r="AO318">
        <f>7.2</f>
        <v>7.2</v>
      </c>
      <c r="AP318">
        <f>12</f>
        <v>12</v>
      </c>
      <c r="AQ318" t="s">
        <v>180</v>
      </c>
    </row>
    <row r="319" spans="1:81" x14ac:dyDescent="0.25">
      <c r="A319" t="s">
        <v>1382</v>
      </c>
      <c r="B319" t="s">
        <v>170</v>
      </c>
      <c r="C319" s="1">
        <v>46132</v>
      </c>
      <c r="D319" t="s">
        <v>184</v>
      </c>
      <c r="E319" t="s">
        <v>185</v>
      </c>
      <c r="F319" t="s">
        <v>384</v>
      </c>
      <c r="G319" t="s">
        <v>1383</v>
      </c>
      <c r="H319">
        <v>181</v>
      </c>
      <c r="I319" t="s">
        <v>1383</v>
      </c>
      <c r="J319">
        <v>632</v>
      </c>
      <c r="K319" t="s">
        <v>4492</v>
      </c>
      <c r="L319" t="s">
        <v>266</v>
      </c>
      <c r="M319" t="s">
        <v>3965</v>
      </c>
      <c r="N319" t="s">
        <v>3966</v>
      </c>
      <c r="O319" t="s">
        <v>1384</v>
      </c>
      <c r="R319">
        <f>1</f>
        <v>1</v>
      </c>
      <c r="S319">
        <f>14.1</f>
        <v>14.1</v>
      </c>
      <c r="T319">
        <f>7.6</f>
        <v>7.6</v>
      </c>
      <c r="U319">
        <f>537</f>
        <v>537</v>
      </c>
      <c r="V319">
        <f>0.08</f>
        <v>0.08</v>
      </c>
      <c r="X319">
        <f>0</f>
        <v>0</v>
      </c>
      <c r="Y319" t="s">
        <v>180</v>
      </c>
      <c r="Z319">
        <f>0</f>
        <v>0</v>
      </c>
      <c r="AA319" t="s">
        <v>179</v>
      </c>
      <c r="AB319" t="s">
        <v>179</v>
      </c>
      <c r="AD319">
        <f>0</f>
        <v>0</v>
      </c>
      <c r="AE319">
        <f>0</f>
        <v>0</v>
      </c>
      <c r="AG319" t="s">
        <v>180</v>
      </c>
      <c r="AH319" t="s">
        <v>193</v>
      </c>
      <c r="AK319" t="s">
        <v>181</v>
      </c>
      <c r="AL319" t="s">
        <v>182</v>
      </c>
      <c r="AM319">
        <f>4.4</f>
        <v>4.4000000000000004</v>
      </c>
      <c r="AN319">
        <f>0.09</f>
        <v>0.09</v>
      </c>
      <c r="AO319">
        <f>11</f>
        <v>11</v>
      </c>
      <c r="AP319">
        <f>2.3</f>
        <v>2.2999999999999998</v>
      </c>
      <c r="AQ319" t="s">
        <v>180</v>
      </c>
    </row>
    <row r="320" spans="1:81" x14ac:dyDescent="0.25">
      <c r="A320" t="s">
        <v>1385</v>
      </c>
      <c r="B320" t="s">
        <v>170</v>
      </c>
      <c r="C320" s="1">
        <v>46092</v>
      </c>
      <c r="D320" t="s">
        <v>222</v>
      </c>
      <c r="E320" t="s">
        <v>223</v>
      </c>
      <c r="F320" t="s">
        <v>4508</v>
      </c>
      <c r="G320" t="s">
        <v>4332</v>
      </c>
      <c r="H320">
        <v>1153</v>
      </c>
      <c r="I320" t="s">
        <v>1386</v>
      </c>
      <c r="J320">
        <v>277</v>
      </c>
      <c r="K320" t="s">
        <v>4494</v>
      </c>
      <c r="L320" t="s">
        <v>369</v>
      </c>
      <c r="M320" t="s">
        <v>4548</v>
      </c>
      <c r="N320" t="s">
        <v>1387</v>
      </c>
      <c r="O320" t="s">
        <v>1388</v>
      </c>
      <c r="R320">
        <f>1</f>
        <v>1</v>
      </c>
      <c r="S320">
        <f>15.1</f>
        <v>15.1</v>
      </c>
      <c r="T320">
        <f>7.8</f>
        <v>7.8</v>
      </c>
      <c r="U320">
        <f>463</f>
        <v>463</v>
      </c>
      <c r="V320">
        <f>0.12</f>
        <v>0.12</v>
      </c>
      <c r="X320">
        <f>0</f>
        <v>0</v>
      </c>
      <c r="Y320">
        <f>0.14</f>
        <v>0.14000000000000001</v>
      </c>
      <c r="Z320">
        <f>0</f>
        <v>0</v>
      </c>
      <c r="AA320" t="s">
        <v>179</v>
      </c>
      <c r="AB320" t="s">
        <v>179</v>
      </c>
      <c r="AC320">
        <f>0</f>
        <v>0</v>
      </c>
      <c r="AD320">
        <f>0</f>
        <v>0</v>
      </c>
      <c r="AE320">
        <f>0</f>
        <v>0</v>
      </c>
      <c r="AG320" t="s">
        <v>180</v>
      </c>
    </row>
    <row r="321" spans="1:81" x14ac:dyDescent="0.25">
      <c r="A321" t="s">
        <v>1389</v>
      </c>
      <c r="B321" t="s">
        <v>170</v>
      </c>
      <c r="C321" s="1">
        <v>46083</v>
      </c>
      <c r="D321" t="s">
        <v>425</v>
      </c>
      <c r="E321" t="s">
        <v>426</v>
      </c>
      <c r="F321" t="s">
        <v>655</v>
      </c>
      <c r="G321" t="s">
        <v>3723</v>
      </c>
      <c r="H321">
        <v>957</v>
      </c>
      <c r="I321" t="s">
        <v>3723</v>
      </c>
      <c r="J321">
        <v>250</v>
      </c>
      <c r="K321" t="s">
        <v>4494</v>
      </c>
      <c r="L321" t="s">
        <v>3303</v>
      </c>
      <c r="M321" t="s">
        <v>3600</v>
      </c>
      <c r="N321" t="s">
        <v>3601</v>
      </c>
      <c r="O321" t="s">
        <v>1390</v>
      </c>
      <c r="R321">
        <f>1</f>
        <v>1</v>
      </c>
      <c r="S321">
        <f>7.4</f>
        <v>7.4</v>
      </c>
      <c r="T321">
        <f>7.5</f>
        <v>7.5</v>
      </c>
      <c r="U321">
        <f>162</f>
        <v>162</v>
      </c>
      <c r="V321" t="s">
        <v>192</v>
      </c>
      <c r="X321">
        <f>0</f>
        <v>0</v>
      </c>
      <c r="Y321" t="s">
        <v>180</v>
      </c>
      <c r="Z321">
        <f>0</f>
        <v>0</v>
      </c>
      <c r="AA321" t="s">
        <v>179</v>
      </c>
      <c r="AB321" t="s">
        <v>179</v>
      </c>
      <c r="AC321">
        <f>0</f>
        <v>0</v>
      </c>
      <c r="AD321">
        <f>0</f>
        <v>0</v>
      </c>
      <c r="AE321">
        <f>0</f>
        <v>0</v>
      </c>
      <c r="AG321" t="s">
        <v>180</v>
      </c>
      <c r="AH321" t="s">
        <v>193</v>
      </c>
      <c r="AK321" t="s">
        <v>181</v>
      </c>
      <c r="AL321" t="s">
        <v>182</v>
      </c>
      <c r="AM321">
        <f>3.5</f>
        <v>3.5</v>
      </c>
      <c r="AN321">
        <f>0.07</f>
        <v>7.0000000000000007E-2</v>
      </c>
      <c r="AO321">
        <f>15</f>
        <v>15</v>
      </c>
      <c r="AP321">
        <f>1.2</f>
        <v>1.2</v>
      </c>
      <c r="AQ321" t="s">
        <v>180</v>
      </c>
    </row>
    <row r="322" spans="1:81" x14ac:dyDescent="0.25">
      <c r="A322" t="s">
        <v>1391</v>
      </c>
      <c r="B322" t="s">
        <v>170</v>
      </c>
      <c r="C322" s="1">
        <v>46132</v>
      </c>
      <c r="D322" t="s">
        <v>425</v>
      </c>
      <c r="E322" t="s">
        <v>426</v>
      </c>
      <c r="F322" t="s">
        <v>655</v>
      </c>
      <c r="G322" t="s">
        <v>732</v>
      </c>
      <c r="H322">
        <v>45</v>
      </c>
      <c r="I322" t="s">
        <v>1392</v>
      </c>
      <c r="J322">
        <v>250</v>
      </c>
      <c r="K322" t="s">
        <v>4492</v>
      </c>
      <c r="L322" t="s">
        <v>271</v>
      </c>
      <c r="M322" t="s">
        <v>1393</v>
      </c>
      <c r="N322" t="s">
        <v>1394</v>
      </c>
      <c r="O322" t="s">
        <v>1395</v>
      </c>
      <c r="R322">
        <f>1</f>
        <v>1</v>
      </c>
      <c r="S322">
        <f>12.5</f>
        <v>12.5</v>
      </c>
      <c r="T322">
        <f>7.7</f>
        <v>7.7</v>
      </c>
      <c r="U322">
        <f>456</f>
        <v>456</v>
      </c>
      <c r="X322">
        <f>0</f>
        <v>0</v>
      </c>
      <c r="Y322" t="s">
        <v>180</v>
      </c>
      <c r="Z322">
        <f>0</f>
        <v>0</v>
      </c>
      <c r="AA322" t="s">
        <v>179</v>
      </c>
      <c r="AB322" t="s">
        <v>179</v>
      </c>
      <c r="AD322">
        <f>0</f>
        <v>0</v>
      </c>
      <c r="AE322">
        <f>0</f>
        <v>0</v>
      </c>
      <c r="AG322" t="s">
        <v>180</v>
      </c>
      <c r="AH322" t="s">
        <v>193</v>
      </c>
      <c r="AK322" t="s">
        <v>181</v>
      </c>
      <c r="AL322" t="s">
        <v>182</v>
      </c>
      <c r="AM322">
        <f>17</f>
        <v>17</v>
      </c>
      <c r="AN322">
        <f>0.34</f>
        <v>0.34</v>
      </c>
      <c r="AO322">
        <f>12</f>
        <v>12</v>
      </c>
      <c r="AP322">
        <f>23</f>
        <v>23</v>
      </c>
      <c r="AQ322" t="s">
        <v>180</v>
      </c>
    </row>
    <row r="323" spans="1:81" x14ac:dyDescent="0.25">
      <c r="A323" t="s">
        <v>1396</v>
      </c>
      <c r="B323" t="s">
        <v>170</v>
      </c>
      <c r="C323" s="1">
        <v>46092</v>
      </c>
      <c r="D323" t="s">
        <v>425</v>
      </c>
      <c r="E323" t="s">
        <v>426</v>
      </c>
      <c r="F323" t="s">
        <v>655</v>
      </c>
      <c r="G323" t="s">
        <v>732</v>
      </c>
      <c r="H323">
        <v>41</v>
      </c>
      <c r="I323" t="s">
        <v>3724</v>
      </c>
      <c r="J323">
        <v>160</v>
      </c>
      <c r="K323" t="s">
        <v>4492</v>
      </c>
      <c r="L323" t="s">
        <v>266</v>
      </c>
      <c r="M323" t="s">
        <v>4661</v>
      </c>
      <c r="N323" t="s">
        <v>3602</v>
      </c>
      <c r="O323" t="s">
        <v>1397</v>
      </c>
      <c r="R323">
        <f>1</f>
        <v>1</v>
      </c>
      <c r="S323">
        <f>11.9</f>
        <v>11.9</v>
      </c>
      <c r="T323">
        <f>7.6</f>
        <v>7.6</v>
      </c>
      <c r="U323">
        <f>463</f>
        <v>463</v>
      </c>
      <c r="X323">
        <f>0</f>
        <v>0</v>
      </c>
      <c r="Y323" t="s">
        <v>180</v>
      </c>
      <c r="Z323">
        <f>0</f>
        <v>0</v>
      </c>
      <c r="AA323" t="s">
        <v>179</v>
      </c>
      <c r="AB323" t="s">
        <v>179</v>
      </c>
      <c r="AD323">
        <f>0</f>
        <v>0</v>
      </c>
      <c r="AE323">
        <f>0</f>
        <v>0</v>
      </c>
      <c r="AG323" t="s">
        <v>180</v>
      </c>
    </row>
    <row r="324" spans="1:81" x14ac:dyDescent="0.25">
      <c r="A324" t="s">
        <v>1398</v>
      </c>
      <c r="B324" t="s">
        <v>170</v>
      </c>
      <c r="C324" s="1">
        <v>46133</v>
      </c>
      <c r="D324" t="s">
        <v>251</v>
      </c>
      <c r="E324" t="s">
        <v>252</v>
      </c>
      <c r="F324" t="s">
        <v>758</v>
      </c>
      <c r="G324" t="s">
        <v>1399</v>
      </c>
      <c r="H324">
        <v>71</v>
      </c>
      <c r="I324" t="s">
        <v>1399</v>
      </c>
      <c r="J324">
        <v>250</v>
      </c>
      <c r="K324" t="s">
        <v>4492</v>
      </c>
      <c r="L324" t="s">
        <v>271</v>
      </c>
      <c r="M324" t="s">
        <v>1400</v>
      </c>
      <c r="N324" t="s">
        <v>4662</v>
      </c>
      <c r="O324" t="s">
        <v>1401</v>
      </c>
      <c r="Q324" t="s">
        <v>3472</v>
      </c>
      <c r="R324">
        <f>1</f>
        <v>1</v>
      </c>
      <c r="S324">
        <f>10.7</f>
        <v>10.7</v>
      </c>
      <c r="T324">
        <f>7.7</f>
        <v>7.7</v>
      </c>
      <c r="U324">
        <f>296</f>
        <v>296</v>
      </c>
      <c r="X324">
        <f>0</f>
        <v>0</v>
      </c>
      <c r="Y324" t="s">
        <v>180</v>
      </c>
      <c r="Z324">
        <f>0</f>
        <v>0</v>
      </c>
      <c r="AA324">
        <f>0</f>
        <v>0</v>
      </c>
      <c r="AB324">
        <f>0</f>
        <v>0</v>
      </c>
      <c r="AD324">
        <f>0</f>
        <v>0</v>
      </c>
      <c r="AE324">
        <f>0</f>
        <v>0</v>
      </c>
      <c r="AG324" t="s">
        <v>180</v>
      </c>
    </row>
    <row r="325" spans="1:81" x14ac:dyDescent="0.25">
      <c r="A325" t="s">
        <v>1402</v>
      </c>
      <c r="B325" t="s">
        <v>170</v>
      </c>
      <c r="C325" s="1">
        <v>46113</v>
      </c>
      <c r="D325" t="s">
        <v>216</v>
      </c>
      <c r="E325" t="s">
        <v>217</v>
      </c>
      <c r="F325" t="s">
        <v>3312</v>
      </c>
      <c r="G325" t="s">
        <v>1403</v>
      </c>
      <c r="H325">
        <v>1805</v>
      </c>
      <c r="I325" t="s">
        <v>4333</v>
      </c>
      <c r="J325">
        <v>160</v>
      </c>
      <c r="K325" t="s">
        <v>4494</v>
      </c>
      <c r="L325" t="s">
        <v>3603</v>
      </c>
      <c r="M325" t="s">
        <v>4334</v>
      </c>
      <c r="N325" t="s">
        <v>4335</v>
      </c>
      <c r="R325">
        <f>1</f>
        <v>1</v>
      </c>
      <c r="S325">
        <f>11.5</f>
        <v>11.5</v>
      </c>
      <c r="T325">
        <f>8.3</f>
        <v>8.3000000000000007</v>
      </c>
      <c r="U325">
        <f>244</f>
        <v>244</v>
      </c>
      <c r="V325">
        <f>0.06</f>
        <v>0.06</v>
      </c>
      <c r="X325">
        <f>1</f>
        <v>1</v>
      </c>
      <c r="Y325">
        <f>0.15</f>
        <v>0.15</v>
      </c>
      <c r="Z325">
        <f>0</f>
        <v>0</v>
      </c>
      <c r="AA325">
        <f>0</f>
        <v>0</v>
      </c>
      <c r="AB325">
        <f>0</f>
        <v>0</v>
      </c>
      <c r="AC325">
        <f>0</f>
        <v>0</v>
      </c>
      <c r="AD325">
        <f>0</f>
        <v>0</v>
      </c>
      <c r="AE325">
        <f>0</f>
        <v>0</v>
      </c>
      <c r="AG325" t="s">
        <v>220</v>
      </c>
      <c r="AH325">
        <f>0.55</f>
        <v>0.55000000000000004</v>
      </c>
      <c r="AK325" t="s">
        <v>285</v>
      </c>
      <c r="AL325" t="s">
        <v>181</v>
      </c>
      <c r="AM325">
        <f>3.9</f>
        <v>3.9</v>
      </c>
      <c r="AN325">
        <f>0.08</f>
        <v>0.08</v>
      </c>
      <c r="AO325">
        <f>2.9</f>
        <v>2.9</v>
      </c>
      <c r="AP325">
        <f>2.5</f>
        <v>2.5</v>
      </c>
      <c r="AQ325" t="s">
        <v>284</v>
      </c>
    </row>
    <row r="326" spans="1:81" x14ac:dyDescent="0.25">
      <c r="A326" t="s">
        <v>1404</v>
      </c>
      <c r="B326" t="s">
        <v>170</v>
      </c>
      <c r="C326" s="1">
        <v>46083</v>
      </c>
      <c r="D326" t="s">
        <v>216</v>
      </c>
      <c r="E326" t="s">
        <v>217</v>
      </c>
      <c r="F326" t="s">
        <v>3312</v>
      </c>
      <c r="G326" t="s">
        <v>1405</v>
      </c>
      <c r="H326">
        <v>415</v>
      </c>
      <c r="I326" t="s">
        <v>1405</v>
      </c>
      <c r="J326">
        <v>148</v>
      </c>
      <c r="K326" t="s">
        <v>4494</v>
      </c>
      <c r="L326" t="s">
        <v>3578</v>
      </c>
      <c r="M326" t="s">
        <v>3967</v>
      </c>
      <c r="N326" t="s">
        <v>1406</v>
      </c>
      <c r="Q326" t="s">
        <v>3468</v>
      </c>
      <c r="R326">
        <f>1</f>
        <v>1</v>
      </c>
      <c r="S326">
        <f>10.5</f>
        <v>10.5</v>
      </c>
      <c r="T326">
        <f>7.9</f>
        <v>7.9</v>
      </c>
      <c r="U326">
        <f>360</f>
        <v>360</v>
      </c>
      <c r="V326">
        <f>0.29</f>
        <v>0.28999999999999998</v>
      </c>
      <c r="X326">
        <f>1</f>
        <v>1</v>
      </c>
      <c r="Y326">
        <f>0.21</f>
        <v>0.21</v>
      </c>
      <c r="Z326">
        <f>0</f>
        <v>0</v>
      </c>
      <c r="AA326">
        <f>2</f>
        <v>2</v>
      </c>
      <c r="AB326">
        <f>0</f>
        <v>0</v>
      </c>
      <c r="AC326">
        <f>0</f>
        <v>0</v>
      </c>
      <c r="AD326">
        <f>0</f>
        <v>0</v>
      </c>
      <c r="AE326">
        <f>0</f>
        <v>0</v>
      </c>
      <c r="AG326" t="s">
        <v>220</v>
      </c>
    </row>
    <row r="327" spans="1:81" x14ac:dyDescent="0.25">
      <c r="A327" t="s">
        <v>1407</v>
      </c>
      <c r="B327" t="s">
        <v>170</v>
      </c>
      <c r="C327" s="1">
        <v>46094</v>
      </c>
      <c r="D327" t="s">
        <v>302</v>
      </c>
      <c r="E327" t="s">
        <v>303</v>
      </c>
      <c r="F327" t="s">
        <v>3338</v>
      </c>
      <c r="G327" t="s">
        <v>1408</v>
      </c>
      <c r="H327">
        <v>1801</v>
      </c>
      <c r="I327" t="s">
        <v>1409</v>
      </c>
      <c r="J327">
        <v>145</v>
      </c>
      <c r="K327" t="s">
        <v>4494</v>
      </c>
      <c r="L327" t="s">
        <v>3331</v>
      </c>
      <c r="M327" t="s">
        <v>1410</v>
      </c>
      <c r="N327" t="s">
        <v>3372</v>
      </c>
      <c r="O327" t="s">
        <v>1411</v>
      </c>
      <c r="R327">
        <f>1</f>
        <v>1</v>
      </c>
      <c r="S327">
        <f>8.7</f>
        <v>8.6999999999999993</v>
      </c>
      <c r="T327">
        <f>7.4</f>
        <v>7.4</v>
      </c>
      <c r="U327">
        <f>104</f>
        <v>104</v>
      </c>
      <c r="X327">
        <f>0</f>
        <v>0</v>
      </c>
      <c r="Y327" t="s">
        <v>180</v>
      </c>
      <c r="Z327">
        <f>0</f>
        <v>0</v>
      </c>
      <c r="AA327" t="s">
        <v>179</v>
      </c>
      <c r="AB327" t="s">
        <v>179</v>
      </c>
      <c r="AC327">
        <f>0</f>
        <v>0</v>
      </c>
      <c r="AD327">
        <f>0</f>
        <v>0</v>
      </c>
      <c r="AE327">
        <f>0</f>
        <v>0</v>
      </c>
      <c r="AG327" t="s">
        <v>180</v>
      </c>
    </row>
    <row r="328" spans="1:81" x14ac:dyDescent="0.25">
      <c r="A328" t="s">
        <v>1412</v>
      </c>
      <c r="B328" t="s">
        <v>170</v>
      </c>
      <c r="C328" s="1">
        <v>46083</v>
      </c>
      <c r="D328" t="s">
        <v>195</v>
      </c>
      <c r="E328" t="s">
        <v>448</v>
      </c>
      <c r="F328" t="s">
        <v>4663</v>
      </c>
      <c r="G328" t="s">
        <v>3968</v>
      </c>
      <c r="H328">
        <v>1796</v>
      </c>
      <c r="I328" t="s">
        <v>3968</v>
      </c>
      <c r="J328">
        <v>120</v>
      </c>
      <c r="K328" t="s">
        <v>4492</v>
      </c>
      <c r="L328" t="s">
        <v>3586</v>
      </c>
      <c r="M328" t="s">
        <v>3969</v>
      </c>
      <c r="N328" t="s">
        <v>3970</v>
      </c>
      <c r="Q328" t="s">
        <v>3971</v>
      </c>
      <c r="R328">
        <f>1</f>
        <v>1</v>
      </c>
      <c r="S328">
        <f>9.4</f>
        <v>9.4</v>
      </c>
      <c r="T328">
        <f>8</f>
        <v>8</v>
      </c>
      <c r="U328">
        <f>346</f>
        <v>346</v>
      </c>
      <c r="X328">
        <f>0</f>
        <v>0</v>
      </c>
      <c r="Y328">
        <f>0.05</f>
        <v>0.05</v>
      </c>
      <c r="Z328">
        <f>0</f>
        <v>0</v>
      </c>
      <c r="AA328">
        <f>0</f>
        <v>0</v>
      </c>
      <c r="AB328">
        <f>3</f>
        <v>3</v>
      </c>
      <c r="AD328">
        <f>0</f>
        <v>0</v>
      </c>
      <c r="AE328">
        <f>0</f>
        <v>0</v>
      </c>
      <c r="AG328" t="s">
        <v>180</v>
      </c>
    </row>
    <row r="329" spans="1:81" x14ac:dyDescent="0.25">
      <c r="A329" t="s">
        <v>1413</v>
      </c>
      <c r="B329" t="s">
        <v>170</v>
      </c>
      <c r="C329" s="1">
        <v>46090</v>
      </c>
      <c r="D329" t="s">
        <v>222</v>
      </c>
      <c r="E329" t="s">
        <v>223</v>
      </c>
      <c r="F329" t="s">
        <v>625</v>
      </c>
      <c r="G329" t="s">
        <v>4255</v>
      </c>
      <c r="H329">
        <v>1809</v>
      </c>
      <c r="I329" t="s">
        <v>4336</v>
      </c>
      <c r="J329">
        <v>280</v>
      </c>
      <c r="K329" t="s">
        <v>4492</v>
      </c>
      <c r="L329" t="s">
        <v>369</v>
      </c>
      <c r="M329" t="s">
        <v>4664</v>
      </c>
      <c r="N329" t="s">
        <v>3972</v>
      </c>
      <c r="O329" t="s">
        <v>1414</v>
      </c>
      <c r="R329">
        <f>1</f>
        <v>1</v>
      </c>
      <c r="S329">
        <f>8.5</f>
        <v>8.5</v>
      </c>
      <c r="T329">
        <f>7.9</f>
        <v>7.9</v>
      </c>
      <c r="U329">
        <f>312</f>
        <v>312</v>
      </c>
      <c r="V329">
        <f>0.11</f>
        <v>0.11</v>
      </c>
      <c r="X329">
        <f>0</f>
        <v>0</v>
      </c>
      <c r="Y329">
        <f>0.18</f>
        <v>0.18</v>
      </c>
      <c r="Z329">
        <f>0</f>
        <v>0</v>
      </c>
      <c r="AA329" t="s">
        <v>179</v>
      </c>
      <c r="AB329" t="s">
        <v>179</v>
      </c>
      <c r="AD329">
        <f>0</f>
        <v>0</v>
      </c>
      <c r="AE329">
        <f>0</f>
        <v>0</v>
      </c>
      <c r="AG329" t="s">
        <v>180</v>
      </c>
    </row>
    <row r="330" spans="1:81" x14ac:dyDescent="0.25">
      <c r="A330" t="s">
        <v>1415</v>
      </c>
      <c r="B330" t="s">
        <v>170</v>
      </c>
      <c r="C330" s="1">
        <v>46090</v>
      </c>
      <c r="D330" t="s">
        <v>222</v>
      </c>
      <c r="E330" t="s">
        <v>223</v>
      </c>
      <c r="F330" t="s">
        <v>625</v>
      </c>
      <c r="G330" t="s">
        <v>4255</v>
      </c>
      <c r="H330">
        <v>1811</v>
      </c>
      <c r="I330" t="s">
        <v>1416</v>
      </c>
      <c r="J330">
        <v>462</v>
      </c>
      <c r="K330" t="s">
        <v>4492</v>
      </c>
      <c r="L330" t="s">
        <v>369</v>
      </c>
      <c r="M330" t="s">
        <v>4665</v>
      </c>
      <c r="N330" t="s">
        <v>1417</v>
      </c>
      <c r="O330" t="s">
        <v>1418</v>
      </c>
      <c r="Q330" t="s">
        <v>3494</v>
      </c>
      <c r="R330">
        <f>1</f>
        <v>1</v>
      </c>
      <c r="S330">
        <f>8.7</f>
        <v>8.6999999999999993</v>
      </c>
      <c r="T330">
        <f>7.5</f>
        <v>7.5</v>
      </c>
      <c r="U330">
        <f>85</f>
        <v>85</v>
      </c>
      <c r="V330">
        <f>0.11</f>
        <v>0.11</v>
      </c>
      <c r="X330">
        <f>0</f>
        <v>0</v>
      </c>
      <c r="Y330">
        <f>0.72</f>
        <v>0.72</v>
      </c>
      <c r="Z330">
        <f>0</f>
        <v>0</v>
      </c>
      <c r="AA330" t="s">
        <v>179</v>
      </c>
      <c r="AB330" t="s">
        <v>179</v>
      </c>
      <c r="AD330">
        <f>0</f>
        <v>0</v>
      </c>
      <c r="AE330">
        <f>0</f>
        <v>0</v>
      </c>
      <c r="AG330" t="s">
        <v>180</v>
      </c>
      <c r="AH330" t="s">
        <v>193</v>
      </c>
      <c r="AK330" t="s">
        <v>181</v>
      </c>
      <c r="AL330" t="s">
        <v>182</v>
      </c>
      <c r="AM330">
        <f>2.4</f>
        <v>2.4</v>
      </c>
      <c r="AN330">
        <f>0.05</f>
        <v>0.05</v>
      </c>
      <c r="AO330">
        <f>10</f>
        <v>10</v>
      </c>
      <c r="AP330">
        <f>0.9</f>
        <v>0.9</v>
      </c>
      <c r="AQ330" t="s">
        <v>180</v>
      </c>
    </row>
    <row r="331" spans="1:81" x14ac:dyDescent="0.25">
      <c r="A331" t="s">
        <v>1419</v>
      </c>
      <c r="B331" t="s">
        <v>170</v>
      </c>
      <c r="C331" s="1">
        <v>46090</v>
      </c>
      <c r="D331" t="s">
        <v>222</v>
      </c>
      <c r="E331" t="s">
        <v>223</v>
      </c>
      <c r="F331" t="s">
        <v>625</v>
      </c>
      <c r="G331" t="s">
        <v>4255</v>
      </c>
      <c r="H331">
        <v>1814</v>
      </c>
      <c r="I331" t="s">
        <v>4337</v>
      </c>
      <c r="J331">
        <v>473</v>
      </c>
      <c r="K331" t="s">
        <v>4492</v>
      </c>
      <c r="L331" t="s">
        <v>369</v>
      </c>
      <c r="M331" t="s">
        <v>4666</v>
      </c>
      <c r="N331" t="s">
        <v>3973</v>
      </c>
      <c r="O331" t="s">
        <v>1420</v>
      </c>
      <c r="R331">
        <f>1</f>
        <v>1</v>
      </c>
      <c r="S331">
        <f>10.5</f>
        <v>10.5</v>
      </c>
      <c r="T331">
        <f>8.3</f>
        <v>8.3000000000000007</v>
      </c>
      <c r="U331">
        <f>265</f>
        <v>265</v>
      </c>
      <c r="V331">
        <f>0.04</f>
        <v>0.04</v>
      </c>
      <c r="X331">
        <f>0</f>
        <v>0</v>
      </c>
      <c r="Y331">
        <f>0.2</f>
        <v>0.2</v>
      </c>
      <c r="Z331">
        <f>0</f>
        <v>0</v>
      </c>
      <c r="AA331" t="s">
        <v>179</v>
      </c>
      <c r="AB331" t="s">
        <v>179</v>
      </c>
      <c r="AD331">
        <f>0</f>
        <v>0</v>
      </c>
      <c r="AE331">
        <f>0</f>
        <v>0</v>
      </c>
      <c r="AG331" t="s">
        <v>180</v>
      </c>
    </row>
    <row r="332" spans="1:81" x14ac:dyDescent="0.25">
      <c r="A332" t="s">
        <v>1421</v>
      </c>
      <c r="B332" t="s">
        <v>170</v>
      </c>
      <c r="C332" s="1">
        <v>46084</v>
      </c>
      <c r="D332" t="s">
        <v>184</v>
      </c>
      <c r="E332" t="s">
        <v>185</v>
      </c>
      <c r="F332" t="s">
        <v>4338</v>
      </c>
      <c r="G332" t="s">
        <v>1422</v>
      </c>
      <c r="H332">
        <v>586</v>
      </c>
      <c r="I332" t="s">
        <v>1423</v>
      </c>
      <c r="J332">
        <v>537</v>
      </c>
      <c r="K332" t="s">
        <v>4492</v>
      </c>
      <c r="M332" t="s">
        <v>1424</v>
      </c>
      <c r="N332" t="s">
        <v>1425</v>
      </c>
      <c r="R332">
        <f>1</f>
        <v>1</v>
      </c>
      <c r="S332">
        <f>8.1</f>
        <v>8.1</v>
      </c>
      <c r="T332">
        <f>7.4</f>
        <v>7.4</v>
      </c>
      <c r="U332">
        <f>240</f>
        <v>240</v>
      </c>
      <c r="X332">
        <f>0</f>
        <v>0</v>
      </c>
      <c r="Y332" t="s">
        <v>180</v>
      </c>
      <c r="Z332">
        <f>0</f>
        <v>0</v>
      </c>
      <c r="AA332" t="s">
        <v>179</v>
      </c>
      <c r="AB332" t="s">
        <v>179</v>
      </c>
      <c r="AD332">
        <f>0</f>
        <v>0</v>
      </c>
      <c r="AE332">
        <f>0</f>
        <v>0</v>
      </c>
      <c r="AG332" t="s">
        <v>180</v>
      </c>
    </row>
    <row r="333" spans="1:81" x14ac:dyDescent="0.25">
      <c r="A333" t="s">
        <v>1426</v>
      </c>
      <c r="B333" t="s">
        <v>170</v>
      </c>
      <c r="C333" s="1">
        <v>46079</v>
      </c>
      <c r="D333" t="s">
        <v>184</v>
      </c>
      <c r="E333" t="s">
        <v>546</v>
      </c>
      <c r="F333" t="s">
        <v>660</v>
      </c>
      <c r="G333" t="s">
        <v>1427</v>
      </c>
      <c r="H333">
        <v>1816</v>
      </c>
      <c r="I333" t="s">
        <v>1428</v>
      </c>
      <c r="J333">
        <v>450</v>
      </c>
      <c r="K333" t="s">
        <v>4492</v>
      </c>
      <c r="L333" t="s">
        <v>271</v>
      </c>
      <c r="M333" t="s">
        <v>3974</v>
      </c>
      <c r="N333" t="s">
        <v>1429</v>
      </c>
      <c r="R333">
        <f>1</f>
        <v>1</v>
      </c>
      <c r="S333">
        <f>7.3</f>
        <v>7.3</v>
      </c>
      <c r="T333">
        <f>7.5</f>
        <v>7.5</v>
      </c>
      <c r="U333">
        <f>461</f>
        <v>461</v>
      </c>
      <c r="X333">
        <f>0</f>
        <v>0</v>
      </c>
      <c r="Y333" t="s">
        <v>180</v>
      </c>
      <c r="Z333">
        <f>0</f>
        <v>0</v>
      </c>
      <c r="AA333" t="s">
        <v>179</v>
      </c>
      <c r="AB333" t="s">
        <v>179</v>
      </c>
      <c r="AD333">
        <f>0</f>
        <v>0</v>
      </c>
      <c r="AE333">
        <f>0</f>
        <v>0</v>
      </c>
      <c r="AG333" t="s">
        <v>180</v>
      </c>
    </row>
    <row r="334" spans="1:81" x14ac:dyDescent="0.25">
      <c r="A334" t="s">
        <v>1430</v>
      </c>
      <c r="B334" t="s">
        <v>170</v>
      </c>
      <c r="C334" s="1">
        <v>46132</v>
      </c>
      <c r="D334" t="s">
        <v>238</v>
      </c>
      <c r="E334" t="s">
        <v>260</v>
      </c>
      <c r="F334" t="s">
        <v>4667</v>
      </c>
      <c r="G334" t="s">
        <v>4668</v>
      </c>
      <c r="H334">
        <v>311</v>
      </c>
      <c r="I334" t="s">
        <v>4669</v>
      </c>
      <c r="J334">
        <v>309</v>
      </c>
      <c r="K334" t="s">
        <v>4494</v>
      </c>
      <c r="L334" t="s">
        <v>266</v>
      </c>
      <c r="M334" t="s">
        <v>1431</v>
      </c>
      <c r="N334" t="s">
        <v>3975</v>
      </c>
      <c r="R334">
        <f>1</f>
        <v>1</v>
      </c>
      <c r="S334">
        <f>12.2</f>
        <v>12.2</v>
      </c>
      <c r="T334">
        <f>7.7</f>
        <v>7.7</v>
      </c>
      <c r="U334">
        <f>437</f>
        <v>437</v>
      </c>
      <c r="V334">
        <f>0.12</f>
        <v>0.12</v>
      </c>
      <c r="X334">
        <f>0</f>
        <v>0</v>
      </c>
      <c r="Y334">
        <f>0.25</f>
        <v>0.25</v>
      </c>
      <c r="Z334">
        <f>0</f>
        <v>0</v>
      </c>
      <c r="AA334" t="s">
        <v>179</v>
      </c>
      <c r="AB334" t="s">
        <v>179</v>
      </c>
      <c r="AC334">
        <f>0</f>
        <v>0</v>
      </c>
      <c r="AD334">
        <f>0</f>
        <v>0</v>
      </c>
      <c r="AE334">
        <f>0</f>
        <v>0</v>
      </c>
      <c r="AG334" t="s">
        <v>220</v>
      </c>
      <c r="AH334" t="s">
        <v>411</v>
      </c>
      <c r="AK334" t="s">
        <v>286</v>
      </c>
      <c r="AL334">
        <f>0.011</f>
        <v>1.0999999999999999E-2</v>
      </c>
      <c r="AM334">
        <f>4</f>
        <v>4</v>
      </c>
      <c r="AN334">
        <f>0.084</f>
        <v>8.4000000000000005E-2</v>
      </c>
      <c r="AO334">
        <f>6.1</f>
        <v>6.1</v>
      </c>
      <c r="AP334">
        <f>1.2</f>
        <v>1.2</v>
      </c>
      <c r="AQ334" t="s">
        <v>192</v>
      </c>
      <c r="CC334">
        <f>0.18</f>
        <v>0.18</v>
      </c>
    </row>
    <row r="335" spans="1:81" x14ac:dyDescent="0.25">
      <c r="A335" t="s">
        <v>1432</v>
      </c>
      <c r="B335" t="s">
        <v>170</v>
      </c>
      <c r="C335" s="1">
        <v>46084</v>
      </c>
      <c r="D335" t="s">
        <v>184</v>
      </c>
      <c r="E335" t="s">
        <v>185</v>
      </c>
      <c r="F335" t="s">
        <v>186</v>
      </c>
      <c r="G335" t="s">
        <v>1433</v>
      </c>
      <c r="H335">
        <v>1353</v>
      </c>
      <c r="I335" t="s">
        <v>1433</v>
      </c>
      <c r="J335">
        <v>572</v>
      </c>
      <c r="K335" t="s">
        <v>4492</v>
      </c>
      <c r="L335" t="s">
        <v>3567</v>
      </c>
      <c r="M335" t="s">
        <v>1434</v>
      </c>
      <c r="N335" t="s">
        <v>1435</v>
      </c>
      <c r="R335">
        <f>1</f>
        <v>1</v>
      </c>
      <c r="S335">
        <f>8.6</f>
        <v>8.6</v>
      </c>
      <c r="T335">
        <f>7.3</f>
        <v>7.3</v>
      </c>
      <c r="U335">
        <f>449</f>
        <v>449</v>
      </c>
      <c r="X335">
        <f>0</f>
        <v>0</v>
      </c>
      <c r="Y335" t="s">
        <v>180</v>
      </c>
      <c r="Z335">
        <f>0</f>
        <v>0</v>
      </c>
      <c r="AA335" t="s">
        <v>179</v>
      </c>
      <c r="AB335" t="s">
        <v>179</v>
      </c>
      <c r="AD335">
        <f>0</f>
        <v>0</v>
      </c>
      <c r="AE335">
        <f>0</f>
        <v>0</v>
      </c>
      <c r="AG335" t="s">
        <v>180</v>
      </c>
      <c r="AH335" t="s">
        <v>193</v>
      </c>
      <c r="AK335" t="s">
        <v>181</v>
      </c>
      <c r="AL335" t="s">
        <v>182</v>
      </c>
      <c r="AM335">
        <f>3.6</f>
        <v>3.6</v>
      </c>
      <c r="AN335">
        <f>0.07</f>
        <v>7.0000000000000007E-2</v>
      </c>
      <c r="AO335">
        <f>12</f>
        <v>12</v>
      </c>
      <c r="AP335">
        <f>3.1</f>
        <v>3.1</v>
      </c>
      <c r="AQ335" t="s">
        <v>180</v>
      </c>
    </row>
    <row r="336" spans="1:81" x14ac:dyDescent="0.25">
      <c r="A336" t="s">
        <v>1436</v>
      </c>
      <c r="B336" t="s">
        <v>170</v>
      </c>
      <c r="C336" s="1">
        <v>46132</v>
      </c>
      <c r="D336" t="s">
        <v>184</v>
      </c>
      <c r="E336" t="s">
        <v>185</v>
      </c>
      <c r="F336" t="s">
        <v>1437</v>
      </c>
      <c r="G336" t="s">
        <v>4670</v>
      </c>
      <c r="H336">
        <v>1575</v>
      </c>
      <c r="I336" t="s">
        <v>4670</v>
      </c>
      <c r="J336">
        <v>700</v>
      </c>
      <c r="K336" t="s">
        <v>4494</v>
      </c>
      <c r="L336" t="s">
        <v>266</v>
      </c>
      <c r="M336" t="s">
        <v>692</v>
      </c>
      <c r="N336" t="s">
        <v>1438</v>
      </c>
      <c r="R336">
        <f>1</f>
        <v>1</v>
      </c>
      <c r="S336">
        <f>11.7</f>
        <v>11.7</v>
      </c>
      <c r="T336">
        <f>7.7</f>
        <v>7.7</v>
      </c>
      <c r="U336">
        <f>555</f>
        <v>555</v>
      </c>
      <c r="V336" t="s">
        <v>192</v>
      </c>
      <c r="X336">
        <f>0</f>
        <v>0</v>
      </c>
      <c r="Y336" t="s">
        <v>180</v>
      </c>
      <c r="Z336">
        <f>0</f>
        <v>0</v>
      </c>
      <c r="AA336" t="s">
        <v>179</v>
      </c>
      <c r="AB336" t="s">
        <v>179</v>
      </c>
      <c r="AC336">
        <f>0</f>
        <v>0</v>
      </c>
      <c r="AD336">
        <f>0</f>
        <v>0</v>
      </c>
      <c r="AE336">
        <f>0</f>
        <v>0</v>
      </c>
      <c r="AG336" t="s">
        <v>180</v>
      </c>
      <c r="AH336">
        <f>0.7</f>
        <v>0.7</v>
      </c>
      <c r="AK336" t="s">
        <v>181</v>
      </c>
      <c r="AL336" t="s">
        <v>182</v>
      </c>
      <c r="AM336">
        <f>3.9</f>
        <v>3.9</v>
      </c>
      <c r="AN336">
        <f>0.08</f>
        <v>0.08</v>
      </c>
      <c r="AO336">
        <f>4.6</f>
        <v>4.5999999999999996</v>
      </c>
      <c r="AP336">
        <f>2.2</f>
        <v>2.2000000000000002</v>
      </c>
      <c r="AQ336" t="s">
        <v>180</v>
      </c>
    </row>
    <row r="337" spans="1:164" x14ac:dyDescent="0.25">
      <c r="A337" t="s">
        <v>1439</v>
      </c>
      <c r="B337" t="s">
        <v>170</v>
      </c>
      <c r="C337" s="1">
        <v>46084</v>
      </c>
      <c r="D337" t="s">
        <v>251</v>
      </c>
      <c r="E337" t="s">
        <v>252</v>
      </c>
      <c r="F337" t="s">
        <v>3691</v>
      </c>
      <c r="G337" t="s">
        <v>3976</v>
      </c>
      <c r="H337">
        <v>112</v>
      </c>
      <c r="I337" t="s">
        <v>3977</v>
      </c>
      <c r="J337">
        <v>320</v>
      </c>
      <c r="K337" t="s">
        <v>4492</v>
      </c>
      <c r="L337" t="s">
        <v>271</v>
      </c>
      <c r="M337" t="s">
        <v>3915</v>
      </c>
      <c r="N337" t="s">
        <v>3978</v>
      </c>
      <c r="Q337" t="s">
        <v>257</v>
      </c>
      <c r="R337">
        <f>1</f>
        <v>1</v>
      </c>
      <c r="S337">
        <f>8.1</f>
        <v>8.1</v>
      </c>
      <c r="T337">
        <f>7.6</f>
        <v>7.6</v>
      </c>
      <c r="U337">
        <f>212</f>
        <v>212</v>
      </c>
      <c r="X337">
        <f>0</f>
        <v>0</v>
      </c>
      <c r="Y337" t="s">
        <v>180</v>
      </c>
      <c r="Z337">
        <f>0</f>
        <v>0</v>
      </c>
      <c r="AA337">
        <f>4</f>
        <v>4</v>
      </c>
      <c r="AB337">
        <f>0</f>
        <v>0</v>
      </c>
      <c r="AD337">
        <f>0</f>
        <v>0</v>
      </c>
      <c r="AE337">
        <f>0</f>
        <v>0</v>
      </c>
      <c r="AG337" t="s">
        <v>180</v>
      </c>
    </row>
    <row r="338" spans="1:164" x14ac:dyDescent="0.25">
      <c r="A338" t="s">
        <v>1440</v>
      </c>
      <c r="B338" t="s">
        <v>170</v>
      </c>
      <c r="C338" s="1">
        <v>46086</v>
      </c>
      <c r="D338" t="s">
        <v>251</v>
      </c>
      <c r="E338" t="s">
        <v>252</v>
      </c>
      <c r="F338" t="s">
        <v>4671</v>
      </c>
      <c r="G338" t="s">
        <v>1441</v>
      </c>
      <c r="H338">
        <v>1085</v>
      </c>
      <c r="I338" t="s">
        <v>1442</v>
      </c>
      <c r="J338">
        <v>300</v>
      </c>
      <c r="K338" t="s">
        <v>4492</v>
      </c>
      <c r="L338" t="s">
        <v>271</v>
      </c>
      <c r="M338" t="s">
        <v>3915</v>
      </c>
      <c r="N338" t="s">
        <v>1443</v>
      </c>
      <c r="Q338" t="s">
        <v>1444</v>
      </c>
      <c r="R338">
        <f>1</f>
        <v>1</v>
      </c>
      <c r="S338">
        <f>7.1</f>
        <v>7.1</v>
      </c>
      <c r="T338">
        <f>7.4</f>
        <v>7.4</v>
      </c>
      <c r="U338">
        <f>127</f>
        <v>127</v>
      </c>
      <c r="X338">
        <f>0</f>
        <v>0</v>
      </c>
      <c r="Y338" t="s">
        <v>180</v>
      </c>
      <c r="Z338">
        <f>0</f>
        <v>0</v>
      </c>
      <c r="AA338">
        <f>0</f>
        <v>0</v>
      </c>
      <c r="AB338">
        <f>0</f>
        <v>0</v>
      </c>
      <c r="AD338">
        <f>0</f>
        <v>0</v>
      </c>
      <c r="AE338">
        <f>0</f>
        <v>0</v>
      </c>
      <c r="AG338" t="s">
        <v>180</v>
      </c>
    </row>
    <row r="339" spans="1:164" x14ac:dyDescent="0.25">
      <c r="A339" t="s">
        <v>1445</v>
      </c>
      <c r="B339" t="s">
        <v>170</v>
      </c>
      <c r="C339" s="1">
        <v>46080</v>
      </c>
      <c r="D339" t="s">
        <v>251</v>
      </c>
      <c r="E339" t="s">
        <v>252</v>
      </c>
      <c r="F339" t="s">
        <v>4672</v>
      </c>
      <c r="G339" t="s">
        <v>4673</v>
      </c>
      <c r="H339">
        <v>1634</v>
      </c>
      <c r="I339" t="s">
        <v>4674</v>
      </c>
      <c r="J339">
        <v>309</v>
      </c>
      <c r="K339" t="s">
        <v>4492</v>
      </c>
      <c r="M339" t="s">
        <v>3915</v>
      </c>
      <c r="N339" t="s">
        <v>3979</v>
      </c>
      <c r="Q339" t="s">
        <v>1446</v>
      </c>
      <c r="R339">
        <f>1</f>
        <v>1</v>
      </c>
      <c r="S339">
        <f>8.5</f>
        <v>8.5</v>
      </c>
      <c r="T339">
        <f>7.8</f>
        <v>7.8</v>
      </c>
      <c r="U339">
        <f>239</f>
        <v>239</v>
      </c>
      <c r="X339">
        <f>0</f>
        <v>0</v>
      </c>
      <c r="Y339" t="s">
        <v>180</v>
      </c>
      <c r="Z339">
        <f>0</f>
        <v>0</v>
      </c>
      <c r="AA339">
        <f>0</f>
        <v>0</v>
      </c>
      <c r="AB339">
        <f>3</f>
        <v>3</v>
      </c>
      <c r="AD339">
        <f>0</f>
        <v>0</v>
      </c>
      <c r="AE339">
        <f>0</f>
        <v>0</v>
      </c>
      <c r="AG339" t="s">
        <v>180</v>
      </c>
      <c r="AH339">
        <f>1.1</f>
        <v>1.1000000000000001</v>
      </c>
      <c r="AK339" t="s">
        <v>285</v>
      </c>
      <c r="AL339" t="s">
        <v>286</v>
      </c>
      <c r="AM339">
        <f>5.2</f>
        <v>5.2</v>
      </c>
      <c r="AN339">
        <f>0.104</f>
        <v>0.104</v>
      </c>
      <c r="AO339">
        <f>3.9</f>
        <v>3.9</v>
      </c>
      <c r="AP339" t="s">
        <v>284</v>
      </c>
      <c r="AQ339" t="s">
        <v>284</v>
      </c>
    </row>
    <row r="340" spans="1:164" x14ac:dyDescent="0.25">
      <c r="A340" t="s">
        <v>1447</v>
      </c>
      <c r="B340" t="s">
        <v>170</v>
      </c>
      <c r="C340" s="1">
        <v>46079</v>
      </c>
      <c r="D340" t="s">
        <v>184</v>
      </c>
      <c r="E340" t="s">
        <v>185</v>
      </c>
      <c r="F340" t="s">
        <v>384</v>
      </c>
      <c r="G340" t="s">
        <v>1448</v>
      </c>
      <c r="H340">
        <v>1628</v>
      </c>
      <c r="I340" t="s">
        <v>1448</v>
      </c>
      <c r="J340">
        <v>828</v>
      </c>
      <c r="K340" t="s">
        <v>4492</v>
      </c>
      <c r="L340" t="s">
        <v>266</v>
      </c>
      <c r="M340" t="s">
        <v>3980</v>
      </c>
      <c r="N340" t="s">
        <v>3725</v>
      </c>
      <c r="O340" t="s">
        <v>1449</v>
      </c>
      <c r="R340">
        <f>1</f>
        <v>1</v>
      </c>
      <c r="S340">
        <f>8.1</f>
        <v>8.1</v>
      </c>
      <c r="T340">
        <f>7.5</f>
        <v>7.5</v>
      </c>
      <c r="U340">
        <f>521</f>
        <v>521</v>
      </c>
      <c r="V340">
        <f>0.11</f>
        <v>0.11</v>
      </c>
      <c r="X340">
        <f>0</f>
        <v>0</v>
      </c>
      <c r="Y340">
        <f>0.2</f>
        <v>0.2</v>
      </c>
      <c r="Z340">
        <f>0</f>
        <v>0</v>
      </c>
      <c r="AA340" t="s">
        <v>179</v>
      </c>
      <c r="AB340" t="s">
        <v>179</v>
      </c>
      <c r="AD340">
        <f>0</f>
        <v>0</v>
      </c>
      <c r="AE340">
        <f>0</f>
        <v>0</v>
      </c>
      <c r="AG340" t="s">
        <v>180</v>
      </c>
    </row>
    <row r="341" spans="1:164" x14ac:dyDescent="0.25">
      <c r="A341" t="s">
        <v>1450</v>
      </c>
      <c r="B341" t="s">
        <v>170</v>
      </c>
      <c r="C341" s="1">
        <v>46084</v>
      </c>
      <c r="D341" t="s">
        <v>171</v>
      </c>
      <c r="E341" t="s">
        <v>172</v>
      </c>
      <c r="F341" t="s">
        <v>3373</v>
      </c>
      <c r="G341" t="s">
        <v>1451</v>
      </c>
      <c r="H341">
        <v>699</v>
      </c>
      <c r="I341" t="s">
        <v>1451</v>
      </c>
      <c r="J341">
        <v>279</v>
      </c>
      <c r="K341" t="s">
        <v>4492</v>
      </c>
      <c r="L341" t="s">
        <v>266</v>
      </c>
      <c r="M341" t="s">
        <v>692</v>
      </c>
      <c r="N341" t="s">
        <v>1452</v>
      </c>
      <c r="Q341" t="s">
        <v>3495</v>
      </c>
      <c r="R341">
        <f>1</f>
        <v>1</v>
      </c>
      <c r="S341">
        <f>10</f>
        <v>10</v>
      </c>
      <c r="T341">
        <f>6.5</f>
        <v>6.5</v>
      </c>
      <c r="U341">
        <f>348</f>
        <v>348</v>
      </c>
      <c r="V341" t="s">
        <v>192</v>
      </c>
      <c r="X341">
        <f>0</f>
        <v>0</v>
      </c>
      <c r="Y341">
        <f>0.1</f>
        <v>0.1</v>
      </c>
      <c r="Z341">
        <f>0</f>
        <v>0</v>
      </c>
      <c r="AA341" t="s">
        <v>179</v>
      </c>
      <c r="AB341" t="s">
        <v>179</v>
      </c>
      <c r="AD341">
        <f>0</f>
        <v>0</v>
      </c>
      <c r="AE341">
        <f>0</f>
        <v>0</v>
      </c>
      <c r="AG341" t="s">
        <v>180</v>
      </c>
    </row>
    <row r="342" spans="1:164" x14ac:dyDescent="0.25">
      <c r="A342" t="s">
        <v>1453</v>
      </c>
      <c r="B342" t="s">
        <v>170</v>
      </c>
      <c r="C342" s="1">
        <v>46135</v>
      </c>
      <c r="D342" t="s">
        <v>222</v>
      </c>
      <c r="E342" t="s">
        <v>223</v>
      </c>
      <c r="F342" t="s">
        <v>625</v>
      </c>
      <c r="G342" t="s">
        <v>4255</v>
      </c>
      <c r="H342">
        <v>1856</v>
      </c>
      <c r="I342" t="s">
        <v>4339</v>
      </c>
      <c r="J342">
        <v>2466</v>
      </c>
      <c r="K342" t="s">
        <v>4492</v>
      </c>
      <c r="L342" t="s">
        <v>176</v>
      </c>
      <c r="M342" t="s">
        <v>1454</v>
      </c>
      <c r="N342" t="s">
        <v>4340</v>
      </c>
      <c r="Q342" t="s">
        <v>3496</v>
      </c>
      <c r="R342">
        <f>1</f>
        <v>1</v>
      </c>
      <c r="S342">
        <f>12.5</f>
        <v>12.5</v>
      </c>
      <c r="T342">
        <f>7.8</f>
        <v>7.8</v>
      </c>
      <c r="U342">
        <f>288</f>
        <v>288</v>
      </c>
      <c r="X342">
        <f>1</f>
        <v>1</v>
      </c>
      <c r="Y342" t="s">
        <v>180</v>
      </c>
      <c r="Z342">
        <f>0</f>
        <v>0</v>
      </c>
      <c r="AA342" t="s">
        <v>179</v>
      </c>
      <c r="AB342" t="s">
        <v>179</v>
      </c>
      <c r="AD342">
        <f>0</f>
        <v>0</v>
      </c>
      <c r="AE342">
        <f>0</f>
        <v>0</v>
      </c>
      <c r="AG342" t="s">
        <v>180</v>
      </c>
      <c r="CC342" t="s">
        <v>701</v>
      </c>
    </row>
    <row r="343" spans="1:164" x14ac:dyDescent="0.25">
      <c r="A343" t="s">
        <v>1455</v>
      </c>
      <c r="B343" t="s">
        <v>170</v>
      </c>
      <c r="C343" s="1">
        <v>46136</v>
      </c>
      <c r="D343" t="s">
        <v>184</v>
      </c>
      <c r="E343" t="s">
        <v>185</v>
      </c>
      <c r="F343" t="s">
        <v>3374</v>
      </c>
      <c r="G343" t="s">
        <v>1456</v>
      </c>
      <c r="H343">
        <v>739</v>
      </c>
      <c r="I343" t="s">
        <v>1457</v>
      </c>
      <c r="J343">
        <v>207</v>
      </c>
      <c r="K343" t="s">
        <v>4494</v>
      </c>
      <c r="L343" t="s">
        <v>266</v>
      </c>
      <c r="M343" t="s">
        <v>1458</v>
      </c>
      <c r="N343" t="s">
        <v>1459</v>
      </c>
      <c r="O343" t="s">
        <v>1460</v>
      </c>
      <c r="Q343" t="s">
        <v>1461</v>
      </c>
      <c r="R343">
        <f>1</f>
        <v>1</v>
      </c>
      <c r="S343">
        <f>11.8</f>
        <v>11.8</v>
      </c>
      <c r="T343">
        <f>6.5</f>
        <v>6.5</v>
      </c>
      <c r="U343">
        <f>202</f>
        <v>202</v>
      </c>
      <c r="V343">
        <f>0.16</f>
        <v>0.16</v>
      </c>
      <c r="X343">
        <f>0</f>
        <v>0</v>
      </c>
      <c r="Y343">
        <f>2.2</f>
        <v>2.2000000000000002</v>
      </c>
      <c r="Z343">
        <f>0</f>
        <v>0</v>
      </c>
      <c r="AA343" t="s">
        <v>179</v>
      </c>
      <c r="AB343" t="s">
        <v>179</v>
      </c>
      <c r="AC343">
        <f>0</f>
        <v>0</v>
      </c>
      <c r="AD343">
        <f>0</f>
        <v>0</v>
      </c>
      <c r="AE343">
        <f>0</f>
        <v>0</v>
      </c>
      <c r="AG343" t="s">
        <v>180</v>
      </c>
      <c r="CC343">
        <f>0.43</f>
        <v>0.43</v>
      </c>
      <c r="FB343" t="s">
        <v>180</v>
      </c>
      <c r="FC343">
        <f>0.3</f>
        <v>0.3</v>
      </c>
      <c r="FD343" t="s">
        <v>220</v>
      </c>
      <c r="FE343">
        <f>0.29</f>
        <v>0.28999999999999998</v>
      </c>
      <c r="FH343">
        <f>0.59</f>
        <v>0.59</v>
      </c>
    </row>
    <row r="344" spans="1:164" x14ac:dyDescent="0.25">
      <c r="A344" t="s">
        <v>1462</v>
      </c>
      <c r="B344" t="s">
        <v>766</v>
      </c>
      <c r="C344" s="1">
        <v>46083</v>
      </c>
      <c r="D344" t="s">
        <v>195</v>
      </c>
      <c r="E344" t="s">
        <v>448</v>
      </c>
      <c r="F344" t="s">
        <v>1049</v>
      </c>
      <c r="G344" t="s">
        <v>1463</v>
      </c>
      <c r="H344">
        <v>757</v>
      </c>
      <c r="I344" t="s">
        <v>1463</v>
      </c>
      <c r="J344">
        <v>54</v>
      </c>
      <c r="K344" t="s">
        <v>4494</v>
      </c>
      <c r="L344" t="s">
        <v>271</v>
      </c>
      <c r="M344" t="s">
        <v>692</v>
      </c>
      <c r="N344" t="s">
        <v>4675</v>
      </c>
      <c r="O344" t="s">
        <v>1464</v>
      </c>
      <c r="Q344" t="s">
        <v>3497</v>
      </c>
      <c r="R344">
        <f>1</f>
        <v>1</v>
      </c>
      <c r="S344">
        <f>7.6</f>
        <v>7.6</v>
      </c>
      <c r="T344">
        <f>7.8</f>
        <v>7.8</v>
      </c>
      <c r="U344">
        <f>298</f>
        <v>298</v>
      </c>
      <c r="X344">
        <f>0</f>
        <v>0</v>
      </c>
      <c r="Y344">
        <f>3.43</f>
        <v>3.43</v>
      </c>
      <c r="Z344" t="s">
        <v>179</v>
      </c>
      <c r="AA344" t="s">
        <v>1187</v>
      </c>
      <c r="AB344">
        <f>17</f>
        <v>17</v>
      </c>
      <c r="AC344">
        <f>5</f>
        <v>5</v>
      </c>
      <c r="AD344">
        <f>0</f>
        <v>0</v>
      </c>
      <c r="AE344">
        <f>54</f>
        <v>54</v>
      </c>
      <c r="AG344" t="s">
        <v>180</v>
      </c>
      <c r="CC344">
        <f>0.4</f>
        <v>0.4</v>
      </c>
    </row>
    <row r="345" spans="1:164" x14ac:dyDescent="0.25">
      <c r="A345" t="s">
        <v>1465</v>
      </c>
      <c r="B345" t="s">
        <v>766</v>
      </c>
      <c r="C345" s="1">
        <v>46129</v>
      </c>
      <c r="D345" t="s">
        <v>195</v>
      </c>
      <c r="E345" t="s">
        <v>196</v>
      </c>
      <c r="F345" t="s">
        <v>4341</v>
      </c>
      <c r="G345" t="s">
        <v>1466</v>
      </c>
      <c r="H345">
        <v>766</v>
      </c>
      <c r="I345" t="s">
        <v>1466</v>
      </c>
      <c r="J345">
        <v>50</v>
      </c>
      <c r="K345" t="s">
        <v>4494</v>
      </c>
      <c r="L345" t="s">
        <v>271</v>
      </c>
      <c r="M345" t="s">
        <v>692</v>
      </c>
      <c r="N345" t="s">
        <v>3726</v>
      </c>
      <c r="O345" t="s">
        <v>1467</v>
      </c>
      <c r="R345">
        <f>1</f>
        <v>1</v>
      </c>
      <c r="S345">
        <f>12.3</f>
        <v>12.3</v>
      </c>
      <c r="T345">
        <f>7.6</f>
        <v>7.6</v>
      </c>
      <c r="U345">
        <f>481</f>
        <v>481</v>
      </c>
      <c r="X345">
        <f>0</f>
        <v>0</v>
      </c>
      <c r="Y345">
        <f>3.99</f>
        <v>3.99</v>
      </c>
      <c r="Z345">
        <f>1</f>
        <v>1</v>
      </c>
      <c r="AA345">
        <f>150</f>
        <v>150</v>
      </c>
      <c r="AB345">
        <f>18</f>
        <v>18</v>
      </c>
      <c r="AC345">
        <f>2</f>
        <v>2</v>
      </c>
      <c r="AD345">
        <f>4</f>
        <v>4</v>
      </c>
      <c r="AE345">
        <f>1</f>
        <v>1</v>
      </c>
      <c r="AG345" t="s">
        <v>180</v>
      </c>
      <c r="AH345">
        <f>0.63</f>
        <v>0.63</v>
      </c>
      <c r="AK345" t="s">
        <v>699</v>
      </c>
      <c r="AL345" t="s">
        <v>286</v>
      </c>
      <c r="AM345" t="s">
        <v>700</v>
      </c>
      <c r="AN345">
        <f>0</f>
        <v>0</v>
      </c>
      <c r="AO345">
        <f>14</f>
        <v>14</v>
      </c>
      <c r="AP345">
        <f>5.4</f>
        <v>5.4</v>
      </c>
      <c r="AQ345" t="s">
        <v>701</v>
      </c>
      <c r="CC345">
        <f>1.5</f>
        <v>1.5</v>
      </c>
    </row>
    <row r="346" spans="1:164" x14ac:dyDescent="0.25">
      <c r="A346" t="s">
        <v>1468</v>
      </c>
      <c r="B346" t="s">
        <v>170</v>
      </c>
      <c r="C346" s="1">
        <v>46121</v>
      </c>
      <c r="D346" t="s">
        <v>251</v>
      </c>
      <c r="E346" t="s">
        <v>252</v>
      </c>
      <c r="F346" t="s">
        <v>4241</v>
      </c>
      <c r="G346" t="s">
        <v>3981</v>
      </c>
      <c r="H346">
        <v>84</v>
      </c>
      <c r="I346" t="s">
        <v>3981</v>
      </c>
      <c r="J346">
        <v>117</v>
      </c>
      <c r="K346" t="s">
        <v>4492</v>
      </c>
      <c r="L346" t="s">
        <v>271</v>
      </c>
      <c r="M346" t="s">
        <v>4676</v>
      </c>
      <c r="N346" t="s">
        <v>4677</v>
      </c>
      <c r="O346" t="s">
        <v>1469</v>
      </c>
      <c r="Q346" t="s">
        <v>257</v>
      </c>
      <c r="R346">
        <f>1</f>
        <v>1</v>
      </c>
      <c r="S346">
        <f>9.8</f>
        <v>9.8000000000000007</v>
      </c>
      <c r="T346">
        <f>7.8</f>
        <v>7.8</v>
      </c>
      <c r="U346">
        <f>330</f>
        <v>330</v>
      </c>
      <c r="X346">
        <f>0</f>
        <v>0</v>
      </c>
      <c r="Y346" t="s">
        <v>180</v>
      </c>
      <c r="Z346">
        <f>0</f>
        <v>0</v>
      </c>
      <c r="AA346">
        <f>0</f>
        <v>0</v>
      </c>
      <c r="AB346">
        <f>0</f>
        <v>0</v>
      </c>
      <c r="AD346">
        <f>0</f>
        <v>0</v>
      </c>
      <c r="AE346">
        <f>0</f>
        <v>0</v>
      </c>
      <c r="AG346" t="s">
        <v>180</v>
      </c>
    </row>
    <row r="347" spans="1:164" x14ac:dyDescent="0.25">
      <c r="A347" t="s">
        <v>1470</v>
      </c>
      <c r="B347" t="s">
        <v>170</v>
      </c>
      <c r="C347" s="1">
        <v>46092</v>
      </c>
      <c r="D347" t="s">
        <v>222</v>
      </c>
      <c r="E347" t="s">
        <v>223</v>
      </c>
      <c r="F347" t="s">
        <v>4508</v>
      </c>
      <c r="G347" t="s">
        <v>1471</v>
      </c>
      <c r="H347">
        <v>829</v>
      </c>
      <c r="I347" t="s">
        <v>1471</v>
      </c>
      <c r="J347">
        <v>149</v>
      </c>
      <c r="K347" t="s">
        <v>4492</v>
      </c>
      <c r="L347" t="s">
        <v>369</v>
      </c>
      <c r="M347" t="s">
        <v>4543</v>
      </c>
      <c r="N347" t="s">
        <v>4678</v>
      </c>
      <c r="R347">
        <f>1</f>
        <v>1</v>
      </c>
      <c r="S347">
        <f>8.7</f>
        <v>8.6999999999999993</v>
      </c>
      <c r="T347">
        <f>7.4</f>
        <v>7.4</v>
      </c>
      <c r="U347">
        <f>517</f>
        <v>517</v>
      </c>
      <c r="V347">
        <f>0.25</f>
        <v>0.25</v>
      </c>
      <c r="X347">
        <f>0</f>
        <v>0</v>
      </c>
      <c r="Y347" t="s">
        <v>180</v>
      </c>
      <c r="Z347">
        <f>0</f>
        <v>0</v>
      </c>
      <c r="AA347" t="s">
        <v>179</v>
      </c>
      <c r="AB347" t="s">
        <v>179</v>
      </c>
      <c r="AD347">
        <f>0</f>
        <v>0</v>
      </c>
      <c r="AE347">
        <f>0</f>
        <v>0</v>
      </c>
      <c r="AG347" t="s">
        <v>180</v>
      </c>
      <c r="AI347" t="s">
        <v>286</v>
      </c>
      <c r="AJ347" t="s">
        <v>286</v>
      </c>
    </row>
    <row r="348" spans="1:164" x14ac:dyDescent="0.25">
      <c r="A348" t="s">
        <v>1472</v>
      </c>
      <c r="B348" t="s">
        <v>170</v>
      </c>
      <c r="C348" s="1">
        <v>46128</v>
      </c>
      <c r="D348" t="s">
        <v>184</v>
      </c>
      <c r="E348" t="s">
        <v>239</v>
      </c>
      <c r="F348" t="s">
        <v>276</v>
      </c>
      <c r="G348" t="s">
        <v>4342</v>
      </c>
      <c r="H348">
        <v>674</v>
      </c>
      <c r="I348" t="s">
        <v>4342</v>
      </c>
      <c r="J348">
        <v>281</v>
      </c>
      <c r="K348" t="s">
        <v>4492</v>
      </c>
      <c r="L348" t="s">
        <v>3567</v>
      </c>
      <c r="M348" t="s">
        <v>3982</v>
      </c>
      <c r="N348" t="s">
        <v>1473</v>
      </c>
      <c r="O348" t="s">
        <v>1474</v>
      </c>
      <c r="R348">
        <f>1</f>
        <v>1</v>
      </c>
      <c r="S348">
        <f>15.2</f>
        <v>15.2</v>
      </c>
      <c r="T348">
        <f>7.3</f>
        <v>7.3</v>
      </c>
      <c r="U348">
        <f>405</f>
        <v>405</v>
      </c>
      <c r="X348">
        <f>0</f>
        <v>0</v>
      </c>
      <c r="Y348" t="s">
        <v>180</v>
      </c>
      <c r="Z348">
        <f>0</f>
        <v>0</v>
      </c>
      <c r="AA348" t="s">
        <v>179</v>
      </c>
      <c r="AB348" t="s">
        <v>179</v>
      </c>
      <c r="AD348">
        <f>0</f>
        <v>0</v>
      </c>
      <c r="AE348">
        <f>0</f>
        <v>0</v>
      </c>
      <c r="AG348" t="s">
        <v>220</v>
      </c>
    </row>
    <row r="349" spans="1:164" x14ac:dyDescent="0.25">
      <c r="A349" t="s">
        <v>1475</v>
      </c>
      <c r="B349" t="s">
        <v>170</v>
      </c>
      <c r="C349" s="1">
        <v>46120</v>
      </c>
      <c r="D349" t="s">
        <v>184</v>
      </c>
      <c r="E349" t="s">
        <v>239</v>
      </c>
      <c r="F349" t="s">
        <v>276</v>
      </c>
      <c r="G349" t="s">
        <v>1476</v>
      </c>
      <c r="H349">
        <v>685</v>
      </c>
      <c r="I349" t="s">
        <v>1476</v>
      </c>
      <c r="J349">
        <v>304</v>
      </c>
      <c r="K349" t="s">
        <v>4494</v>
      </c>
      <c r="L349" t="s">
        <v>266</v>
      </c>
      <c r="M349" t="s">
        <v>3375</v>
      </c>
      <c r="N349" t="s">
        <v>1477</v>
      </c>
      <c r="O349" t="s">
        <v>1478</v>
      </c>
      <c r="R349">
        <f>1</f>
        <v>1</v>
      </c>
      <c r="S349">
        <f>12</f>
        <v>12</v>
      </c>
      <c r="T349">
        <f>7.5</f>
        <v>7.5</v>
      </c>
      <c r="U349">
        <f>398</f>
        <v>398</v>
      </c>
      <c r="V349">
        <f>0.21</f>
        <v>0.21</v>
      </c>
      <c r="X349">
        <f>0</f>
        <v>0</v>
      </c>
      <c r="Y349" t="s">
        <v>180</v>
      </c>
      <c r="Z349">
        <f>0</f>
        <v>0</v>
      </c>
      <c r="AA349" t="s">
        <v>179</v>
      </c>
      <c r="AB349" t="s">
        <v>179</v>
      </c>
      <c r="AC349">
        <f>0</f>
        <v>0</v>
      </c>
      <c r="AD349">
        <f>0</f>
        <v>0</v>
      </c>
      <c r="AE349">
        <f>0</f>
        <v>0</v>
      </c>
      <c r="AG349" t="s">
        <v>220</v>
      </c>
      <c r="FB349">
        <f>2.5</f>
        <v>2.5</v>
      </c>
      <c r="FC349" t="s">
        <v>193</v>
      </c>
      <c r="FD349">
        <f>1</f>
        <v>1</v>
      </c>
      <c r="FE349" t="s">
        <v>411</v>
      </c>
      <c r="FH349">
        <f>3.5</f>
        <v>3.5</v>
      </c>
    </row>
    <row r="350" spans="1:164" x14ac:dyDescent="0.25">
      <c r="A350" t="s">
        <v>1479</v>
      </c>
      <c r="B350" t="s">
        <v>170</v>
      </c>
      <c r="C350" s="1">
        <v>46128</v>
      </c>
      <c r="D350" t="s">
        <v>184</v>
      </c>
      <c r="E350" t="s">
        <v>185</v>
      </c>
      <c r="F350" t="s">
        <v>1002</v>
      </c>
      <c r="G350" t="s">
        <v>1480</v>
      </c>
      <c r="H350">
        <v>937</v>
      </c>
      <c r="I350" t="s">
        <v>1480</v>
      </c>
      <c r="J350">
        <v>182</v>
      </c>
      <c r="K350" t="s">
        <v>4492</v>
      </c>
      <c r="L350" t="s">
        <v>266</v>
      </c>
      <c r="M350" t="s">
        <v>4543</v>
      </c>
      <c r="N350" t="s">
        <v>1481</v>
      </c>
      <c r="O350" t="s">
        <v>1482</v>
      </c>
      <c r="Q350" t="s">
        <v>3487</v>
      </c>
      <c r="R350">
        <f>1</f>
        <v>1</v>
      </c>
      <c r="S350">
        <f>11</f>
        <v>11</v>
      </c>
      <c r="T350">
        <f>7.4</f>
        <v>7.4</v>
      </c>
      <c r="U350">
        <f>292</f>
        <v>292</v>
      </c>
      <c r="V350">
        <f>0.15</f>
        <v>0.15</v>
      </c>
      <c r="X350">
        <f>0</f>
        <v>0</v>
      </c>
      <c r="Y350">
        <f>0.1</f>
        <v>0.1</v>
      </c>
      <c r="Z350">
        <f>0</f>
        <v>0</v>
      </c>
      <c r="AA350" t="s">
        <v>179</v>
      </c>
      <c r="AB350" t="s">
        <v>179</v>
      </c>
      <c r="AD350">
        <f>0</f>
        <v>0</v>
      </c>
      <c r="AE350">
        <f>0</f>
        <v>0</v>
      </c>
      <c r="AG350" t="s">
        <v>180</v>
      </c>
      <c r="FB350">
        <f>0.18</f>
        <v>0.18</v>
      </c>
      <c r="FC350">
        <f>0.34</f>
        <v>0.34</v>
      </c>
      <c r="FD350">
        <f>0.41</f>
        <v>0.41</v>
      </c>
      <c r="FE350">
        <f>0.61</f>
        <v>0.61</v>
      </c>
      <c r="FH350">
        <f>1.5</f>
        <v>1.5</v>
      </c>
    </row>
    <row r="351" spans="1:164" x14ac:dyDescent="0.25">
      <c r="A351" t="s">
        <v>1483</v>
      </c>
      <c r="B351" t="s">
        <v>170</v>
      </c>
      <c r="C351" s="1">
        <v>46121</v>
      </c>
      <c r="D351" t="s">
        <v>184</v>
      </c>
      <c r="E351" t="s">
        <v>546</v>
      </c>
      <c r="F351" t="s">
        <v>547</v>
      </c>
      <c r="G351" t="s">
        <v>1484</v>
      </c>
      <c r="H351">
        <v>955</v>
      </c>
      <c r="I351" t="s">
        <v>1484</v>
      </c>
      <c r="J351">
        <v>250</v>
      </c>
      <c r="K351" t="s">
        <v>4494</v>
      </c>
      <c r="L351" t="s">
        <v>369</v>
      </c>
      <c r="M351" t="s">
        <v>1485</v>
      </c>
      <c r="N351" t="s">
        <v>4343</v>
      </c>
      <c r="O351" t="s">
        <v>1486</v>
      </c>
      <c r="R351">
        <f>1</f>
        <v>1</v>
      </c>
      <c r="S351">
        <f>10.8</f>
        <v>10.8</v>
      </c>
      <c r="T351">
        <f>7.3</f>
        <v>7.3</v>
      </c>
      <c r="U351">
        <f>386</f>
        <v>386</v>
      </c>
      <c r="V351">
        <f>0.14</f>
        <v>0.14000000000000001</v>
      </c>
      <c r="X351">
        <f>0</f>
        <v>0</v>
      </c>
      <c r="Y351" t="s">
        <v>180</v>
      </c>
      <c r="Z351">
        <f>0</f>
        <v>0</v>
      </c>
      <c r="AA351" t="s">
        <v>179</v>
      </c>
      <c r="AB351" t="s">
        <v>179</v>
      </c>
      <c r="AC351">
        <f>0</f>
        <v>0</v>
      </c>
      <c r="AD351">
        <f>0</f>
        <v>0</v>
      </c>
      <c r="AE351">
        <f>0</f>
        <v>0</v>
      </c>
      <c r="AG351" t="s">
        <v>180</v>
      </c>
      <c r="AH351">
        <f>0.7</f>
        <v>0.7</v>
      </c>
      <c r="AK351" t="s">
        <v>181</v>
      </c>
      <c r="AL351" t="s">
        <v>182</v>
      </c>
      <c r="AM351">
        <f>4.4</f>
        <v>4.4000000000000004</v>
      </c>
      <c r="AN351">
        <f>0.09</f>
        <v>0.09</v>
      </c>
      <c r="AO351">
        <f>6.3</f>
        <v>6.3</v>
      </c>
      <c r="AP351">
        <f>1.5</f>
        <v>1.5</v>
      </c>
      <c r="AQ351" t="s">
        <v>180</v>
      </c>
      <c r="FB351">
        <f>0.13</f>
        <v>0.13</v>
      </c>
      <c r="FC351" t="s">
        <v>220</v>
      </c>
      <c r="FD351" t="s">
        <v>220</v>
      </c>
      <c r="FE351" t="s">
        <v>220</v>
      </c>
      <c r="FH351" t="s">
        <v>220</v>
      </c>
    </row>
    <row r="352" spans="1:164" x14ac:dyDescent="0.25">
      <c r="A352" t="s">
        <v>1487</v>
      </c>
      <c r="B352" t="s">
        <v>170</v>
      </c>
      <c r="C352" s="1">
        <v>46120</v>
      </c>
      <c r="D352" t="s">
        <v>251</v>
      </c>
      <c r="E352" t="s">
        <v>252</v>
      </c>
      <c r="F352" t="s">
        <v>4679</v>
      </c>
      <c r="G352" t="s">
        <v>4344</v>
      </c>
      <c r="H352">
        <v>353</v>
      </c>
      <c r="I352" t="s">
        <v>4344</v>
      </c>
      <c r="J352">
        <v>120</v>
      </c>
      <c r="K352" t="s">
        <v>4492</v>
      </c>
      <c r="L352" t="s">
        <v>271</v>
      </c>
      <c r="M352" t="s">
        <v>4680</v>
      </c>
      <c r="N352" t="s">
        <v>4681</v>
      </c>
      <c r="O352" t="s">
        <v>1488</v>
      </c>
      <c r="Q352" t="s">
        <v>257</v>
      </c>
      <c r="R352">
        <f>1</f>
        <v>1</v>
      </c>
      <c r="S352">
        <f>8.8</f>
        <v>8.8000000000000007</v>
      </c>
      <c r="T352">
        <f>7.6</f>
        <v>7.6</v>
      </c>
      <c r="U352">
        <f>219</f>
        <v>219</v>
      </c>
      <c r="X352">
        <f>0</f>
        <v>0</v>
      </c>
      <c r="Y352" t="s">
        <v>180</v>
      </c>
      <c r="Z352">
        <f>0</f>
        <v>0</v>
      </c>
      <c r="AA352">
        <f>0</f>
        <v>0</v>
      </c>
      <c r="AB352">
        <f>0</f>
        <v>0</v>
      </c>
      <c r="AD352">
        <f>0</f>
        <v>0</v>
      </c>
      <c r="AE352">
        <f>0</f>
        <v>0</v>
      </c>
      <c r="AG352" t="s">
        <v>180</v>
      </c>
      <c r="CC352" t="s">
        <v>284</v>
      </c>
    </row>
    <row r="353" spans="1:164" x14ac:dyDescent="0.25">
      <c r="A353" t="s">
        <v>1489</v>
      </c>
      <c r="B353" t="s">
        <v>170</v>
      </c>
      <c r="C353" s="1">
        <v>46120</v>
      </c>
      <c r="D353" t="s">
        <v>251</v>
      </c>
      <c r="E353" t="s">
        <v>252</v>
      </c>
      <c r="F353" t="s">
        <v>3842</v>
      </c>
      <c r="G353" t="s">
        <v>3983</v>
      </c>
      <c r="H353">
        <v>359</v>
      </c>
      <c r="I353" t="s">
        <v>3984</v>
      </c>
      <c r="J353">
        <v>183</v>
      </c>
      <c r="K353" t="s">
        <v>4492</v>
      </c>
      <c r="L353" t="s">
        <v>3566</v>
      </c>
      <c r="M353" t="s">
        <v>4682</v>
      </c>
      <c r="N353" t="s">
        <v>4683</v>
      </c>
      <c r="O353" t="s">
        <v>1490</v>
      </c>
      <c r="Q353" t="s">
        <v>257</v>
      </c>
      <c r="R353">
        <f>1</f>
        <v>1</v>
      </c>
      <c r="S353">
        <f>9.8</f>
        <v>9.8000000000000007</v>
      </c>
      <c r="T353">
        <f>7.8</f>
        <v>7.8</v>
      </c>
      <c r="U353">
        <f>290</f>
        <v>290</v>
      </c>
      <c r="X353">
        <f>0</f>
        <v>0</v>
      </c>
      <c r="Y353" t="s">
        <v>180</v>
      </c>
      <c r="Z353">
        <f>0</f>
        <v>0</v>
      </c>
      <c r="AA353">
        <f>11</f>
        <v>11</v>
      </c>
      <c r="AB353">
        <f>0</f>
        <v>0</v>
      </c>
      <c r="AD353">
        <f>0</f>
        <v>0</v>
      </c>
      <c r="AE353">
        <f>0</f>
        <v>0</v>
      </c>
      <c r="AG353" t="s">
        <v>180</v>
      </c>
      <c r="AH353" t="s">
        <v>284</v>
      </c>
      <c r="AK353" t="s">
        <v>285</v>
      </c>
      <c r="AL353" t="s">
        <v>286</v>
      </c>
      <c r="AM353">
        <f>5.8</f>
        <v>5.8</v>
      </c>
      <c r="AN353">
        <f>0.116</f>
        <v>0.11600000000000001</v>
      </c>
      <c r="AO353">
        <f>5.8</f>
        <v>5.8</v>
      </c>
      <c r="AP353" t="s">
        <v>284</v>
      </c>
      <c r="AQ353" t="s">
        <v>284</v>
      </c>
    </row>
    <row r="354" spans="1:164" x14ac:dyDescent="0.25">
      <c r="A354" t="s">
        <v>1491</v>
      </c>
      <c r="B354" t="s">
        <v>170</v>
      </c>
      <c r="C354" s="1">
        <v>46104</v>
      </c>
      <c r="D354" t="s">
        <v>222</v>
      </c>
      <c r="E354" t="s">
        <v>223</v>
      </c>
      <c r="F354" t="s">
        <v>1492</v>
      </c>
      <c r="G354" t="s">
        <v>1493</v>
      </c>
      <c r="H354">
        <v>1017</v>
      </c>
      <c r="I354" t="s">
        <v>1494</v>
      </c>
      <c r="J354">
        <v>150</v>
      </c>
      <c r="K354" t="s">
        <v>4492</v>
      </c>
      <c r="L354" t="s">
        <v>271</v>
      </c>
      <c r="M354" t="s">
        <v>4684</v>
      </c>
      <c r="N354" t="s">
        <v>1495</v>
      </c>
      <c r="O354" t="s">
        <v>1496</v>
      </c>
      <c r="Q354" t="s">
        <v>3487</v>
      </c>
      <c r="R354">
        <f>1</f>
        <v>1</v>
      </c>
      <c r="S354">
        <f>9</f>
        <v>9</v>
      </c>
      <c r="T354">
        <f>7.5</f>
        <v>7.5</v>
      </c>
      <c r="U354">
        <f>444</f>
        <v>444</v>
      </c>
      <c r="X354">
        <f>1</f>
        <v>1</v>
      </c>
      <c r="Y354">
        <f>0.69</f>
        <v>0.69</v>
      </c>
      <c r="Z354">
        <f>0</f>
        <v>0</v>
      </c>
      <c r="AA354" t="s">
        <v>179</v>
      </c>
      <c r="AB354" t="s">
        <v>179</v>
      </c>
      <c r="AD354">
        <f>0</f>
        <v>0</v>
      </c>
      <c r="AE354">
        <f>0</f>
        <v>0</v>
      </c>
      <c r="AG354" t="s">
        <v>180</v>
      </c>
      <c r="AH354" t="s">
        <v>193</v>
      </c>
      <c r="AK354" t="s">
        <v>181</v>
      </c>
      <c r="AL354" t="s">
        <v>182</v>
      </c>
      <c r="AM354">
        <f>3.4</f>
        <v>3.4</v>
      </c>
      <c r="AN354">
        <f>0.07</f>
        <v>7.0000000000000007E-2</v>
      </c>
      <c r="AO354">
        <f>12</f>
        <v>12</v>
      </c>
      <c r="AP354">
        <f>3.9</f>
        <v>3.9</v>
      </c>
      <c r="AQ354" t="s">
        <v>180</v>
      </c>
      <c r="CC354">
        <f>0.4</f>
        <v>0.4</v>
      </c>
    </row>
    <row r="355" spans="1:164" x14ac:dyDescent="0.25">
      <c r="A355" t="s">
        <v>1497</v>
      </c>
      <c r="B355" t="s">
        <v>170</v>
      </c>
      <c r="C355" s="1">
        <v>46080</v>
      </c>
      <c r="D355" t="s">
        <v>302</v>
      </c>
      <c r="E355" t="s">
        <v>303</v>
      </c>
      <c r="F355" t="s">
        <v>3338</v>
      </c>
      <c r="G355" t="s">
        <v>3985</v>
      </c>
      <c r="H355">
        <v>922</v>
      </c>
      <c r="I355" t="s">
        <v>3986</v>
      </c>
      <c r="J355">
        <v>30</v>
      </c>
      <c r="K355" t="s">
        <v>4492</v>
      </c>
      <c r="L355" t="s">
        <v>271</v>
      </c>
      <c r="M355" t="s">
        <v>3987</v>
      </c>
      <c r="N355" t="s">
        <v>4345</v>
      </c>
      <c r="O355" t="s">
        <v>1498</v>
      </c>
      <c r="R355">
        <f>1</f>
        <v>1</v>
      </c>
      <c r="S355">
        <f>5.7</f>
        <v>5.7</v>
      </c>
      <c r="T355">
        <f>7.2</f>
        <v>7.2</v>
      </c>
      <c r="U355">
        <f>39</f>
        <v>39</v>
      </c>
      <c r="X355">
        <f>0</f>
        <v>0</v>
      </c>
      <c r="Y355" t="s">
        <v>180</v>
      </c>
      <c r="Z355">
        <f>0</f>
        <v>0</v>
      </c>
      <c r="AA355" t="s">
        <v>179</v>
      </c>
      <c r="AB355" t="s">
        <v>179</v>
      </c>
      <c r="AD355">
        <f>0</f>
        <v>0</v>
      </c>
      <c r="AE355">
        <f>0</f>
        <v>0</v>
      </c>
      <c r="AG355" t="s">
        <v>180</v>
      </c>
      <c r="AH355" t="s">
        <v>193</v>
      </c>
      <c r="AK355" t="s">
        <v>181</v>
      </c>
      <c r="AL355" t="s">
        <v>182</v>
      </c>
      <c r="AM355">
        <f>2</f>
        <v>2</v>
      </c>
      <c r="AN355">
        <f>0.04</f>
        <v>0.04</v>
      </c>
      <c r="AO355">
        <f>1.1</f>
        <v>1.1000000000000001</v>
      </c>
      <c r="AP355">
        <f>0.6</f>
        <v>0.6</v>
      </c>
      <c r="AQ355" t="s">
        <v>180</v>
      </c>
    </row>
    <row r="356" spans="1:164" x14ac:dyDescent="0.25">
      <c r="A356" t="s">
        <v>1499</v>
      </c>
      <c r="B356" t="s">
        <v>170</v>
      </c>
      <c r="C356" s="1">
        <v>46127</v>
      </c>
      <c r="D356" t="s">
        <v>171</v>
      </c>
      <c r="E356" t="s">
        <v>172</v>
      </c>
      <c r="F356" t="s">
        <v>3918</v>
      </c>
      <c r="G356" t="s">
        <v>3988</v>
      </c>
      <c r="H356">
        <v>916</v>
      </c>
      <c r="I356" t="s">
        <v>3988</v>
      </c>
      <c r="J356">
        <v>60</v>
      </c>
      <c r="K356" t="s">
        <v>4492</v>
      </c>
      <c r="L356" t="s">
        <v>593</v>
      </c>
      <c r="M356" t="s">
        <v>3989</v>
      </c>
      <c r="N356" t="s">
        <v>3990</v>
      </c>
      <c r="O356" t="s">
        <v>1500</v>
      </c>
      <c r="R356">
        <f>1</f>
        <v>1</v>
      </c>
      <c r="S356">
        <f>10.6</f>
        <v>10.6</v>
      </c>
      <c r="T356">
        <f>7.2</f>
        <v>7.2</v>
      </c>
      <c r="U356">
        <f>586</f>
        <v>586</v>
      </c>
      <c r="V356" t="s">
        <v>192</v>
      </c>
      <c r="X356">
        <f>0</f>
        <v>0</v>
      </c>
      <c r="Y356">
        <f>0.1</f>
        <v>0.1</v>
      </c>
      <c r="Z356">
        <f>0</f>
        <v>0</v>
      </c>
      <c r="AA356" t="s">
        <v>179</v>
      </c>
      <c r="AB356" t="s">
        <v>179</v>
      </c>
      <c r="AD356">
        <f>0</f>
        <v>0</v>
      </c>
      <c r="AE356">
        <f>0</f>
        <v>0</v>
      </c>
      <c r="AG356" t="s">
        <v>180</v>
      </c>
      <c r="AH356" t="s">
        <v>193</v>
      </c>
      <c r="AK356" t="s">
        <v>181</v>
      </c>
      <c r="AL356" t="s">
        <v>182</v>
      </c>
      <c r="AM356">
        <f>6.6</f>
        <v>6.6</v>
      </c>
      <c r="AN356">
        <f>0.13</f>
        <v>0.13</v>
      </c>
      <c r="AO356">
        <f>9.4</f>
        <v>9.4</v>
      </c>
      <c r="AP356">
        <f>9.2</f>
        <v>9.1999999999999993</v>
      </c>
      <c r="AQ356">
        <f>0.13</f>
        <v>0.13</v>
      </c>
      <c r="FB356" t="s">
        <v>180</v>
      </c>
      <c r="FC356" t="s">
        <v>220</v>
      </c>
      <c r="FD356" t="s">
        <v>220</v>
      </c>
      <c r="FE356" t="s">
        <v>220</v>
      </c>
      <c r="FH356" t="s">
        <v>220</v>
      </c>
    </row>
    <row r="357" spans="1:164" x14ac:dyDescent="0.25">
      <c r="A357" t="s">
        <v>1501</v>
      </c>
      <c r="B357" t="s">
        <v>170</v>
      </c>
      <c r="C357" s="1">
        <v>46122</v>
      </c>
      <c r="D357" t="s">
        <v>184</v>
      </c>
      <c r="E357" t="s">
        <v>185</v>
      </c>
      <c r="F357" t="s">
        <v>1084</v>
      </c>
      <c r="G357" t="s">
        <v>4346</v>
      </c>
      <c r="H357">
        <v>570</v>
      </c>
      <c r="I357" t="s">
        <v>4346</v>
      </c>
      <c r="J357">
        <v>296</v>
      </c>
      <c r="K357" t="s">
        <v>4494</v>
      </c>
      <c r="L357" t="s">
        <v>266</v>
      </c>
      <c r="M357" t="s">
        <v>4685</v>
      </c>
      <c r="N357" t="s">
        <v>4347</v>
      </c>
      <c r="O357" t="s">
        <v>1502</v>
      </c>
      <c r="R357">
        <f>1</f>
        <v>1</v>
      </c>
      <c r="S357">
        <f>8.7</f>
        <v>8.6999999999999993</v>
      </c>
      <c r="T357">
        <f>6.7</f>
        <v>6.7</v>
      </c>
      <c r="U357">
        <f>68</f>
        <v>68</v>
      </c>
      <c r="V357">
        <f>0.07</f>
        <v>7.0000000000000007E-2</v>
      </c>
      <c r="X357">
        <f>0</f>
        <v>0</v>
      </c>
      <c r="Y357">
        <f>0.5</f>
        <v>0.5</v>
      </c>
      <c r="Z357">
        <f>0</f>
        <v>0</v>
      </c>
      <c r="AA357" t="s">
        <v>179</v>
      </c>
      <c r="AB357" t="s">
        <v>179</v>
      </c>
      <c r="AC357">
        <f>0</f>
        <v>0</v>
      </c>
      <c r="AD357">
        <f>0</f>
        <v>0</v>
      </c>
      <c r="AE357">
        <f>0</f>
        <v>0</v>
      </c>
      <c r="AG357" t="s">
        <v>180</v>
      </c>
      <c r="FB357">
        <f>0.2</f>
        <v>0.2</v>
      </c>
      <c r="FC357">
        <f>0.48</f>
        <v>0.48</v>
      </c>
      <c r="FD357">
        <f>0.35</f>
        <v>0.35</v>
      </c>
      <c r="FE357">
        <f>0.88</f>
        <v>0.88</v>
      </c>
      <c r="FH357">
        <f>1.9</f>
        <v>1.9</v>
      </c>
    </row>
    <row r="358" spans="1:164" x14ac:dyDescent="0.25">
      <c r="A358" t="s">
        <v>1503</v>
      </c>
      <c r="B358" t="s">
        <v>170</v>
      </c>
      <c r="C358" s="1">
        <v>46080</v>
      </c>
      <c r="D358" t="s">
        <v>302</v>
      </c>
      <c r="E358" t="s">
        <v>303</v>
      </c>
      <c r="F358" t="s">
        <v>3338</v>
      </c>
      <c r="G358" t="s">
        <v>4348</v>
      </c>
      <c r="H358">
        <v>1491</v>
      </c>
      <c r="I358" t="s">
        <v>1504</v>
      </c>
      <c r="J358">
        <v>118</v>
      </c>
      <c r="K358" t="s">
        <v>4494</v>
      </c>
      <c r="L358" t="s">
        <v>3331</v>
      </c>
      <c r="M358" t="s">
        <v>1505</v>
      </c>
      <c r="N358" t="s">
        <v>3376</v>
      </c>
      <c r="O358" t="s">
        <v>1506</v>
      </c>
      <c r="R358">
        <f>1</f>
        <v>1</v>
      </c>
      <c r="S358">
        <f>15.2</f>
        <v>15.2</v>
      </c>
      <c r="T358">
        <f>7.5</f>
        <v>7.5</v>
      </c>
      <c r="U358">
        <f>560</f>
        <v>560</v>
      </c>
      <c r="X358">
        <f>0</f>
        <v>0</v>
      </c>
      <c r="Y358" t="s">
        <v>180</v>
      </c>
      <c r="Z358">
        <f>0</f>
        <v>0</v>
      </c>
      <c r="AA358" t="s">
        <v>179</v>
      </c>
      <c r="AB358" t="s">
        <v>179</v>
      </c>
      <c r="AC358">
        <f>0</f>
        <v>0</v>
      </c>
      <c r="AD358">
        <f>0</f>
        <v>0</v>
      </c>
      <c r="AE358">
        <f>0</f>
        <v>0</v>
      </c>
      <c r="AG358" t="s">
        <v>180</v>
      </c>
    </row>
    <row r="359" spans="1:164" x14ac:dyDescent="0.25">
      <c r="A359" t="s">
        <v>1507</v>
      </c>
      <c r="B359" t="s">
        <v>170</v>
      </c>
      <c r="C359" s="1">
        <v>46126</v>
      </c>
      <c r="D359" t="s">
        <v>184</v>
      </c>
      <c r="E359" t="s">
        <v>185</v>
      </c>
      <c r="F359" t="s">
        <v>269</v>
      </c>
      <c r="G359" t="s">
        <v>4349</v>
      </c>
      <c r="H359">
        <v>1099</v>
      </c>
      <c r="I359" t="s">
        <v>4349</v>
      </c>
      <c r="J359">
        <v>300</v>
      </c>
      <c r="K359" t="s">
        <v>4494</v>
      </c>
      <c r="L359" t="s">
        <v>266</v>
      </c>
      <c r="M359" t="s">
        <v>4686</v>
      </c>
      <c r="N359" t="s">
        <v>3377</v>
      </c>
      <c r="O359" t="s">
        <v>1508</v>
      </c>
      <c r="Q359" t="s">
        <v>274</v>
      </c>
      <c r="R359">
        <f>1</f>
        <v>1</v>
      </c>
      <c r="S359">
        <f>12.1</f>
        <v>12.1</v>
      </c>
      <c r="T359">
        <f>8.2</f>
        <v>8.1999999999999993</v>
      </c>
      <c r="U359">
        <f>277</f>
        <v>277</v>
      </c>
      <c r="V359">
        <f>0.12</f>
        <v>0.12</v>
      </c>
      <c r="X359">
        <f>0</f>
        <v>0</v>
      </c>
      <c r="Y359" t="s">
        <v>180</v>
      </c>
      <c r="Z359">
        <f>0</f>
        <v>0</v>
      </c>
      <c r="AA359">
        <f>0</f>
        <v>0</v>
      </c>
      <c r="AB359">
        <f>0</f>
        <v>0</v>
      </c>
      <c r="AC359">
        <f>0</f>
        <v>0</v>
      </c>
      <c r="AD359">
        <f>0</f>
        <v>0</v>
      </c>
      <c r="AE359">
        <f>0</f>
        <v>0</v>
      </c>
      <c r="AG359" t="s">
        <v>180</v>
      </c>
      <c r="AH359" t="s">
        <v>284</v>
      </c>
      <c r="AK359" t="s">
        <v>285</v>
      </c>
      <c r="AM359">
        <f>1.6</f>
        <v>1.6</v>
      </c>
      <c r="AN359">
        <f>0.032</f>
        <v>3.2000000000000001E-2</v>
      </c>
      <c r="AO359">
        <f>5.2</f>
        <v>5.2</v>
      </c>
      <c r="AP359">
        <f>1.4</f>
        <v>1.4</v>
      </c>
      <c r="AQ359" t="s">
        <v>284</v>
      </c>
      <c r="FB359" t="s">
        <v>646</v>
      </c>
      <c r="FC359" t="s">
        <v>646</v>
      </c>
      <c r="FD359" t="s">
        <v>646</v>
      </c>
      <c r="FE359" t="s">
        <v>646</v>
      </c>
      <c r="FH359" t="s">
        <v>646</v>
      </c>
    </row>
    <row r="360" spans="1:164" x14ac:dyDescent="0.25">
      <c r="A360" t="s">
        <v>1509</v>
      </c>
      <c r="B360" t="s">
        <v>170</v>
      </c>
      <c r="C360" s="1">
        <v>46086</v>
      </c>
      <c r="D360" t="s">
        <v>251</v>
      </c>
      <c r="E360" t="s">
        <v>252</v>
      </c>
      <c r="F360" t="s">
        <v>4280</v>
      </c>
      <c r="G360" t="s">
        <v>1510</v>
      </c>
      <c r="H360">
        <v>1090</v>
      </c>
      <c r="I360" t="s">
        <v>1510</v>
      </c>
      <c r="J360">
        <v>128</v>
      </c>
      <c r="K360" t="s">
        <v>4492</v>
      </c>
      <c r="L360" t="s">
        <v>271</v>
      </c>
      <c r="M360" t="s">
        <v>4687</v>
      </c>
      <c r="N360" t="s">
        <v>1511</v>
      </c>
      <c r="O360" t="s">
        <v>1512</v>
      </c>
      <c r="Q360" t="s">
        <v>274</v>
      </c>
      <c r="R360">
        <f>1</f>
        <v>1</v>
      </c>
      <c r="S360">
        <f>8.3</f>
        <v>8.3000000000000007</v>
      </c>
      <c r="T360">
        <f>8.1</f>
        <v>8.1</v>
      </c>
      <c r="U360">
        <f>296</f>
        <v>296</v>
      </c>
      <c r="X360">
        <f>0</f>
        <v>0</v>
      </c>
      <c r="Y360">
        <f>0.22</f>
        <v>0.22</v>
      </c>
      <c r="Z360">
        <f>0</f>
        <v>0</v>
      </c>
      <c r="AA360">
        <f>0</f>
        <v>0</v>
      </c>
      <c r="AB360">
        <f>0</f>
        <v>0</v>
      </c>
      <c r="AD360">
        <f>0</f>
        <v>0</v>
      </c>
      <c r="AE360">
        <f>0</f>
        <v>0</v>
      </c>
      <c r="AG360" t="s">
        <v>180</v>
      </c>
      <c r="AH360" t="s">
        <v>284</v>
      </c>
      <c r="AK360" t="s">
        <v>285</v>
      </c>
      <c r="AL360" t="s">
        <v>286</v>
      </c>
      <c r="AM360">
        <f>2.2</f>
        <v>2.2000000000000002</v>
      </c>
      <c r="AN360">
        <f>0.044</f>
        <v>4.3999999999999997E-2</v>
      </c>
      <c r="AO360">
        <f>7.4</f>
        <v>7.4</v>
      </c>
      <c r="AP360">
        <f>1.3</f>
        <v>1.3</v>
      </c>
      <c r="AQ360" t="s">
        <v>284</v>
      </c>
      <c r="CC360" t="s">
        <v>284</v>
      </c>
    </row>
    <row r="361" spans="1:164" x14ac:dyDescent="0.25">
      <c r="A361" t="s">
        <v>1513</v>
      </c>
      <c r="B361" t="s">
        <v>170</v>
      </c>
      <c r="C361" s="1">
        <v>46120</v>
      </c>
      <c r="D361" t="s">
        <v>184</v>
      </c>
      <c r="E361" t="s">
        <v>185</v>
      </c>
      <c r="F361" t="s">
        <v>3378</v>
      </c>
      <c r="G361" t="s">
        <v>1514</v>
      </c>
      <c r="H361">
        <v>1136</v>
      </c>
      <c r="I361" t="s">
        <v>1514</v>
      </c>
      <c r="J361">
        <v>248</v>
      </c>
      <c r="K361" t="s">
        <v>4494</v>
      </c>
      <c r="L361" t="s">
        <v>266</v>
      </c>
      <c r="M361" t="s">
        <v>1515</v>
      </c>
      <c r="N361" t="s">
        <v>1516</v>
      </c>
      <c r="O361" t="s">
        <v>1517</v>
      </c>
      <c r="R361">
        <f>1</f>
        <v>1</v>
      </c>
      <c r="S361">
        <f>10.4</f>
        <v>10.4</v>
      </c>
      <c r="T361">
        <f>7.9</f>
        <v>7.9</v>
      </c>
      <c r="U361">
        <f>413</f>
        <v>413</v>
      </c>
      <c r="V361">
        <f>0.25</f>
        <v>0.25</v>
      </c>
      <c r="X361">
        <f>0</f>
        <v>0</v>
      </c>
      <c r="Y361">
        <f>0.2</f>
        <v>0.2</v>
      </c>
      <c r="Z361">
        <f>0</f>
        <v>0</v>
      </c>
      <c r="AA361" t="s">
        <v>179</v>
      </c>
      <c r="AB361" t="s">
        <v>179</v>
      </c>
      <c r="AC361">
        <f>0</f>
        <v>0</v>
      </c>
      <c r="AD361">
        <f>0</f>
        <v>0</v>
      </c>
      <c r="AE361">
        <f>0</f>
        <v>0</v>
      </c>
      <c r="AG361" t="s">
        <v>180</v>
      </c>
      <c r="AH361">
        <f>0.6</f>
        <v>0.6</v>
      </c>
      <c r="AK361" t="s">
        <v>181</v>
      </c>
      <c r="AL361" t="s">
        <v>182</v>
      </c>
      <c r="AM361">
        <f>5.3</f>
        <v>5.3</v>
      </c>
      <c r="AN361">
        <f>0.11</f>
        <v>0.11</v>
      </c>
      <c r="AO361">
        <f>3.3</f>
        <v>3.3</v>
      </c>
      <c r="AP361">
        <f>2.1</f>
        <v>2.1</v>
      </c>
      <c r="AQ361" t="s">
        <v>180</v>
      </c>
      <c r="CC361">
        <f>0.23</f>
        <v>0.23</v>
      </c>
      <c r="FB361">
        <f>0.94</f>
        <v>0.94</v>
      </c>
      <c r="FC361" t="s">
        <v>220</v>
      </c>
      <c r="FD361">
        <f>0.57</f>
        <v>0.56999999999999995</v>
      </c>
      <c r="FE361" t="s">
        <v>220</v>
      </c>
      <c r="FH361">
        <f>1.5</f>
        <v>1.5</v>
      </c>
    </row>
    <row r="362" spans="1:164" x14ac:dyDescent="0.25">
      <c r="A362" t="s">
        <v>1518</v>
      </c>
      <c r="B362" t="s">
        <v>170</v>
      </c>
      <c r="C362" s="1">
        <v>46134</v>
      </c>
      <c r="D362" t="s">
        <v>184</v>
      </c>
      <c r="E362" t="s">
        <v>239</v>
      </c>
      <c r="F362" t="s">
        <v>1519</v>
      </c>
      <c r="G362" t="s">
        <v>1520</v>
      </c>
      <c r="H362">
        <v>1158</v>
      </c>
      <c r="I362" t="s">
        <v>1520</v>
      </c>
      <c r="J362">
        <v>262</v>
      </c>
      <c r="K362" t="s">
        <v>4494</v>
      </c>
      <c r="L362" t="s">
        <v>266</v>
      </c>
      <c r="M362" t="s">
        <v>1521</v>
      </c>
      <c r="N362" t="s">
        <v>1522</v>
      </c>
      <c r="O362" t="s">
        <v>1523</v>
      </c>
      <c r="Q362" t="s">
        <v>1524</v>
      </c>
      <c r="R362">
        <f>1</f>
        <v>1</v>
      </c>
      <c r="S362">
        <f>10.4</f>
        <v>10.4</v>
      </c>
      <c r="T362">
        <f>7.7</f>
        <v>7.7</v>
      </c>
      <c r="U362">
        <f>520</f>
        <v>520</v>
      </c>
      <c r="V362" t="s">
        <v>192</v>
      </c>
      <c r="X362">
        <f>0</f>
        <v>0</v>
      </c>
      <c r="Y362">
        <f>0.1</f>
        <v>0.1</v>
      </c>
      <c r="Z362">
        <f>0</f>
        <v>0</v>
      </c>
      <c r="AA362" t="s">
        <v>179</v>
      </c>
      <c r="AB362" t="s">
        <v>179</v>
      </c>
      <c r="AC362">
        <f>0</f>
        <v>0</v>
      </c>
      <c r="AD362">
        <f>0</f>
        <v>0</v>
      </c>
      <c r="AE362">
        <f>0</f>
        <v>0</v>
      </c>
      <c r="AG362" t="s">
        <v>220</v>
      </c>
      <c r="FB362" t="s">
        <v>338</v>
      </c>
      <c r="FC362" t="s">
        <v>193</v>
      </c>
      <c r="FD362">
        <f>0.5</f>
        <v>0.5</v>
      </c>
      <c r="FE362">
        <f>0.9</f>
        <v>0.9</v>
      </c>
      <c r="FH362">
        <f>1.4</f>
        <v>1.4</v>
      </c>
    </row>
    <row r="363" spans="1:164" x14ac:dyDescent="0.25">
      <c r="A363" t="s">
        <v>1525</v>
      </c>
      <c r="B363" t="s">
        <v>170</v>
      </c>
      <c r="C363" s="1">
        <v>46101</v>
      </c>
      <c r="D363" t="s">
        <v>184</v>
      </c>
      <c r="E363" t="s">
        <v>185</v>
      </c>
      <c r="F363" t="s">
        <v>1002</v>
      </c>
      <c r="G363" t="s">
        <v>3991</v>
      </c>
      <c r="H363">
        <v>1162</v>
      </c>
      <c r="I363" t="s">
        <v>3991</v>
      </c>
      <c r="J363">
        <v>170</v>
      </c>
      <c r="K363" t="s">
        <v>4492</v>
      </c>
      <c r="L363" t="s">
        <v>271</v>
      </c>
      <c r="M363" t="s">
        <v>3992</v>
      </c>
      <c r="N363" t="s">
        <v>3993</v>
      </c>
      <c r="O363" t="s">
        <v>1526</v>
      </c>
      <c r="Q363" t="s">
        <v>3994</v>
      </c>
      <c r="R363">
        <f>1</f>
        <v>1</v>
      </c>
      <c r="S363">
        <f>9.8</f>
        <v>9.8000000000000007</v>
      </c>
      <c r="T363">
        <f>7.5</f>
        <v>7.5</v>
      </c>
      <c r="U363">
        <f>473</f>
        <v>473</v>
      </c>
      <c r="X363">
        <f>0</f>
        <v>0</v>
      </c>
      <c r="Y363">
        <f>0.2</f>
        <v>0.2</v>
      </c>
      <c r="Z363">
        <f>0</f>
        <v>0</v>
      </c>
      <c r="AA363" t="s">
        <v>179</v>
      </c>
      <c r="AB363" t="s">
        <v>179</v>
      </c>
      <c r="AD363">
        <f>0</f>
        <v>0</v>
      </c>
      <c r="AE363">
        <f>0</f>
        <v>0</v>
      </c>
      <c r="AG363" t="s">
        <v>180</v>
      </c>
      <c r="AH363">
        <f>0.6</f>
        <v>0.6</v>
      </c>
      <c r="AK363" t="s">
        <v>181</v>
      </c>
      <c r="AL363" t="s">
        <v>182</v>
      </c>
      <c r="AM363">
        <f>3.5</f>
        <v>3.5</v>
      </c>
      <c r="AN363">
        <f>0.07</f>
        <v>7.0000000000000007E-2</v>
      </c>
      <c r="AO363">
        <f>6.3</f>
        <v>6.3</v>
      </c>
      <c r="AP363">
        <f>1.3</f>
        <v>1.3</v>
      </c>
      <c r="AQ363" t="s">
        <v>180</v>
      </c>
    </row>
    <row r="364" spans="1:164" x14ac:dyDescent="0.25">
      <c r="A364" t="s">
        <v>1527</v>
      </c>
      <c r="B364" t="s">
        <v>170</v>
      </c>
      <c r="C364" s="1">
        <v>46134</v>
      </c>
      <c r="D364" t="s">
        <v>184</v>
      </c>
      <c r="E364" t="s">
        <v>239</v>
      </c>
      <c r="F364" t="s">
        <v>3379</v>
      </c>
      <c r="G364" t="s">
        <v>4350</v>
      </c>
      <c r="H364">
        <v>1163</v>
      </c>
      <c r="I364" t="s">
        <v>4350</v>
      </c>
      <c r="J364">
        <v>234</v>
      </c>
      <c r="K364" t="s">
        <v>4494</v>
      </c>
      <c r="L364" t="s">
        <v>1528</v>
      </c>
      <c r="M364" t="s">
        <v>3727</v>
      </c>
      <c r="N364" t="s">
        <v>3728</v>
      </c>
      <c r="O364" t="s">
        <v>1529</v>
      </c>
      <c r="Q364" t="s">
        <v>3729</v>
      </c>
      <c r="R364">
        <f>1</f>
        <v>1</v>
      </c>
      <c r="S364">
        <f>10.5</f>
        <v>10.5</v>
      </c>
      <c r="T364">
        <f>7.4</f>
        <v>7.4</v>
      </c>
      <c r="U364">
        <f>455</f>
        <v>455</v>
      </c>
      <c r="X364">
        <f>0</f>
        <v>0</v>
      </c>
      <c r="Y364">
        <f>0.28</f>
        <v>0.28000000000000003</v>
      </c>
      <c r="Z364">
        <f>0</f>
        <v>0</v>
      </c>
      <c r="AA364">
        <f>11</f>
        <v>11</v>
      </c>
      <c r="AB364">
        <f>11</f>
        <v>11</v>
      </c>
      <c r="AC364">
        <f>0</f>
        <v>0</v>
      </c>
      <c r="AD364">
        <f>0</f>
        <v>0</v>
      </c>
      <c r="AE364">
        <f>0</f>
        <v>0</v>
      </c>
      <c r="AG364" t="s">
        <v>220</v>
      </c>
      <c r="CC364">
        <f>0.22</f>
        <v>0.22</v>
      </c>
    </row>
    <row r="365" spans="1:164" x14ac:dyDescent="0.25">
      <c r="A365" t="s">
        <v>1530</v>
      </c>
      <c r="B365" t="s">
        <v>170</v>
      </c>
      <c r="C365" s="1">
        <v>46135</v>
      </c>
      <c r="D365" t="s">
        <v>238</v>
      </c>
      <c r="E365" t="s">
        <v>239</v>
      </c>
      <c r="F365" t="s">
        <v>4224</v>
      </c>
      <c r="G365" t="s">
        <v>4351</v>
      </c>
      <c r="H365">
        <v>144</v>
      </c>
      <c r="I365" t="s">
        <v>4352</v>
      </c>
      <c r="J365">
        <v>190</v>
      </c>
      <c r="K365" t="s">
        <v>4494</v>
      </c>
      <c r="L365" t="s">
        <v>266</v>
      </c>
      <c r="M365" t="s">
        <v>4688</v>
      </c>
      <c r="N365" t="s">
        <v>4689</v>
      </c>
      <c r="O365" t="s">
        <v>1531</v>
      </c>
      <c r="R365">
        <f>1</f>
        <v>1</v>
      </c>
      <c r="S365">
        <f>12.6</f>
        <v>12.6</v>
      </c>
      <c r="T365">
        <f>7.5</f>
        <v>7.5</v>
      </c>
      <c r="U365">
        <f>495</f>
        <v>495</v>
      </c>
      <c r="V365">
        <f>0.27</f>
        <v>0.27</v>
      </c>
      <c r="X365">
        <f>0</f>
        <v>0</v>
      </c>
      <c r="Y365" t="s">
        <v>180</v>
      </c>
      <c r="Z365">
        <f>0</f>
        <v>0</v>
      </c>
      <c r="AA365" t="s">
        <v>179</v>
      </c>
      <c r="AB365" t="s">
        <v>179</v>
      </c>
      <c r="AC365">
        <f>0</f>
        <v>0</v>
      </c>
      <c r="AD365">
        <f>0</f>
        <v>0</v>
      </c>
      <c r="AE365">
        <f>0</f>
        <v>0</v>
      </c>
      <c r="AG365" t="s">
        <v>220</v>
      </c>
      <c r="FB365">
        <f>0.8</f>
        <v>0.8</v>
      </c>
      <c r="FC365" t="s">
        <v>193</v>
      </c>
      <c r="FD365">
        <f>0.5</f>
        <v>0.5</v>
      </c>
      <c r="FE365">
        <f>0.3</f>
        <v>0.3</v>
      </c>
      <c r="FH365">
        <f>1.6</f>
        <v>1.6</v>
      </c>
    </row>
    <row r="366" spans="1:164" x14ac:dyDescent="0.25">
      <c r="A366" t="s">
        <v>1532</v>
      </c>
      <c r="B366" t="s">
        <v>170</v>
      </c>
      <c r="C366" s="1">
        <v>46129</v>
      </c>
      <c r="D366" t="s">
        <v>238</v>
      </c>
      <c r="E366" t="s">
        <v>239</v>
      </c>
      <c r="F366" t="s">
        <v>478</v>
      </c>
      <c r="G366" t="s">
        <v>1533</v>
      </c>
      <c r="H366">
        <v>1301</v>
      </c>
      <c r="I366" t="s">
        <v>1533</v>
      </c>
      <c r="J366">
        <v>180</v>
      </c>
      <c r="K366" t="s">
        <v>4494</v>
      </c>
      <c r="L366" t="s">
        <v>266</v>
      </c>
      <c r="M366" t="s">
        <v>1534</v>
      </c>
      <c r="N366" t="s">
        <v>1535</v>
      </c>
      <c r="O366" t="s">
        <v>1536</v>
      </c>
      <c r="Q366" t="s">
        <v>3498</v>
      </c>
      <c r="R366">
        <f>1</f>
        <v>1</v>
      </c>
      <c r="S366">
        <f>11.9</f>
        <v>11.9</v>
      </c>
      <c r="T366">
        <f>7.1</f>
        <v>7.1</v>
      </c>
      <c r="U366">
        <f>478</f>
        <v>478</v>
      </c>
      <c r="V366">
        <f>0.15</f>
        <v>0.15</v>
      </c>
      <c r="X366">
        <f>0</f>
        <v>0</v>
      </c>
      <c r="Y366">
        <f>0.14</f>
        <v>0.14000000000000001</v>
      </c>
      <c r="Z366">
        <f>0</f>
        <v>0</v>
      </c>
      <c r="AA366" t="s">
        <v>179</v>
      </c>
      <c r="AB366" t="s">
        <v>179</v>
      </c>
      <c r="AC366">
        <f>0</f>
        <v>0</v>
      </c>
      <c r="AD366">
        <f>0</f>
        <v>0</v>
      </c>
      <c r="AE366">
        <f>0</f>
        <v>0</v>
      </c>
      <c r="AG366" t="s">
        <v>220</v>
      </c>
      <c r="AH366">
        <f>1</f>
        <v>1</v>
      </c>
      <c r="AK366" t="s">
        <v>286</v>
      </c>
      <c r="AL366">
        <f>0.012</f>
        <v>1.2E-2</v>
      </c>
      <c r="AM366">
        <f>2.8</f>
        <v>2.8</v>
      </c>
      <c r="AN366">
        <f>0.06</f>
        <v>0.06</v>
      </c>
      <c r="AO366">
        <f>2.2</f>
        <v>2.2000000000000002</v>
      </c>
      <c r="AP366">
        <f>1.4</f>
        <v>1.4</v>
      </c>
      <c r="AQ366" t="s">
        <v>192</v>
      </c>
      <c r="FB366" t="s">
        <v>338</v>
      </c>
      <c r="FC366" t="s">
        <v>193</v>
      </c>
      <c r="FD366" t="s">
        <v>411</v>
      </c>
      <c r="FE366" t="s">
        <v>411</v>
      </c>
      <c r="FH366" t="s">
        <v>193</v>
      </c>
    </row>
    <row r="367" spans="1:164" x14ac:dyDescent="0.25">
      <c r="A367" t="s">
        <v>1537</v>
      </c>
      <c r="B367" t="s">
        <v>170</v>
      </c>
      <c r="C367" s="1">
        <v>46129</v>
      </c>
      <c r="D367" t="s">
        <v>238</v>
      </c>
      <c r="E367" t="s">
        <v>239</v>
      </c>
      <c r="F367" t="s">
        <v>478</v>
      </c>
      <c r="G367" t="s">
        <v>4353</v>
      </c>
      <c r="H367">
        <v>467</v>
      </c>
      <c r="I367" t="s">
        <v>4353</v>
      </c>
      <c r="J367">
        <v>100</v>
      </c>
      <c r="K367" t="s">
        <v>4494</v>
      </c>
      <c r="L367" t="s">
        <v>266</v>
      </c>
      <c r="M367" t="s">
        <v>4690</v>
      </c>
      <c r="N367" t="s">
        <v>4691</v>
      </c>
      <c r="O367" t="s">
        <v>1538</v>
      </c>
      <c r="Q367" t="s">
        <v>4692</v>
      </c>
      <c r="R367">
        <f>1</f>
        <v>1</v>
      </c>
      <c r="S367">
        <f>11.6</f>
        <v>11.6</v>
      </c>
      <c r="T367">
        <f>7.1</f>
        <v>7.1</v>
      </c>
      <c r="U367">
        <f>605</f>
        <v>605</v>
      </c>
      <c r="V367">
        <f>0.15</f>
        <v>0.15</v>
      </c>
      <c r="X367">
        <f>0</f>
        <v>0</v>
      </c>
      <c r="Y367">
        <f>0.1</f>
        <v>0.1</v>
      </c>
      <c r="Z367">
        <f>0</f>
        <v>0</v>
      </c>
      <c r="AA367" t="s">
        <v>179</v>
      </c>
      <c r="AB367" t="s">
        <v>179</v>
      </c>
      <c r="AC367">
        <f>0</f>
        <v>0</v>
      </c>
      <c r="AD367">
        <f>0</f>
        <v>0</v>
      </c>
      <c r="AE367">
        <f>0</f>
        <v>0</v>
      </c>
      <c r="AG367" t="s">
        <v>220</v>
      </c>
      <c r="FB367">
        <f>1.9</f>
        <v>1.9</v>
      </c>
      <c r="FC367" t="s">
        <v>193</v>
      </c>
      <c r="FD367">
        <f>1.6</f>
        <v>1.6</v>
      </c>
      <c r="FE367">
        <f>1.1</f>
        <v>1.1000000000000001</v>
      </c>
      <c r="FH367">
        <f>4.6</f>
        <v>4.5999999999999996</v>
      </c>
    </row>
    <row r="368" spans="1:164" x14ac:dyDescent="0.25">
      <c r="A368" t="s">
        <v>1539</v>
      </c>
      <c r="B368" t="s">
        <v>170</v>
      </c>
      <c r="C368" s="1">
        <v>46128</v>
      </c>
      <c r="D368" t="s">
        <v>238</v>
      </c>
      <c r="E368" t="s">
        <v>260</v>
      </c>
      <c r="F368" t="s">
        <v>1540</v>
      </c>
      <c r="G368" t="s">
        <v>3730</v>
      </c>
      <c r="H368">
        <v>446</v>
      </c>
      <c r="I368" t="s">
        <v>3730</v>
      </c>
      <c r="J368">
        <v>150</v>
      </c>
      <c r="K368" t="s">
        <v>4494</v>
      </c>
      <c r="L368" t="s">
        <v>266</v>
      </c>
      <c r="M368" t="s">
        <v>1541</v>
      </c>
      <c r="N368" t="s">
        <v>1542</v>
      </c>
      <c r="O368" t="s">
        <v>1543</v>
      </c>
      <c r="R368">
        <f>1</f>
        <v>1</v>
      </c>
      <c r="S368">
        <f>10.8</f>
        <v>10.8</v>
      </c>
      <c r="T368">
        <f>7.8</f>
        <v>7.8</v>
      </c>
      <c r="U368">
        <f>435</f>
        <v>435</v>
      </c>
      <c r="V368">
        <f>0.31</f>
        <v>0.31</v>
      </c>
      <c r="X368">
        <f>0</f>
        <v>0</v>
      </c>
      <c r="Y368">
        <f>0.31</f>
        <v>0.31</v>
      </c>
      <c r="Z368">
        <f>0</f>
        <v>0</v>
      </c>
      <c r="AA368" t="s">
        <v>179</v>
      </c>
      <c r="AB368" t="s">
        <v>179</v>
      </c>
      <c r="AC368">
        <f>0</f>
        <v>0</v>
      </c>
      <c r="AD368">
        <f>0</f>
        <v>0</v>
      </c>
      <c r="AE368">
        <f>0</f>
        <v>0</v>
      </c>
      <c r="AG368" t="s">
        <v>220</v>
      </c>
      <c r="AH368">
        <f>1.7</f>
        <v>1.7</v>
      </c>
      <c r="AK368" t="s">
        <v>286</v>
      </c>
      <c r="AL368">
        <f>0.0011</f>
        <v>1.1000000000000001E-3</v>
      </c>
      <c r="AM368">
        <f>1.6</f>
        <v>1.6</v>
      </c>
      <c r="AN368">
        <f>0.032</f>
        <v>3.2000000000000001E-2</v>
      </c>
      <c r="AO368">
        <f>3.6</f>
        <v>3.6</v>
      </c>
      <c r="AP368">
        <f>1.6</f>
        <v>1.6</v>
      </c>
      <c r="AQ368" t="s">
        <v>192</v>
      </c>
      <c r="FB368">
        <f>1.9</f>
        <v>1.9</v>
      </c>
      <c r="FC368" t="s">
        <v>193</v>
      </c>
      <c r="FD368">
        <f>0.9</f>
        <v>0.9</v>
      </c>
      <c r="FE368" t="s">
        <v>411</v>
      </c>
      <c r="FH368">
        <f>2.8</f>
        <v>2.8</v>
      </c>
    </row>
    <row r="369" spans="1:164" x14ac:dyDescent="0.25">
      <c r="A369" t="s">
        <v>1544</v>
      </c>
      <c r="B369" t="s">
        <v>170</v>
      </c>
      <c r="C369" s="1">
        <v>46128</v>
      </c>
      <c r="D369" t="s">
        <v>238</v>
      </c>
      <c r="E369" t="s">
        <v>260</v>
      </c>
      <c r="F369" t="s">
        <v>4693</v>
      </c>
      <c r="G369" t="s">
        <v>3995</v>
      </c>
      <c r="H369">
        <v>468</v>
      </c>
      <c r="I369" t="s">
        <v>3995</v>
      </c>
      <c r="J369">
        <v>90</v>
      </c>
      <c r="K369" t="s">
        <v>4494</v>
      </c>
      <c r="L369" t="s">
        <v>266</v>
      </c>
      <c r="M369" t="s">
        <v>4694</v>
      </c>
      <c r="N369" t="s">
        <v>4695</v>
      </c>
      <c r="O369" t="s">
        <v>1545</v>
      </c>
      <c r="Q369" t="s">
        <v>4696</v>
      </c>
      <c r="R369">
        <f>1</f>
        <v>1</v>
      </c>
      <c r="S369">
        <f>10.4</f>
        <v>10.4</v>
      </c>
      <c r="T369">
        <f>7.8</f>
        <v>7.8</v>
      </c>
      <c r="U369">
        <f>387</f>
        <v>387</v>
      </c>
      <c r="V369">
        <f>0.1</f>
        <v>0.1</v>
      </c>
      <c r="X369">
        <f>0</f>
        <v>0</v>
      </c>
      <c r="Y369">
        <f>0.13</f>
        <v>0.13</v>
      </c>
      <c r="Z369">
        <f>0</f>
        <v>0</v>
      </c>
      <c r="AA369" t="s">
        <v>179</v>
      </c>
      <c r="AB369" t="s">
        <v>179</v>
      </c>
      <c r="AC369">
        <f>0</f>
        <v>0</v>
      </c>
      <c r="AD369">
        <f>0</f>
        <v>0</v>
      </c>
      <c r="AE369">
        <f>0</f>
        <v>0</v>
      </c>
      <c r="AG369" t="s">
        <v>220</v>
      </c>
      <c r="AH369" t="s">
        <v>411</v>
      </c>
      <c r="AK369">
        <f>0.026</f>
        <v>2.5999999999999999E-2</v>
      </c>
      <c r="AL369">
        <f>0.0018</f>
        <v>1.8E-3</v>
      </c>
      <c r="AM369">
        <f>13</f>
        <v>13</v>
      </c>
      <c r="AN369">
        <f>0.261</f>
        <v>0.26100000000000001</v>
      </c>
      <c r="AO369">
        <f>6.3</f>
        <v>6.3</v>
      </c>
      <c r="AP369">
        <f>2.8</f>
        <v>2.8</v>
      </c>
      <c r="AQ369" t="s">
        <v>192</v>
      </c>
      <c r="FB369" t="s">
        <v>338</v>
      </c>
      <c r="FC369" t="s">
        <v>193</v>
      </c>
      <c r="FD369" t="s">
        <v>411</v>
      </c>
      <c r="FE369" t="s">
        <v>411</v>
      </c>
      <c r="FH369" t="s">
        <v>193</v>
      </c>
    </row>
    <row r="370" spans="1:164" x14ac:dyDescent="0.25">
      <c r="A370" t="s">
        <v>1546</v>
      </c>
      <c r="B370" t="s">
        <v>170</v>
      </c>
      <c r="C370" s="1">
        <v>46098</v>
      </c>
      <c r="D370" t="s">
        <v>238</v>
      </c>
      <c r="E370" t="s">
        <v>260</v>
      </c>
      <c r="F370" t="s">
        <v>261</v>
      </c>
      <c r="G370" t="s">
        <v>1547</v>
      </c>
      <c r="H370">
        <v>451</v>
      </c>
      <c r="I370" t="s">
        <v>1547</v>
      </c>
      <c r="J370">
        <v>185</v>
      </c>
      <c r="K370" t="s">
        <v>4494</v>
      </c>
      <c r="L370" t="s">
        <v>266</v>
      </c>
      <c r="M370" t="s">
        <v>3604</v>
      </c>
      <c r="N370" t="s">
        <v>1548</v>
      </c>
      <c r="O370" t="s">
        <v>1549</v>
      </c>
      <c r="Q370" t="s">
        <v>1550</v>
      </c>
      <c r="R370">
        <f>1</f>
        <v>1</v>
      </c>
      <c r="S370">
        <f>9.8</f>
        <v>9.8000000000000007</v>
      </c>
      <c r="T370">
        <f>7.6</f>
        <v>7.6</v>
      </c>
      <c r="U370">
        <f>378</f>
        <v>378</v>
      </c>
      <c r="V370">
        <f>0.22</f>
        <v>0.22</v>
      </c>
      <c r="X370">
        <f>0</f>
        <v>0</v>
      </c>
      <c r="Y370" t="s">
        <v>180</v>
      </c>
      <c r="Z370">
        <f>0</f>
        <v>0</v>
      </c>
      <c r="AA370" t="s">
        <v>179</v>
      </c>
      <c r="AB370" t="s">
        <v>179</v>
      </c>
      <c r="AC370">
        <f>0</f>
        <v>0</v>
      </c>
      <c r="AD370">
        <f>0</f>
        <v>0</v>
      </c>
      <c r="AE370">
        <f>0</f>
        <v>0</v>
      </c>
      <c r="AG370" t="s">
        <v>220</v>
      </c>
      <c r="AI370" t="s">
        <v>192</v>
      </c>
      <c r="AJ370" t="s">
        <v>192</v>
      </c>
      <c r="CC370">
        <f>0.11</f>
        <v>0.11</v>
      </c>
      <c r="FB370" t="s">
        <v>338</v>
      </c>
      <c r="FC370" t="s">
        <v>193</v>
      </c>
      <c r="FD370" t="s">
        <v>411</v>
      </c>
      <c r="FE370">
        <f>0.6</f>
        <v>0.6</v>
      </c>
      <c r="FH370">
        <f>0.6</f>
        <v>0.6</v>
      </c>
    </row>
    <row r="371" spans="1:164" x14ac:dyDescent="0.25">
      <c r="A371" t="s">
        <v>1551</v>
      </c>
      <c r="B371" t="s">
        <v>170</v>
      </c>
      <c r="C371" s="1">
        <v>46084</v>
      </c>
      <c r="D371" t="s">
        <v>302</v>
      </c>
      <c r="E371" t="s">
        <v>303</v>
      </c>
      <c r="F371" t="s">
        <v>509</v>
      </c>
      <c r="G371" t="s">
        <v>1552</v>
      </c>
      <c r="H371">
        <v>1031</v>
      </c>
      <c r="I371" t="s">
        <v>1553</v>
      </c>
      <c r="J371">
        <v>50</v>
      </c>
      <c r="K371" t="s">
        <v>4494</v>
      </c>
      <c r="L371" t="s">
        <v>271</v>
      </c>
      <c r="M371" t="s">
        <v>1554</v>
      </c>
      <c r="N371" t="s">
        <v>1555</v>
      </c>
      <c r="O371" t="s">
        <v>1556</v>
      </c>
      <c r="R371">
        <f>1</f>
        <v>1</v>
      </c>
      <c r="S371">
        <f>8.2</f>
        <v>8.1999999999999993</v>
      </c>
      <c r="T371">
        <f>6.6</f>
        <v>6.6</v>
      </c>
      <c r="U371">
        <f>141</f>
        <v>141</v>
      </c>
      <c r="X371">
        <f>0</f>
        <v>0</v>
      </c>
      <c r="Y371" t="s">
        <v>180</v>
      </c>
      <c r="Z371">
        <f>0</f>
        <v>0</v>
      </c>
      <c r="AA371" t="s">
        <v>179</v>
      </c>
      <c r="AB371" t="s">
        <v>179</v>
      </c>
      <c r="AC371">
        <f>0</f>
        <v>0</v>
      </c>
      <c r="AD371">
        <f>0</f>
        <v>0</v>
      </c>
      <c r="AE371">
        <f>0</f>
        <v>0</v>
      </c>
      <c r="AG371" t="s">
        <v>180</v>
      </c>
      <c r="AH371" t="s">
        <v>193</v>
      </c>
      <c r="AK371" t="s">
        <v>181</v>
      </c>
      <c r="AL371" t="s">
        <v>182</v>
      </c>
      <c r="AM371">
        <f>9.7</f>
        <v>9.6999999999999993</v>
      </c>
      <c r="AN371">
        <f>0.19</f>
        <v>0.19</v>
      </c>
      <c r="AO371">
        <f>7.1</f>
        <v>7.1</v>
      </c>
      <c r="AP371">
        <f>4.1</f>
        <v>4.0999999999999996</v>
      </c>
      <c r="AQ371" t="s">
        <v>180</v>
      </c>
    </row>
    <row r="372" spans="1:164" x14ac:dyDescent="0.25">
      <c r="A372" t="s">
        <v>1557</v>
      </c>
      <c r="B372" t="s">
        <v>170</v>
      </c>
      <c r="C372" s="1">
        <v>46114</v>
      </c>
      <c r="D372" t="s">
        <v>222</v>
      </c>
      <c r="E372" t="s">
        <v>223</v>
      </c>
      <c r="F372" t="s">
        <v>3685</v>
      </c>
      <c r="G372" t="s">
        <v>1558</v>
      </c>
      <c r="H372">
        <v>1341</v>
      </c>
      <c r="I372" t="s">
        <v>1558</v>
      </c>
      <c r="J372">
        <v>200</v>
      </c>
      <c r="K372" t="s">
        <v>4492</v>
      </c>
      <c r="L372" t="s">
        <v>271</v>
      </c>
      <c r="M372" t="s">
        <v>4697</v>
      </c>
      <c r="N372" t="s">
        <v>3605</v>
      </c>
      <c r="O372" t="s">
        <v>1559</v>
      </c>
      <c r="Q372" t="s">
        <v>3487</v>
      </c>
      <c r="R372">
        <f>1</f>
        <v>1</v>
      </c>
      <c r="S372">
        <f>9.6</f>
        <v>9.6</v>
      </c>
      <c r="T372">
        <f>7.6</f>
        <v>7.6</v>
      </c>
      <c r="U372">
        <f>269</f>
        <v>269</v>
      </c>
      <c r="X372">
        <f>1</f>
        <v>1</v>
      </c>
      <c r="Y372">
        <f>0.11</f>
        <v>0.11</v>
      </c>
      <c r="Z372">
        <f>0</f>
        <v>0</v>
      </c>
      <c r="AA372" t="s">
        <v>179</v>
      </c>
      <c r="AB372" t="s">
        <v>179</v>
      </c>
      <c r="AD372">
        <f>0</f>
        <v>0</v>
      </c>
      <c r="AE372">
        <f>0</f>
        <v>0</v>
      </c>
      <c r="AG372" t="s">
        <v>180</v>
      </c>
      <c r="AH372" t="s">
        <v>193</v>
      </c>
      <c r="AK372" t="s">
        <v>181</v>
      </c>
      <c r="AL372" t="s">
        <v>182</v>
      </c>
      <c r="AM372">
        <f>2.9</f>
        <v>2.9</v>
      </c>
      <c r="AN372">
        <f>0.06</f>
        <v>0.06</v>
      </c>
      <c r="AO372">
        <f>8.9</f>
        <v>8.9</v>
      </c>
      <c r="AP372">
        <f>1.2</f>
        <v>1.2</v>
      </c>
      <c r="AQ372" t="s">
        <v>180</v>
      </c>
      <c r="CC372" t="s">
        <v>701</v>
      </c>
    </row>
    <row r="373" spans="1:164" x14ac:dyDescent="0.25">
      <c r="A373" t="s">
        <v>1560</v>
      </c>
      <c r="B373" t="s">
        <v>170</v>
      </c>
      <c r="C373" s="1">
        <v>46119</v>
      </c>
      <c r="D373" t="s">
        <v>216</v>
      </c>
      <c r="E373" t="s">
        <v>217</v>
      </c>
      <c r="F373" t="s">
        <v>368</v>
      </c>
      <c r="G373" t="s">
        <v>4354</v>
      </c>
      <c r="H373">
        <v>264</v>
      </c>
      <c r="I373" t="s">
        <v>4354</v>
      </c>
      <c r="J373">
        <v>130</v>
      </c>
      <c r="K373" t="s">
        <v>4494</v>
      </c>
      <c r="L373" t="s">
        <v>266</v>
      </c>
      <c r="M373" t="s">
        <v>4554</v>
      </c>
      <c r="N373" t="s">
        <v>3380</v>
      </c>
      <c r="O373" t="s">
        <v>1561</v>
      </c>
      <c r="R373">
        <f>1</f>
        <v>1</v>
      </c>
      <c r="S373">
        <f>10.6</f>
        <v>10.6</v>
      </c>
      <c r="T373">
        <f>8.4</f>
        <v>8.4</v>
      </c>
      <c r="U373">
        <f>208</f>
        <v>208</v>
      </c>
      <c r="V373" t="s">
        <v>192</v>
      </c>
      <c r="X373">
        <f>1</f>
        <v>1</v>
      </c>
      <c r="Y373">
        <f>0.19</f>
        <v>0.19</v>
      </c>
      <c r="Z373">
        <f>0</f>
        <v>0</v>
      </c>
      <c r="AA373">
        <f>0</f>
        <v>0</v>
      </c>
      <c r="AB373">
        <f>0</f>
        <v>0</v>
      </c>
      <c r="AC373">
        <f>0</f>
        <v>0</v>
      </c>
      <c r="AD373">
        <f>0</f>
        <v>0</v>
      </c>
      <c r="AE373">
        <f>0</f>
        <v>0</v>
      </c>
      <c r="AG373" t="s">
        <v>220</v>
      </c>
      <c r="AH373">
        <f>0.52</f>
        <v>0.52</v>
      </c>
      <c r="AK373" t="s">
        <v>285</v>
      </c>
      <c r="AL373" t="s">
        <v>181</v>
      </c>
      <c r="AM373">
        <f>2.6</f>
        <v>2.6</v>
      </c>
      <c r="AN373">
        <f>0.05</f>
        <v>0.05</v>
      </c>
      <c r="AO373">
        <f>1.6</f>
        <v>1.6</v>
      </c>
      <c r="AP373">
        <f>1.7</f>
        <v>1.7</v>
      </c>
      <c r="AQ373" t="s">
        <v>284</v>
      </c>
      <c r="FB373">
        <f>12</f>
        <v>12</v>
      </c>
      <c r="FC373" t="s">
        <v>193</v>
      </c>
      <c r="FD373">
        <f>1.5</f>
        <v>1.5</v>
      </c>
      <c r="FE373" t="s">
        <v>193</v>
      </c>
      <c r="FH373">
        <f>14</f>
        <v>14</v>
      </c>
    </row>
    <row r="374" spans="1:164" x14ac:dyDescent="0.25">
      <c r="A374" t="s">
        <v>1562</v>
      </c>
      <c r="B374" t="s">
        <v>170</v>
      </c>
      <c r="C374" s="1">
        <v>46140</v>
      </c>
      <c r="D374" t="s">
        <v>222</v>
      </c>
      <c r="E374" t="s">
        <v>223</v>
      </c>
      <c r="F374" t="s">
        <v>509</v>
      </c>
      <c r="G374" t="s">
        <v>1563</v>
      </c>
      <c r="H374">
        <v>1190</v>
      </c>
      <c r="I374" t="s">
        <v>1563</v>
      </c>
      <c r="J374">
        <v>172</v>
      </c>
      <c r="K374" t="s">
        <v>4492</v>
      </c>
      <c r="L374" t="s">
        <v>1564</v>
      </c>
      <c r="M374" t="s">
        <v>4698</v>
      </c>
      <c r="N374" t="s">
        <v>3381</v>
      </c>
      <c r="O374" t="s">
        <v>1565</v>
      </c>
      <c r="R374">
        <f>1</f>
        <v>1</v>
      </c>
      <c r="S374">
        <f>11</f>
        <v>11</v>
      </c>
      <c r="T374">
        <f>6.6</f>
        <v>6.6</v>
      </c>
      <c r="U374">
        <f>153</f>
        <v>153</v>
      </c>
      <c r="V374">
        <f>0.09</f>
        <v>0.09</v>
      </c>
      <c r="X374">
        <f>1</f>
        <v>1</v>
      </c>
      <c r="Y374" t="s">
        <v>180</v>
      </c>
      <c r="Z374">
        <f>0</f>
        <v>0</v>
      </c>
      <c r="AA374" t="s">
        <v>179</v>
      </c>
      <c r="AB374" t="s">
        <v>179</v>
      </c>
      <c r="AD374">
        <f>0</f>
        <v>0</v>
      </c>
      <c r="AE374">
        <f>0</f>
        <v>0</v>
      </c>
      <c r="AG374" t="s">
        <v>180</v>
      </c>
      <c r="AH374" t="s">
        <v>193</v>
      </c>
      <c r="AK374" t="s">
        <v>181</v>
      </c>
      <c r="AL374" t="s">
        <v>182</v>
      </c>
      <c r="AM374">
        <f>3</f>
        <v>3</v>
      </c>
      <c r="AN374">
        <f>0.06</f>
        <v>0.06</v>
      </c>
      <c r="AO374">
        <f>4.8</f>
        <v>4.8</v>
      </c>
      <c r="AP374">
        <f>21</f>
        <v>21</v>
      </c>
      <c r="AQ374" t="s">
        <v>180</v>
      </c>
      <c r="FB374">
        <f>0.4</f>
        <v>0.4</v>
      </c>
      <c r="FC374">
        <f>0.24</f>
        <v>0.24</v>
      </c>
      <c r="FD374">
        <f>1</f>
        <v>1</v>
      </c>
      <c r="FE374">
        <f>1.1</f>
        <v>1.1000000000000001</v>
      </c>
      <c r="FH374">
        <f>2.7</f>
        <v>2.7</v>
      </c>
    </row>
    <row r="375" spans="1:164" x14ac:dyDescent="0.25">
      <c r="A375" t="s">
        <v>1566</v>
      </c>
      <c r="B375" t="s">
        <v>170</v>
      </c>
      <c r="C375" s="1">
        <v>46090</v>
      </c>
      <c r="D375" t="s">
        <v>251</v>
      </c>
      <c r="E375" t="s">
        <v>252</v>
      </c>
      <c r="F375" t="s">
        <v>4241</v>
      </c>
      <c r="G375" t="s">
        <v>3996</v>
      </c>
      <c r="H375">
        <v>1476</v>
      </c>
      <c r="I375" t="s">
        <v>3996</v>
      </c>
      <c r="J375">
        <v>119</v>
      </c>
      <c r="K375" t="s">
        <v>4492</v>
      </c>
      <c r="M375" t="s">
        <v>1567</v>
      </c>
      <c r="N375" t="s">
        <v>4699</v>
      </c>
      <c r="O375" t="s">
        <v>1568</v>
      </c>
      <c r="Q375" t="s">
        <v>257</v>
      </c>
      <c r="R375">
        <f>1</f>
        <v>1</v>
      </c>
      <c r="S375">
        <f>6.1</f>
        <v>6.1</v>
      </c>
      <c r="T375">
        <f>7.5</f>
        <v>7.5</v>
      </c>
      <c r="U375">
        <f>407</f>
        <v>407</v>
      </c>
      <c r="X375">
        <f>0</f>
        <v>0</v>
      </c>
      <c r="Y375" t="s">
        <v>180</v>
      </c>
      <c r="Z375">
        <f>0</f>
        <v>0</v>
      </c>
      <c r="AA375">
        <f>0</f>
        <v>0</v>
      </c>
      <c r="AB375">
        <f>0</f>
        <v>0</v>
      </c>
      <c r="AD375">
        <f>0</f>
        <v>0</v>
      </c>
      <c r="AE375">
        <f>0</f>
        <v>0</v>
      </c>
      <c r="AG375" t="s">
        <v>180</v>
      </c>
      <c r="AH375" t="s">
        <v>284</v>
      </c>
      <c r="AK375" t="s">
        <v>285</v>
      </c>
      <c r="AL375" t="s">
        <v>286</v>
      </c>
      <c r="AM375">
        <f>2</f>
        <v>2</v>
      </c>
      <c r="AN375">
        <f>0.04</f>
        <v>0.04</v>
      </c>
      <c r="AO375" t="s">
        <v>284</v>
      </c>
      <c r="AP375">
        <f>9.4</f>
        <v>9.4</v>
      </c>
      <c r="AQ375" t="s">
        <v>284</v>
      </c>
    </row>
    <row r="376" spans="1:164" x14ac:dyDescent="0.25">
      <c r="A376" t="s">
        <v>1569</v>
      </c>
      <c r="B376" t="s">
        <v>170</v>
      </c>
      <c r="C376" s="1">
        <v>46098</v>
      </c>
      <c r="D376" t="s">
        <v>251</v>
      </c>
      <c r="E376" t="s">
        <v>252</v>
      </c>
      <c r="F376" t="s">
        <v>1570</v>
      </c>
      <c r="G376" t="s">
        <v>1571</v>
      </c>
      <c r="H376">
        <v>1475</v>
      </c>
      <c r="I376" t="s">
        <v>1571</v>
      </c>
      <c r="J376">
        <v>115</v>
      </c>
      <c r="K376" t="s">
        <v>4492</v>
      </c>
      <c r="M376" t="s">
        <v>1572</v>
      </c>
      <c r="N376" t="s">
        <v>3997</v>
      </c>
      <c r="O376" t="s">
        <v>1573</v>
      </c>
      <c r="Q376" t="s">
        <v>3499</v>
      </c>
      <c r="R376">
        <f>1</f>
        <v>1</v>
      </c>
      <c r="S376">
        <f>10.1</f>
        <v>10.1</v>
      </c>
      <c r="T376">
        <f>7.8</f>
        <v>7.8</v>
      </c>
      <c r="U376">
        <f>255</f>
        <v>255</v>
      </c>
      <c r="X376">
        <f>0</f>
        <v>0</v>
      </c>
      <c r="Y376">
        <f>0.42</f>
        <v>0.42</v>
      </c>
      <c r="Z376">
        <f>0</f>
        <v>0</v>
      </c>
      <c r="AA376">
        <f>0</f>
        <v>0</v>
      </c>
      <c r="AB376">
        <f>0</f>
        <v>0</v>
      </c>
      <c r="AD376">
        <f>0</f>
        <v>0</v>
      </c>
      <c r="AE376">
        <f>0</f>
        <v>0</v>
      </c>
      <c r="AG376" t="s">
        <v>180</v>
      </c>
      <c r="CC376" t="s">
        <v>284</v>
      </c>
    </row>
    <row r="377" spans="1:164" x14ac:dyDescent="0.25">
      <c r="A377" t="s">
        <v>1574</v>
      </c>
      <c r="B377" t="s">
        <v>766</v>
      </c>
      <c r="C377" s="1">
        <v>46084</v>
      </c>
      <c r="D377" t="s">
        <v>238</v>
      </c>
      <c r="E377" t="s">
        <v>239</v>
      </c>
      <c r="F377" t="s">
        <v>240</v>
      </c>
      <c r="G377" t="s">
        <v>3731</v>
      </c>
      <c r="H377">
        <v>1489</v>
      </c>
      <c r="I377" t="s">
        <v>3731</v>
      </c>
      <c r="J377">
        <v>95</v>
      </c>
      <c r="K377" t="s">
        <v>4494</v>
      </c>
      <c r="L377" t="s">
        <v>291</v>
      </c>
      <c r="M377" t="s">
        <v>4700</v>
      </c>
      <c r="N377" t="s">
        <v>3606</v>
      </c>
      <c r="O377" t="s">
        <v>1575</v>
      </c>
      <c r="Q377" t="s">
        <v>3490</v>
      </c>
      <c r="R377">
        <f>1</f>
        <v>1</v>
      </c>
      <c r="S377">
        <f>7.7</f>
        <v>7.7</v>
      </c>
      <c r="T377">
        <f>7.5</f>
        <v>7.5</v>
      </c>
      <c r="U377">
        <f>487</f>
        <v>487</v>
      </c>
      <c r="X377">
        <f>0</f>
        <v>0</v>
      </c>
      <c r="Y377" t="s">
        <v>243</v>
      </c>
      <c r="Z377">
        <f>0</f>
        <v>0</v>
      </c>
      <c r="AA377" t="s">
        <v>179</v>
      </c>
      <c r="AB377" t="s">
        <v>179</v>
      </c>
      <c r="AC377">
        <f>2</f>
        <v>2</v>
      </c>
      <c r="AD377">
        <f>0</f>
        <v>0</v>
      </c>
      <c r="AE377">
        <f>0</f>
        <v>0</v>
      </c>
      <c r="AG377" t="s">
        <v>220</v>
      </c>
    </row>
    <row r="378" spans="1:164" x14ac:dyDescent="0.25">
      <c r="A378" t="s">
        <v>1576</v>
      </c>
      <c r="B378" t="s">
        <v>170</v>
      </c>
      <c r="C378" s="1">
        <v>46090</v>
      </c>
      <c r="D378" t="s">
        <v>302</v>
      </c>
      <c r="E378" t="s">
        <v>303</v>
      </c>
      <c r="F378" t="s">
        <v>509</v>
      </c>
      <c r="G378" t="s">
        <v>3732</v>
      </c>
      <c r="H378">
        <v>1492</v>
      </c>
      <c r="I378" t="s">
        <v>3732</v>
      </c>
      <c r="J378">
        <v>96</v>
      </c>
      <c r="K378" t="s">
        <v>4492</v>
      </c>
      <c r="L378" t="s">
        <v>3331</v>
      </c>
      <c r="M378" t="s">
        <v>1577</v>
      </c>
      <c r="N378" t="s">
        <v>3607</v>
      </c>
      <c r="O378" t="s">
        <v>1578</v>
      </c>
      <c r="R378">
        <f>1</f>
        <v>1</v>
      </c>
      <c r="S378">
        <f>7.9</f>
        <v>7.9</v>
      </c>
      <c r="T378">
        <f>7.5</f>
        <v>7.5</v>
      </c>
      <c r="U378">
        <f>173</f>
        <v>173</v>
      </c>
      <c r="X378">
        <f>0</f>
        <v>0</v>
      </c>
      <c r="Y378" t="s">
        <v>180</v>
      </c>
      <c r="Z378">
        <f>0</f>
        <v>0</v>
      </c>
      <c r="AA378" t="s">
        <v>179</v>
      </c>
      <c r="AB378" t="s">
        <v>179</v>
      </c>
      <c r="AD378">
        <f>0</f>
        <v>0</v>
      </c>
      <c r="AE378">
        <f>0</f>
        <v>0</v>
      </c>
      <c r="AG378" t="s">
        <v>180</v>
      </c>
      <c r="AH378" t="s">
        <v>193</v>
      </c>
      <c r="AK378" t="s">
        <v>181</v>
      </c>
      <c r="AL378" t="s">
        <v>182</v>
      </c>
      <c r="AM378">
        <f>5.3</f>
        <v>5.3</v>
      </c>
      <c r="AN378">
        <f>0.11</f>
        <v>0.11</v>
      </c>
      <c r="AO378">
        <f>5.3</f>
        <v>5.3</v>
      </c>
      <c r="AP378">
        <f>1.3</f>
        <v>1.3</v>
      </c>
      <c r="AQ378" t="s">
        <v>180</v>
      </c>
    </row>
    <row r="379" spans="1:164" x14ac:dyDescent="0.25">
      <c r="A379" t="s">
        <v>1579</v>
      </c>
      <c r="B379" t="s">
        <v>170</v>
      </c>
      <c r="C379" s="1">
        <v>46128</v>
      </c>
      <c r="D379" t="s">
        <v>184</v>
      </c>
      <c r="E379" t="s">
        <v>239</v>
      </c>
      <c r="F379" t="s">
        <v>276</v>
      </c>
      <c r="G379" t="s">
        <v>1580</v>
      </c>
      <c r="H379">
        <v>684</v>
      </c>
      <c r="I379" t="s">
        <v>1580</v>
      </c>
      <c r="J379">
        <v>188</v>
      </c>
      <c r="K379" t="s">
        <v>4492</v>
      </c>
      <c r="L379" t="s">
        <v>3553</v>
      </c>
      <c r="M379" t="s">
        <v>3998</v>
      </c>
      <c r="N379" t="s">
        <v>1581</v>
      </c>
      <c r="O379" t="s">
        <v>1582</v>
      </c>
      <c r="R379">
        <f>1</f>
        <v>1</v>
      </c>
      <c r="S379">
        <f>14.5</f>
        <v>14.5</v>
      </c>
      <c r="T379">
        <f>7.7</f>
        <v>7.7</v>
      </c>
      <c r="U379">
        <f>409</f>
        <v>409</v>
      </c>
      <c r="V379">
        <f>0.14</f>
        <v>0.14000000000000001</v>
      </c>
      <c r="X379">
        <f>0</f>
        <v>0</v>
      </c>
      <c r="Y379" t="s">
        <v>180</v>
      </c>
      <c r="Z379">
        <f>0</f>
        <v>0</v>
      </c>
      <c r="AA379" t="s">
        <v>179</v>
      </c>
      <c r="AB379" t="s">
        <v>179</v>
      </c>
      <c r="AD379">
        <f>0</f>
        <v>0</v>
      </c>
      <c r="AE379">
        <f>0</f>
        <v>0</v>
      </c>
      <c r="AG379" t="s">
        <v>220</v>
      </c>
      <c r="AH379">
        <f>0.53</f>
        <v>0.53</v>
      </c>
      <c r="AK379" t="s">
        <v>286</v>
      </c>
      <c r="AL379">
        <f>0.0017</f>
        <v>1.6999999999999999E-3</v>
      </c>
      <c r="AM379">
        <f>2.2</f>
        <v>2.2000000000000002</v>
      </c>
      <c r="AN379">
        <f>0.045</f>
        <v>4.4999999999999998E-2</v>
      </c>
      <c r="AO379">
        <f>3.9</f>
        <v>3.9</v>
      </c>
      <c r="AP379">
        <f>1.6</f>
        <v>1.6</v>
      </c>
      <c r="AQ379" t="s">
        <v>192</v>
      </c>
      <c r="FB379">
        <f>2.6</f>
        <v>2.6</v>
      </c>
      <c r="FC379" t="s">
        <v>193</v>
      </c>
      <c r="FD379">
        <f>1.4</f>
        <v>1.4</v>
      </c>
      <c r="FE379">
        <f>0.5</f>
        <v>0.5</v>
      </c>
      <c r="FH379">
        <f>4.5</f>
        <v>4.5</v>
      </c>
    </row>
    <row r="380" spans="1:164" x14ac:dyDescent="0.25">
      <c r="A380" t="s">
        <v>1583</v>
      </c>
      <c r="B380" t="s">
        <v>170</v>
      </c>
      <c r="C380" s="1">
        <v>46112</v>
      </c>
      <c r="D380" t="s">
        <v>184</v>
      </c>
      <c r="E380" t="s">
        <v>546</v>
      </c>
      <c r="F380" t="s">
        <v>547</v>
      </c>
      <c r="G380" t="s">
        <v>4355</v>
      </c>
      <c r="H380">
        <v>1517</v>
      </c>
      <c r="I380" t="s">
        <v>4355</v>
      </c>
      <c r="J380">
        <v>200</v>
      </c>
      <c r="K380" t="s">
        <v>4492</v>
      </c>
      <c r="M380" t="s">
        <v>4701</v>
      </c>
      <c r="N380" t="s">
        <v>4702</v>
      </c>
      <c r="O380" t="s">
        <v>1584</v>
      </c>
      <c r="Q380" t="s">
        <v>4703</v>
      </c>
      <c r="R380">
        <f>1</f>
        <v>1</v>
      </c>
      <c r="S380">
        <f>9.1</f>
        <v>9.1</v>
      </c>
      <c r="T380">
        <f>7.5</f>
        <v>7.5</v>
      </c>
      <c r="U380">
        <f>549</f>
        <v>549</v>
      </c>
      <c r="X380">
        <f>0</f>
        <v>0</v>
      </c>
      <c r="Y380" t="s">
        <v>180</v>
      </c>
      <c r="Z380">
        <f>0</f>
        <v>0</v>
      </c>
      <c r="AA380" t="s">
        <v>179</v>
      </c>
      <c r="AB380" t="s">
        <v>179</v>
      </c>
      <c r="AD380">
        <f>0</f>
        <v>0</v>
      </c>
      <c r="AE380">
        <f>0</f>
        <v>0</v>
      </c>
      <c r="AG380" t="s">
        <v>180</v>
      </c>
      <c r="AH380" t="s">
        <v>193</v>
      </c>
      <c r="AK380" t="s">
        <v>181</v>
      </c>
      <c r="AL380" t="s">
        <v>182</v>
      </c>
      <c r="AM380">
        <f>1.8</f>
        <v>1.8</v>
      </c>
      <c r="AN380">
        <f>0.04</f>
        <v>0.04</v>
      </c>
      <c r="AO380">
        <f>7.1</f>
        <v>7.1</v>
      </c>
      <c r="AP380">
        <f>1.7</f>
        <v>1.7</v>
      </c>
      <c r="AQ380" t="s">
        <v>180</v>
      </c>
    </row>
    <row r="381" spans="1:164" x14ac:dyDescent="0.25">
      <c r="A381" t="s">
        <v>1585</v>
      </c>
      <c r="B381" t="s">
        <v>170</v>
      </c>
      <c r="C381" s="1">
        <v>46086</v>
      </c>
      <c r="D381" t="s">
        <v>302</v>
      </c>
      <c r="E381" t="s">
        <v>303</v>
      </c>
      <c r="F381" t="s">
        <v>1586</v>
      </c>
      <c r="G381" t="s">
        <v>1587</v>
      </c>
      <c r="H381">
        <v>1505</v>
      </c>
      <c r="I381" t="s">
        <v>1586</v>
      </c>
      <c r="J381">
        <v>50</v>
      </c>
      <c r="K381" t="s">
        <v>4494</v>
      </c>
      <c r="M381" t="s">
        <v>3382</v>
      </c>
      <c r="N381" t="s">
        <v>3999</v>
      </c>
      <c r="O381" t="s">
        <v>1588</v>
      </c>
      <c r="R381">
        <f>1</f>
        <v>1</v>
      </c>
      <c r="S381">
        <f>7.3</f>
        <v>7.3</v>
      </c>
      <c r="T381">
        <f>6.8</f>
        <v>6.8</v>
      </c>
      <c r="U381">
        <f>56</f>
        <v>56</v>
      </c>
      <c r="X381">
        <f>0</f>
        <v>0</v>
      </c>
      <c r="Y381" t="s">
        <v>180</v>
      </c>
      <c r="Z381">
        <f>0</f>
        <v>0</v>
      </c>
      <c r="AA381" t="s">
        <v>179</v>
      </c>
      <c r="AB381" t="s">
        <v>179</v>
      </c>
      <c r="AC381">
        <f>0</f>
        <v>0</v>
      </c>
      <c r="AD381">
        <f>0</f>
        <v>0</v>
      </c>
      <c r="AE381">
        <f>0</f>
        <v>0</v>
      </c>
      <c r="AG381" t="s">
        <v>180</v>
      </c>
      <c r="CC381" t="s">
        <v>701</v>
      </c>
    </row>
    <row r="382" spans="1:164" x14ac:dyDescent="0.25">
      <c r="A382" t="s">
        <v>1589</v>
      </c>
      <c r="B382" t="s">
        <v>170</v>
      </c>
      <c r="C382" s="1">
        <v>46129</v>
      </c>
      <c r="D382" t="s">
        <v>184</v>
      </c>
      <c r="E382" t="s">
        <v>185</v>
      </c>
      <c r="F382" t="s">
        <v>761</v>
      </c>
      <c r="G382" t="s">
        <v>3383</v>
      </c>
      <c r="H382">
        <v>1522</v>
      </c>
      <c r="I382" t="s">
        <v>3383</v>
      </c>
      <c r="J382">
        <v>264</v>
      </c>
      <c r="K382" t="s">
        <v>4492</v>
      </c>
      <c r="L382" t="s">
        <v>3578</v>
      </c>
      <c r="M382" t="s">
        <v>1590</v>
      </c>
      <c r="N382" t="s">
        <v>3384</v>
      </c>
      <c r="O382" t="s">
        <v>1591</v>
      </c>
      <c r="R382">
        <f>1</f>
        <v>1</v>
      </c>
      <c r="S382">
        <f>10.9</f>
        <v>10.9</v>
      </c>
      <c r="T382">
        <f>7.3</f>
        <v>7.3</v>
      </c>
      <c r="U382">
        <f>227</f>
        <v>227</v>
      </c>
      <c r="V382">
        <f>0.14</f>
        <v>0.14000000000000001</v>
      </c>
      <c r="X382">
        <f>0</f>
        <v>0</v>
      </c>
      <c r="Y382">
        <f>0.1</f>
        <v>0.1</v>
      </c>
      <c r="Z382">
        <f>0</f>
        <v>0</v>
      </c>
      <c r="AA382" t="s">
        <v>179</v>
      </c>
      <c r="AB382" t="s">
        <v>179</v>
      </c>
      <c r="AD382">
        <f>0</f>
        <v>0</v>
      </c>
      <c r="AE382">
        <f>0</f>
        <v>0</v>
      </c>
      <c r="AG382" t="s">
        <v>180</v>
      </c>
      <c r="FB382">
        <f>0.75</f>
        <v>0.75</v>
      </c>
      <c r="FC382" t="s">
        <v>220</v>
      </c>
      <c r="FD382">
        <f>0.72</f>
        <v>0.72</v>
      </c>
      <c r="FE382">
        <f>0.38</f>
        <v>0.38</v>
      </c>
      <c r="FH382">
        <f>1.9</f>
        <v>1.9</v>
      </c>
    </row>
    <row r="383" spans="1:164" x14ac:dyDescent="0.25">
      <c r="A383" t="s">
        <v>1592</v>
      </c>
      <c r="B383" t="s">
        <v>170</v>
      </c>
      <c r="C383" s="1">
        <v>46121</v>
      </c>
      <c r="D383" t="s">
        <v>184</v>
      </c>
      <c r="E383" t="s">
        <v>546</v>
      </c>
      <c r="F383" t="s">
        <v>4000</v>
      </c>
      <c r="G383" t="s">
        <v>4704</v>
      </c>
      <c r="H383">
        <v>1524</v>
      </c>
      <c r="I383" t="s">
        <v>4704</v>
      </c>
      <c r="J383">
        <v>241</v>
      </c>
      <c r="K383" t="s">
        <v>4494</v>
      </c>
      <c r="M383" t="s">
        <v>4573</v>
      </c>
      <c r="N383" t="s">
        <v>4001</v>
      </c>
      <c r="O383" t="s">
        <v>1593</v>
      </c>
      <c r="R383">
        <f>1</f>
        <v>1</v>
      </c>
      <c r="S383">
        <f>12.2</f>
        <v>12.2</v>
      </c>
      <c r="T383">
        <f>7.5</f>
        <v>7.5</v>
      </c>
      <c r="U383">
        <f>411</f>
        <v>411</v>
      </c>
      <c r="X383">
        <f>0</f>
        <v>0</v>
      </c>
      <c r="Y383" t="s">
        <v>180</v>
      </c>
      <c r="Z383">
        <f>0</f>
        <v>0</v>
      </c>
      <c r="AA383" t="s">
        <v>179</v>
      </c>
      <c r="AB383" t="s">
        <v>179</v>
      </c>
      <c r="AC383">
        <f>0</f>
        <v>0</v>
      </c>
      <c r="AD383">
        <f>0</f>
        <v>0</v>
      </c>
      <c r="AE383">
        <f>0</f>
        <v>0</v>
      </c>
      <c r="AG383" t="s">
        <v>180</v>
      </c>
      <c r="AH383">
        <f>1.3</f>
        <v>1.3</v>
      </c>
      <c r="AK383" t="s">
        <v>181</v>
      </c>
      <c r="AL383" t="s">
        <v>182</v>
      </c>
      <c r="AM383">
        <f>6.6</f>
        <v>6.6</v>
      </c>
      <c r="AN383">
        <f>0.13</f>
        <v>0.13</v>
      </c>
      <c r="AO383">
        <f>9.5</f>
        <v>9.5</v>
      </c>
      <c r="AP383">
        <f>12</f>
        <v>12</v>
      </c>
      <c r="AQ383" t="s">
        <v>180</v>
      </c>
      <c r="CC383" t="s">
        <v>701</v>
      </c>
    </row>
    <row r="384" spans="1:164" x14ac:dyDescent="0.25">
      <c r="A384" t="s">
        <v>1594</v>
      </c>
      <c r="B384" t="s">
        <v>170</v>
      </c>
      <c r="C384" s="1">
        <v>46094</v>
      </c>
      <c r="D384" t="s">
        <v>302</v>
      </c>
      <c r="E384" t="s">
        <v>303</v>
      </c>
      <c r="F384" t="s">
        <v>938</v>
      </c>
      <c r="G384" t="s">
        <v>1595</v>
      </c>
      <c r="H384">
        <v>1245</v>
      </c>
      <c r="I384" t="s">
        <v>1595</v>
      </c>
      <c r="J384">
        <v>50</v>
      </c>
      <c r="K384" t="s">
        <v>4494</v>
      </c>
      <c r="L384" t="s">
        <v>271</v>
      </c>
      <c r="M384" t="s">
        <v>4705</v>
      </c>
      <c r="N384" t="s">
        <v>1596</v>
      </c>
      <c r="O384" t="s">
        <v>1597</v>
      </c>
      <c r="R384">
        <f>1</f>
        <v>1</v>
      </c>
      <c r="S384">
        <f>9.6</f>
        <v>9.6</v>
      </c>
      <c r="T384">
        <f>6.5</f>
        <v>6.5</v>
      </c>
      <c r="U384">
        <f>161</f>
        <v>161</v>
      </c>
      <c r="X384">
        <f>0</f>
        <v>0</v>
      </c>
      <c r="Y384" t="s">
        <v>180</v>
      </c>
      <c r="Z384">
        <f>0</f>
        <v>0</v>
      </c>
      <c r="AA384" t="s">
        <v>179</v>
      </c>
      <c r="AB384" t="s">
        <v>179</v>
      </c>
      <c r="AC384">
        <f>0</f>
        <v>0</v>
      </c>
      <c r="AD384">
        <f>0</f>
        <v>0</v>
      </c>
      <c r="AE384">
        <f>0</f>
        <v>0</v>
      </c>
      <c r="AG384" t="s">
        <v>180</v>
      </c>
    </row>
    <row r="385" spans="1:81" x14ac:dyDescent="0.25">
      <c r="A385" t="s">
        <v>1598</v>
      </c>
      <c r="B385" t="s">
        <v>170</v>
      </c>
      <c r="C385" s="1">
        <v>46134</v>
      </c>
      <c r="D385" t="s">
        <v>216</v>
      </c>
      <c r="E385" t="s">
        <v>217</v>
      </c>
      <c r="F385" t="s">
        <v>368</v>
      </c>
      <c r="G385" t="s">
        <v>4356</v>
      </c>
      <c r="H385">
        <v>401</v>
      </c>
      <c r="I385" t="s">
        <v>4356</v>
      </c>
      <c r="J385">
        <v>98</v>
      </c>
      <c r="K385" t="s">
        <v>4494</v>
      </c>
      <c r="L385" t="s">
        <v>369</v>
      </c>
      <c r="M385" t="s">
        <v>4632</v>
      </c>
      <c r="N385" t="s">
        <v>4706</v>
      </c>
      <c r="O385" t="s">
        <v>1599</v>
      </c>
      <c r="R385">
        <f>1</f>
        <v>1</v>
      </c>
      <c r="S385">
        <f>14.1</f>
        <v>14.1</v>
      </c>
      <c r="T385">
        <f>8</f>
        <v>8</v>
      </c>
      <c r="U385">
        <f>225</f>
        <v>225</v>
      </c>
      <c r="V385">
        <f>0.11</f>
        <v>0.11</v>
      </c>
      <c r="X385">
        <f>1</f>
        <v>1</v>
      </c>
      <c r="Y385">
        <f>0.24</f>
        <v>0.24</v>
      </c>
      <c r="Z385">
        <f>0</f>
        <v>0</v>
      </c>
      <c r="AA385">
        <f>0</f>
        <v>0</v>
      </c>
      <c r="AB385">
        <f>0</f>
        <v>0</v>
      </c>
      <c r="AC385">
        <f>0</f>
        <v>0</v>
      </c>
      <c r="AD385">
        <f>0</f>
        <v>0</v>
      </c>
      <c r="AE385">
        <f>0</f>
        <v>0</v>
      </c>
      <c r="AG385" t="s">
        <v>220</v>
      </c>
      <c r="AH385" t="s">
        <v>411</v>
      </c>
      <c r="AK385" t="s">
        <v>285</v>
      </c>
      <c r="AL385" t="s">
        <v>181</v>
      </c>
      <c r="AM385">
        <f>4.6</f>
        <v>4.5999999999999996</v>
      </c>
      <c r="AN385">
        <f>0.09</f>
        <v>0.09</v>
      </c>
      <c r="AO385">
        <f>5.7</f>
        <v>5.7</v>
      </c>
      <c r="AP385">
        <f>1</f>
        <v>1</v>
      </c>
      <c r="AQ385" t="s">
        <v>284</v>
      </c>
    </row>
    <row r="386" spans="1:81" x14ac:dyDescent="0.25">
      <c r="A386" t="s">
        <v>1600</v>
      </c>
      <c r="B386" t="s">
        <v>170</v>
      </c>
      <c r="C386" s="1">
        <v>46125</v>
      </c>
      <c r="D386" t="s">
        <v>216</v>
      </c>
      <c r="E386" t="s">
        <v>217</v>
      </c>
      <c r="F386" t="s">
        <v>368</v>
      </c>
      <c r="G386" t="s">
        <v>4357</v>
      </c>
      <c r="H386">
        <v>422</v>
      </c>
      <c r="I386" t="s">
        <v>4357</v>
      </c>
      <c r="J386">
        <v>89</v>
      </c>
      <c r="K386" t="s">
        <v>4494</v>
      </c>
      <c r="L386" t="s">
        <v>266</v>
      </c>
      <c r="M386" t="s">
        <v>4707</v>
      </c>
      <c r="N386" t="s">
        <v>3385</v>
      </c>
      <c r="O386" t="s">
        <v>1601</v>
      </c>
      <c r="R386">
        <f>1</f>
        <v>1</v>
      </c>
      <c r="S386">
        <f>12.6</f>
        <v>12.6</v>
      </c>
      <c r="T386">
        <f>8.4</f>
        <v>8.4</v>
      </c>
      <c r="U386">
        <f>250</f>
        <v>250</v>
      </c>
      <c r="V386">
        <f>0.1</f>
        <v>0.1</v>
      </c>
      <c r="X386">
        <f>1</f>
        <v>1</v>
      </c>
      <c r="Y386">
        <f>0.22</f>
        <v>0.22</v>
      </c>
      <c r="Z386">
        <f>0</f>
        <v>0</v>
      </c>
      <c r="AA386">
        <f>1</f>
        <v>1</v>
      </c>
      <c r="AB386">
        <f>0</f>
        <v>0</v>
      </c>
      <c r="AC386">
        <f>0</f>
        <v>0</v>
      </c>
      <c r="AD386">
        <f>0</f>
        <v>0</v>
      </c>
      <c r="AE386">
        <f>0</f>
        <v>0</v>
      </c>
      <c r="AG386" t="s">
        <v>220</v>
      </c>
    </row>
    <row r="387" spans="1:81" x14ac:dyDescent="0.25">
      <c r="A387" t="s">
        <v>1602</v>
      </c>
      <c r="B387" t="s">
        <v>170</v>
      </c>
      <c r="C387" s="1">
        <v>46084</v>
      </c>
      <c r="D387" t="s">
        <v>238</v>
      </c>
      <c r="E387" t="s">
        <v>239</v>
      </c>
      <c r="F387" t="s">
        <v>240</v>
      </c>
      <c r="G387" t="s">
        <v>1603</v>
      </c>
      <c r="H387">
        <v>1539</v>
      </c>
      <c r="I387" t="s">
        <v>1603</v>
      </c>
      <c r="J387">
        <v>173</v>
      </c>
      <c r="K387" t="s">
        <v>4494</v>
      </c>
      <c r="L387" t="s">
        <v>266</v>
      </c>
      <c r="M387" t="s">
        <v>1604</v>
      </c>
      <c r="N387" t="s">
        <v>4002</v>
      </c>
      <c r="O387" t="s">
        <v>1605</v>
      </c>
      <c r="R387">
        <f>1</f>
        <v>1</v>
      </c>
      <c r="S387">
        <f>11</f>
        <v>11</v>
      </c>
      <c r="T387">
        <f>7.5</f>
        <v>7.5</v>
      </c>
      <c r="U387">
        <f>545</f>
        <v>545</v>
      </c>
      <c r="V387">
        <f>0.23</f>
        <v>0.23</v>
      </c>
      <c r="X387">
        <f>0</f>
        <v>0</v>
      </c>
      <c r="Y387">
        <f>0.35</f>
        <v>0.35</v>
      </c>
      <c r="Z387">
        <f>0</f>
        <v>0</v>
      </c>
      <c r="AA387" t="s">
        <v>179</v>
      </c>
      <c r="AB387" t="s">
        <v>179</v>
      </c>
      <c r="AC387">
        <f>0</f>
        <v>0</v>
      </c>
      <c r="AD387">
        <f>0</f>
        <v>0</v>
      </c>
      <c r="AE387">
        <f>0</f>
        <v>0</v>
      </c>
      <c r="AG387" t="s">
        <v>220</v>
      </c>
      <c r="AH387">
        <f>0.35</f>
        <v>0.35</v>
      </c>
      <c r="AK387" t="s">
        <v>286</v>
      </c>
      <c r="AL387">
        <f>0.0072</f>
        <v>7.1999999999999998E-3</v>
      </c>
      <c r="AM387">
        <f>3.2</f>
        <v>3.2</v>
      </c>
      <c r="AN387">
        <f>0.066</f>
        <v>6.6000000000000003E-2</v>
      </c>
      <c r="AO387">
        <f>8.5</f>
        <v>8.5</v>
      </c>
      <c r="AP387">
        <f>2.6</f>
        <v>2.6</v>
      </c>
      <c r="AQ387">
        <f>0.054</f>
        <v>5.3999999999999999E-2</v>
      </c>
    </row>
    <row r="388" spans="1:81" x14ac:dyDescent="0.25">
      <c r="A388" t="s">
        <v>1606</v>
      </c>
      <c r="B388" t="s">
        <v>170</v>
      </c>
      <c r="C388" s="1">
        <v>46094</v>
      </c>
      <c r="D388" t="s">
        <v>302</v>
      </c>
      <c r="E388" t="s">
        <v>303</v>
      </c>
      <c r="F388" t="s">
        <v>874</v>
      </c>
      <c r="G388" t="s">
        <v>875</v>
      </c>
      <c r="H388">
        <v>1194</v>
      </c>
      <c r="I388" t="s">
        <v>1607</v>
      </c>
      <c r="J388">
        <v>98</v>
      </c>
      <c r="K388" t="s">
        <v>4494</v>
      </c>
      <c r="L388" t="s">
        <v>266</v>
      </c>
      <c r="M388" t="s">
        <v>4003</v>
      </c>
      <c r="N388" t="s">
        <v>3608</v>
      </c>
      <c r="O388" t="s">
        <v>1608</v>
      </c>
      <c r="R388">
        <f>1</f>
        <v>1</v>
      </c>
      <c r="S388">
        <f>11.8</f>
        <v>11.8</v>
      </c>
      <c r="T388">
        <f>6.9</f>
        <v>6.9</v>
      </c>
      <c r="U388">
        <f>140</f>
        <v>140</v>
      </c>
      <c r="V388" t="s">
        <v>192</v>
      </c>
      <c r="X388">
        <f>0</f>
        <v>0</v>
      </c>
      <c r="Y388" t="s">
        <v>180</v>
      </c>
      <c r="Z388">
        <f>0</f>
        <v>0</v>
      </c>
      <c r="AA388">
        <f>10</f>
        <v>10</v>
      </c>
      <c r="AB388">
        <f>28</f>
        <v>28</v>
      </c>
      <c r="AC388">
        <f>0</f>
        <v>0</v>
      </c>
      <c r="AD388">
        <f>0</f>
        <v>0</v>
      </c>
      <c r="AE388">
        <f>0</f>
        <v>0</v>
      </c>
      <c r="AG388" t="s">
        <v>180</v>
      </c>
      <c r="AH388" t="s">
        <v>193</v>
      </c>
      <c r="AK388" t="s">
        <v>181</v>
      </c>
      <c r="AL388" t="s">
        <v>182</v>
      </c>
      <c r="AM388">
        <f>3.2</f>
        <v>3.2</v>
      </c>
      <c r="AN388">
        <f>0.06</f>
        <v>0.06</v>
      </c>
      <c r="AO388">
        <f>3.4</f>
        <v>3.4</v>
      </c>
      <c r="AP388">
        <f>13</f>
        <v>13</v>
      </c>
      <c r="AQ388" t="s">
        <v>180</v>
      </c>
      <c r="CC388">
        <f>0.26</f>
        <v>0.26</v>
      </c>
    </row>
    <row r="389" spans="1:81" x14ac:dyDescent="0.25">
      <c r="A389" t="s">
        <v>1609</v>
      </c>
      <c r="B389" t="s">
        <v>170</v>
      </c>
      <c r="C389" s="1">
        <v>46086</v>
      </c>
      <c r="D389" t="s">
        <v>184</v>
      </c>
      <c r="E389" t="s">
        <v>546</v>
      </c>
      <c r="F389" t="s">
        <v>547</v>
      </c>
      <c r="G389" t="s">
        <v>1610</v>
      </c>
      <c r="H389">
        <v>1543</v>
      </c>
      <c r="I389" t="s">
        <v>1611</v>
      </c>
      <c r="J389">
        <v>240</v>
      </c>
      <c r="K389" t="s">
        <v>4494</v>
      </c>
      <c r="L389" t="s">
        <v>691</v>
      </c>
      <c r="M389" t="s">
        <v>4004</v>
      </c>
      <c r="N389" t="s">
        <v>4708</v>
      </c>
      <c r="O389" t="s">
        <v>1612</v>
      </c>
      <c r="R389">
        <f>1</f>
        <v>1</v>
      </c>
      <c r="S389">
        <f>8.6</f>
        <v>8.6</v>
      </c>
      <c r="T389">
        <f>7.4</f>
        <v>7.4</v>
      </c>
      <c r="U389">
        <f>612</f>
        <v>612</v>
      </c>
      <c r="V389">
        <f>0.12</f>
        <v>0.12</v>
      </c>
      <c r="X389">
        <f>0</f>
        <v>0</v>
      </c>
      <c r="Y389" t="s">
        <v>180</v>
      </c>
      <c r="Z389">
        <f>0</f>
        <v>0</v>
      </c>
      <c r="AA389">
        <f>37</f>
        <v>37</v>
      </c>
      <c r="AB389">
        <f>29</f>
        <v>29</v>
      </c>
      <c r="AC389">
        <f>0</f>
        <v>0</v>
      </c>
      <c r="AD389">
        <f>0</f>
        <v>0</v>
      </c>
      <c r="AE389">
        <f>0</f>
        <v>0</v>
      </c>
      <c r="AG389" t="s">
        <v>180</v>
      </c>
    </row>
    <row r="390" spans="1:81" x14ac:dyDescent="0.25">
      <c r="A390" t="s">
        <v>1613</v>
      </c>
      <c r="B390" t="s">
        <v>170</v>
      </c>
      <c r="C390" s="1">
        <v>46090</v>
      </c>
      <c r="D390" t="s">
        <v>222</v>
      </c>
      <c r="E390" t="s">
        <v>260</v>
      </c>
      <c r="F390" t="s">
        <v>518</v>
      </c>
      <c r="G390" t="s">
        <v>3733</v>
      </c>
      <c r="H390">
        <v>1544</v>
      </c>
      <c r="I390" t="s">
        <v>3733</v>
      </c>
      <c r="J390">
        <v>170</v>
      </c>
      <c r="K390" t="s">
        <v>4494</v>
      </c>
      <c r="L390" t="s">
        <v>266</v>
      </c>
      <c r="M390" t="s">
        <v>1614</v>
      </c>
      <c r="N390" t="s">
        <v>3734</v>
      </c>
      <c r="O390" t="s">
        <v>1615</v>
      </c>
      <c r="R390">
        <f>1</f>
        <v>1</v>
      </c>
      <c r="S390">
        <f>9.9</f>
        <v>9.9</v>
      </c>
      <c r="T390">
        <f>7.8</f>
        <v>7.8</v>
      </c>
      <c r="U390">
        <f>537</f>
        <v>537</v>
      </c>
      <c r="V390">
        <f>0.23</f>
        <v>0.23</v>
      </c>
      <c r="X390">
        <f>1</f>
        <v>1</v>
      </c>
      <c r="Y390" t="s">
        <v>180</v>
      </c>
      <c r="Z390">
        <f>0</f>
        <v>0</v>
      </c>
      <c r="AA390" t="s">
        <v>179</v>
      </c>
      <c r="AB390" t="s">
        <v>179</v>
      </c>
      <c r="AC390">
        <f>0</f>
        <v>0</v>
      </c>
      <c r="AD390">
        <f>0</f>
        <v>0</v>
      </c>
      <c r="AE390">
        <f>0</f>
        <v>0</v>
      </c>
      <c r="AG390" t="s">
        <v>180</v>
      </c>
    </row>
    <row r="391" spans="1:81" x14ac:dyDescent="0.25">
      <c r="A391" t="s">
        <v>1616</v>
      </c>
      <c r="B391" t="s">
        <v>170</v>
      </c>
      <c r="C391" s="1">
        <v>46091</v>
      </c>
      <c r="D391" t="s">
        <v>184</v>
      </c>
      <c r="E391" t="s">
        <v>185</v>
      </c>
      <c r="F391" t="s">
        <v>761</v>
      </c>
      <c r="G391" t="s">
        <v>1617</v>
      </c>
      <c r="H391">
        <v>1081</v>
      </c>
      <c r="I391" t="s">
        <v>1617</v>
      </c>
      <c r="J391">
        <v>305</v>
      </c>
      <c r="K391" t="s">
        <v>4492</v>
      </c>
      <c r="L391" t="s">
        <v>3567</v>
      </c>
      <c r="M391" t="s">
        <v>4709</v>
      </c>
      <c r="N391" t="s">
        <v>4710</v>
      </c>
      <c r="O391" t="s">
        <v>1618</v>
      </c>
      <c r="R391">
        <f>1</f>
        <v>1</v>
      </c>
      <c r="S391">
        <f>9.3</f>
        <v>9.3000000000000007</v>
      </c>
      <c r="T391">
        <f>7.5</f>
        <v>7.5</v>
      </c>
      <c r="U391">
        <f>340</f>
        <v>340</v>
      </c>
      <c r="X391">
        <f>0</f>
        <v>0</v>
      </c>
      <c r="Y391">
        <f>0.1</f>
        <v>0.1</v>
      </c>
      <c r="Z391">
        <f>0</f>
        <v>0</v>
      </c>
      <c r="AA391" t="s">
        <v>179</v>
      </c>
      <c r="AB391" t="s">
        <v>179</v>
      </c>
      <c r="AD391">
        <f>0</f>
        <v>0</v>
      </c>
      <c r="AE391">
        <f>0</f>
        <v>0</v>
      </c>
      <c r="AG391" t="s">
        <v>180</v>
      </c>
    </row>
    <row r="392" spans="1:81" x14ac:dyDescent="0.25">
      <c r="A392" t="s">
        <v>1619</v>
      </c>
      <c r="B392" t="s">
        <v>170</v>
      </c>
      <c r="C392" s="1">
        <v>46121</v>
      </c>
      <c r="D392" t="s">
        <v>216</v>
      </c>
      <c r="E392" t="s">
        <v>217</v>
      </c>
      <c r="F392" t="s">
        <v>3327</v>
      </c>
      <c r="G392" t="s">
        <v>1620</v>
      </c>
      <c r="H392">
        <v>1291</v>
      </c>
      <c r="I392" t="s">
        <v>1621</v>
      </c>
      <c r="J392">
        <v>96</v>
      </c>
      <c r="K392" t="s">
        <v>4494</v>
      </c>
      <c r="L392" t="s">
        <v>266</v>
      </c>
      <c r="M392" t="s">
        <v>1622</v>
      </c>
      <c r="N392" t="s">
        <v>1623</v>
      </c>
      <c r="O392" t="s">
        <v>1624</v>
      </c>
      <c r="Q392" t="s">
        <v>1625</v>
      </c>
      <c r="R392">
        <f>1</f>
        <v>1</v>
      </c>
      <c r="S392">
        <f>9.4</f>
        <v>9.4</v>
      </c>
      <c r="T392">
        <f>8.1</f>
        <v>8.1</v>
      </c>
      <c r="U392">
        <f>238</f>
        <v>238</v>
      </c>
      <c r="V392">
        <f>0.15</f>
        <v>0.15</v>
      </c>
      <c r="X392">
        <f>1</f>
        <v>1</v>
      </c>
      <c r="Y392">
        <f>0.12</f>
        <v>0.12</v>
      </c>
      <c r="Z392">
        <f>0</f>
        <v>0</v>
      </c>
      <c r="AA392">
        <f>0</f>
        <v>0</v>
      </c>
      <c r="AB392">
        <f>0</f>
        <v>0</v>
      </c>
      <c r="AC392">
        <f>0</f>
        <v>0</v>
      </c>
      <c r="AD392">
        <f>0</f>
        <v>0</v>
      </c>
      <c r="AE392">
        <f>0</f>
        <v>0</v>
      </c>
      <c r="AG392" t="s">
        <v>220</v>
      </c>
      <c r="AH392">
        <f>0.44</f>
        <v>0.44</v>
      </c>
      <c r="AK392" t="s">
        <v>285</v>
      </c>
      <c r="AL392" t="s">
        <v>181</v>
      </c>
      <c r="AM392">
        <f>5</f>
        <v>5</v>
      </c>
      <c r="AN392">
        <f>0.1</f>
        <v>0.1</v>
      </c>
      <c r="AO392">
        <f>5</f>
        <v>5</v>
      </c>
      <c r="AP392">
        <f>2.3</f>
        <v>2.2999999999999998</v>
      </c>
      <c r="AQ392" t="s">
        <v>284</v>
      </c>
    </row>
    <row r="393" spans="1:81" x14ac:dyDescent="0.25">
      <c r="A393" t="s">
        <v>1626</v>
      </c>
      <c r="B393" t="s">
        <v>170</v>
      </c>
      <c r="C393" s="1">
        <v>46090</v>
      </c>
      <c r="D393" t="s">
        <v>251</v>
      </c>
      <c r="E393" t="s">
        <v>252</v>
      </c>
      <c r="F393" t="s">
        <v>4241</v>
      </c>
      <c r="G393" t="s">
        <v>1627</v>
      </c>
      <c r="H393">
        <v>1102</v>
      </c>
      <c r="I393" t="s">
        <v>1627</v>
      </c>
      <c r="J393">
        <v>156</v>
      </c>
      <c r="K393" t="s">
        <v>4492</v>
      </c>
      <c r="L393" t="s">
        <v>271</v>
      </c>
      <c r="M393" t="s">
        <v>1628</v>
      </c>
      <c r="N393" t="s">
        <v>1629</v>
      </c>
      <c r="O393" t="s">
        <v>1630</v>
      </c>
      <c r="Q393" t="s">
        <v>257</v>
      </c>
      <c r="R393">
        <f>1</f>
        <v>1</v>
      </c>
      <c r="S393">
        <f>8.4</f>
        <v>8.4</v>
      </c>
      <c r="T393">
        <f>7.6</f>
        <v>7.6</v>
      </c>
      <c r="U393">
        <f>288</f>
        <v>288</v>
      </c>
      <c r="X393">
        <f>0</f>
        <v>0</v>
      </c>
      <c r="Y393">
        <f>0.12</f>
        <v>0.12</v>
      </c>
      <c r="Z393">
        <f>0</f>
        <v>0</v>
      </c>
      <c r="AA393">
        <f>8</f>
        <v>8</v>
      </c>
      <c r="AB393">
        <f>0</f>
        <v>0</v>
      </c>
      <c r="AD393">
        <f>0</f>
        <v>0</v>
      </c>
      <c r="AE393">
        <f>0</f>
        <v>0</v>
      </c>
      <c r="AG393" t="s">
        <v>180</v>
      </c>
      <c r="AH393" t="s">
        <v>284</v>
      </c>
      <c r="AK393" t="s">
        <v>285</v>
      </c>
      <c r="AL393" t="s">
        <v>286</v>
      </c>
      <c r="AM393">
        <f>2.7</f>
        <v>2.7</v>
      </c>
      <c r="AN393">
        <f>0.054</f>
        <v>5.3999999999999999E-2</v>
      </c>
      <c r="AO393">
        <f>1.8</f>
        <v>1.8</v>
      </c>
      <c r="AP393">
        <f>4.4</f>
        <v>4.4000000000000004</v>
      </c>
      <c r="AQ393" t="s">
        <v>284</v>
      </c>
    </row>
    <row r="394" spans="1:81" x14ac:dyDescent="0.25">
      <c r="A394" t="s">
        <v>1631</v>
      </c>
      <c r="B394" t="s">
        <v>170</v>
      </c>
      <c r="C394" s="1">
        <v>46090</v>
      </c>
      <c r="D394" t="s">
        <v>184</v>
      </c>
      <c r="E394" t="s">
        <v>448</v>
      </c>
      <c r="F394" t="s">
        <v>558</v>
      </c>
      <c r="G394" t="s">
        <v>1632</v>
      </c>
      <c r="H394">
        <v>1066</v>
      </c>
      <c r="I394" t="s">
        <v>1632</v>
      </c>
      <c r="J394">
        <v>208</v>
      </c>
      <c r="K394" t="s">
        <v>4494</v>
      </c>
      <c r="L394" t="s">
        <v>266</v>
      </c>
      <c r="M394" t="s">
        <v>4711</v>
      </c>
      <c r="N394" t="s">
        <v>1633</v>
      </c>
      <c r="O394" t="s">
        <v>1634</v>
      </c>
      <c r="R394">
        <f>1</f>
        <v>1</v>
      </c>
      <c r="S394">
        <f>9.1</f>
        <v>9.1</v>
      </c>
      <c r="T394">
        <f>7.5</f>
        <v>7.5</v>
      </c>
      <c r="U394">
        <f>442</f>
        <v>442</v>
      </c>
      <c r="V394" t="s">
        <v>258</v>
      </c>
      <c r="X394">
        <f>0</f>
        <v>0</v>
      </c>
      <c r="Y394" t="s">
        <v>180</v>
      </c>
      <c r="Z394">
        <f>0</f>
        <v>0</v>
      </c>
      <c r="AA394" t="s">
        <v>179</v>
      </c>
      <c r="AB394" t="s">
        <v>179</v>
      </c>
      <c r="AC394">
        <f>0</f>
        <v>0</v>
      </c>
      <c r="AD394">
        <f>0</f>
        <v>0</v>
      </c>
      <c r="AE394">
        <f>0</f>
        <v>0</v>
      </c>
      <c r="AG394" t="s">
        <v>180</v>
      </c>
      <c r="AH394" t="s">
        <v>193</v>
      </c>
      <c r="AK394" t="s">
        <v>181</v>
      </c>
      <c r="AL394" t="s">
        <v>182</v>
      </c>
      <c r="AM394">
        <f>4.9</f>
        <v>4.9000000000000004</v>
      </c>
      <c r="AN394">
        <f>0.1</f>
        <v>0.1</v>
      </c>
      <c r="AO394">
        <f>4.1</f>
        <v>4.0999999999999996</v>
      </c>
      <c r="AP394">
        <f>1.9</f>
        <v>1.9</v>
      </c>
      <c r="AQ394" t="s">
        <v>180</v>
      </c>
    </row>
    <row r="395" spans="1:81" x14ac:dyDescent="0.25">
      <c r="A395" t="s">
        <v>1635</v>
      </c>
      <c r="B395" t="s">
        <v>170</v>
      </c>
      <c r="C395" s="1">
        <v>46125</v>
      </c>
      <c r="D395" t="s">
        <v>184</v>
      </c>
      <c r="E395" t="s">
        <v>185</v>
      </c>
      <c r="F395" t="s">
        <v>1002</v>
      </c>
      <c r="G395" t="s">
        <v>4358</v>
      </c>
      <c r="H395">
        <v>221</v>
      </c>
      <c r="I395" t="s">
        <v>4358</v>
      </c>
      <c r="J395">
        <v>205</v>
      </c>
      <c r="K395" t="s">
        <v>4492</v>
      </c>
      <c r="L395" t="s">
        <v>1528</v>
      </c>
      <c r="M395" t="s">
        <v>4712</v>
      </c>
      <c r="N395" t="s">
        <v>4713</v>
      </c>
      <c r="O395" t="s">
        <v>1636</v>
      </c>
      <c r="Q395" t="s">
        <v>4714</v>
      </c>
      <c r="R395">
        <f>1</f>
        <v>1</v>
      </c>
      <c r="S395">
        <f>10.8</f>
        <v>10.8</v>
      </c>
      <c r="T395">
        <f>7.5</f>
        <v>7.5</v>
      </c>
      <c r="U395">
        <f>104</f>
        <v>104</v>
      </c>
      <c r="X395">
        <f>0</f>
        <v>0</v>
      </c>
      <c r="Y395">
        <f>0.1</f>
        <v>0.1</v>
      </c>
      <c r="Z395">
        <f>0</f>
        <v>0</v>
      </c>
      <c r="AA395" t="s">
        <v>179</v>
      </c>
      <c r="AB395" t="s">
        <v>179</v>
      </c>
      <c r="AD395">
        <f>0</f>
        <v>0</v>
      </c>
      <c r="AE395">
        <f>0</f>
        <v>0</v>
      </c>
      <c r="AG395" t="s">
        <v>180</v>
      </c>
    </row>
    <row r="396" spans="1:81" x14ac:dyDescent="0.25">
      <c r="A396" t="s">
        <v>1637</v>
      </c>
      <c r="B396" t="s">
        <v>170</v>
      </c>
      <c r="C396" s="1">
        <v>46132</v>
      </c>
      <c r="D396" t="s">
        <v>222</v>
      </c>
      <c r="E396" t="s">
        <v>260</v>
      </c>
      <c r="F396" t="s">
        <v>518</v>
      </c>
      <c r="G396" t="s">
        <v>1638</v>
      </c>
      <c r="H396">
        <v>1580</v>
      </c>
      <c r="I396" t="s">
        <v>1638</v>
      </c>
      <c r="J396">
        <v>129</v>
      </c>
      <c r="K396" t="s">
        <v>4492</v>
      </c>
      <c r="L396" t="s">
        <v>266</v>
      </c>
      <c r="M396" t="s">
        <v>1639</v>
      </c>
      <c r="N396" t="s">
        <v>1640</v>
      </c>
      <c r="O396" t="s">
        <v>1641</v>
      </c>
      <c r="R396">
        <f>1</f>
        <v>1</v>
      </c>
      <c r="S396">
        <f>14</f>
        <v>14</v>
      </c>
      <c r="T396">
        <f>7.7</f>
        <v>7.7</v>
      </c>
      <c r="U396">
        <f>468</f>
        <v>468</v>
      </c>
      <c r="V396">
        <f>0.29</f>
        <v>0.28999999999999998</v>
      </c>
      <c r="X396">
        <f>0</f>
        <v>0</v>
      </c>
      <c r="Y396">
        <f>0.53</f>
        <v>0.53</v>
      </c>
      <c r="Z396">
        <f>0</f>
        <v>0</v>
      </c>
      <c r="AA396">
        <f>13</f>
        <v>13</v>
      </c>
      <c r="AB396" t="s">
        <v>179</v>
      </c>
      <c r="AD396">
        <f>0</f>
        <v>0</v>
      </c>
      <c r="AE396">
        <f>0</f>
        <v>0</v>
      </c>
      <c r="AG396" t="s">
        <v>180</v>
      </c>
      <c r="AH396" t="s">
        <v>193</v>
      </c>
      <c r="AK396" t="s">
        <v>181</v>
      </c>
      <c r="AL396" t="s">
        <v>182</v>
      </c>
      <c r="AM396">
        <f>7.1</f>
        <v>7.1</v>
      </c>
      <c r="AN396">
        <f>0.14</f>
        <v>0.14000000000000001</v>
      </c>
      <c r="AO396">
        <f>15</f>
        <v>15</v>
      </c>
      <c r="AP396">
        <f>18</f>
        <v>18</v>
      </c>
      <c r="AQ396" t="s">
        <v>180</v>
      </c>
    </row>
    <row r="397" spans="1:81" x14ac:dyDescent="0.25">
      <c r="A397" t="s">
        <v>1642</v>
      </c>
      <c r="B397" t="s">
        <v>170</v>
      </c>
      <c r="C397" s="1">
        <v>46091</v>
      </c>
      <c r="D397" t="s">
        <v>184</v>
      </c>
      <c r="E397" t="s">
        <v>185</v>
      </c>
      <c r="F397" t="s">
        <v>419</v>
      </c>
      <c r="G397" t="s">
        <v>4715</v>
      </c>
      <c r="H397">
        <v>1594</v>
      </c>
      <c r="I397" t="s">
        <v>4715</v>
      </c>
      <c r="J397">
        <v>220</v>
      </c>
      <c r="K397" t="s">
        <v>4494</v>
      </c>
      <c r="L397" t="s">
        <v>266</v>
      </c>
      <c r="M397" t="s">
        <v>4573</v>
      </c>
      <c r="N397" t="s">
        <v>1643</v>
      </c>
      <c r="O397" t="s">
        <v>1644</v>
      </c>
      <c r="R397">
        <f>1</f>
        <v>1</v>
      </c>
      <c r="S397">
        <f>11.3</f>
        <v>11.3</v>
      </c>
      <c r="T397">
        <f>7.4</f>
        <v>7.4</v>
      </c>
      <c r="U397">
        <f>539</f>
        <v>539</v>
      </c>
      <c r="V397">
        <f>0.11</f>
        <v>0.11</v>
      </c>
      <c r="X397">
        <f>0</f>
        <v>0</v>
      </c>
      <c r="Y397">
        <f>0.2</f>
        <v>0.2</v>
      </c>
      <c r="Z397">
        <f>0</f>
        <v>0</v>
      </c>
      <c r="AA397" t="s">
        <v>179</v>
      </c>
      <c r="AB397" t="s">
        <v>179</v>
      </c>
      <c r="AC397">
        <f>0</f>
        <v>0</v>
      </c>
      <c r="AD397">
        <f>0</f>
        <v>0</v>
      </c>
      <c r="AE397">
        <f>0</f>
        <v>0</v>
      </c>
      <c r="AG397" t="s">
        <v>180</v>
      </c>
      <c r="CC397">
        <f>0.32</f>
        <v>0.32</v>
      </c>
    </row>
    <row r="398" spans="1:81" x14ac:dyDescent="0.25">
      <c r="A398" t="s">
        <v>1645</v>
      </c>
      <c r="B398" t="s">
        <v>170</v>
      </c>
      <c r="C398" s="1">
        <v>46090</v>
      </c>
      <c r="D398" t="s">
        <v>184</v>
      </c>
      <c r="E398" t="s">
        <v>448</v>
      </c>
      <c r="F398" t="s">
        <v>558</v>
      </c>
      <c r="G398" t="s">
        <v>1646</v>
      </c>
      <c r="H398">
        <v>1555</v>
      </c>
      <c r="I398" t="s">
        <v>1646</v>
      </c>
      <c r="J398">
        <v>243</v>
      </c>
      <c r="K398" t="s">
        <v>4492</v>
      </c>
      <c r="L398" t="s">
        <v>266</v>
      </c>
      <c r="M398" s="2" t="s">
        <v>4716</v>
      </c>
      <c r="N398" t="s">
        <v>3386</v>
      </c>
      <c r="O398" t="s">
        <v>1647</v>
      </c>
      <c r="Q398" t="s">
        <v>3500</v>
      </c>
      <c r="R398">
        <f>1</f>
        <v>1</v>
      </c>
      <c r="S398">
        <f>7.2</f>
        <v>7.2</v>
      </c>
      <c r="T398">
        <f>7.6</f>
        <v>7.6</v>
      </c>
      <c r="U398">
        <f>445</f>
        <v>445</v>
      </c>
      <c r="V398">
        <f>0.18</f>
        <v>0.18</v>
      </c>
      <c r="X398">
        <f>0</f>
        <v>0</v>
      </c>
      <c r="Y398" t="s">
        <v>180</v>
      </c>
      <c r="Z398">
        <f>0</f>
        <v>0</v>
      </c>
      <c r="AA398" t="s">
        <v>179</v>
      </c>
      <c r="AB398" t="s">
        <v>179</v>
      </c>
      <c r="AD398">
        <f>0</f>
        <v>0</v>
      </c>
      <c r="AE398">
        <f>0</f>
        <v>0</v>
      </c>
      <c r="AG398" t="s">
        <v>180</v>
      </c>
      <c r="AH398">
        <f>0.6</f>
        <v>0.6</v>
      </c>
      <c r="AK398" t="s">
        <v>181</v>
      </c>
      <c r="AL398" t="s">
        <v>182</v>
      </c>
      <c r="AM398">
        <f>4.3</f>
        <v>4.3</v>
      </c>
      <c r="AN398">
        <f>0.09</f>
        <v>0.09</v>
      </c>
      <c r="AO398">
        <f>4.4</f>
        <v>4.4000000000000004</v>
      </c>
      <c r="AP398">
        <f>1.8</f>
        <v>1.8</v>
      </c>
      <c r="AQ398" t="s">
        <v>180</v>
      </c>
    </row>
    <row r="399" spans="1:81" x14ac:dyDescent="0.25">
      <c r="A399" t="s">
        <v>1648</v>
      </c>
      <c r="B399" t="s">
        <v>170</v>
      </c>
      <c r="C399" s="1">
        <v>46111</v>
      </c>
      <c r="D399" t="s">
        <v>184</v>
      </c>
      <c r="E399" t="s">
        <v>546</v>
      </c>
      <c r="F399" t="s">
        <v>4005</v>
      </c>
      <c r="G399" t="s">
        <v>4006</v>
      </c>
      <c r="H399">
        <v>1565</v>
      </c>
      <c r="I399" t="s">
        <v>4006</v>
      </c>
      <c r="J399">
        <v>281</v>
      </c>
      <c r="K399" t="s">
        <v>4492</v>
      </c>
      <c r="M399" t="s">
        <v>4007</v>
      </c>
      <c r="N399" t="s">
        <v>4008</v>
      </c>
      <c r="O399" t="s">
        <v>1649</v>
      </c>
      <c r="R399">
        <f>1</f>
        <v>1</v>
      </c>
      <c r="S399">
        <f>8.8</f>
        <v>8.8000000000000007</v>
      </c>
      <c r="T399">
        <f>7.5</f>
        <v>7.5</v>
      </c>
      <c r="U399">
        <f>535</f>
        <v>535</v>
      </c>
      <c r="X399">
        <f>0</f>
        <v>0</v>
      </c>
      <c r="Y399" t="s">
        <v>180</v>
      </c>
      <c r="Z399">
        <f>0</f>
        <v>0</v>
      </c>
      <c r="AA399" t="s">
        <v>179</v>
      </c>
      <c r="AB399" t="s">
        <v>179</v>
      </c>
      <c r="AD399">
        <f>0</f>
        <v>0</v>
      </c>
      <c r="AE399">
        <f>0</f>
        <v>0</v>
      </c>
      <c r="AG399" t="s">
        <v>180</v>
      </c>
    </row>
    <row r="400" spans="1:81" x14ac:dyDescent="0.25">
      <c r="A400" t="s">
        <v>1650</v>
      </c>
      <c r="B400" t="s">
        <v>170</v>
      </c>
      <c r="C400" s="1">
        <v>46090</v>
      </c>
      <c r="D400" t="s">
        <v>184</v>
      </c>
      <c r="E400" t="s">
        <v>546</v>
      </c>
      <c r="F400" t="s">
        <v>1651</v>
      </c>
      <c r="G400" t="s">
        <v>4359</v>
      </c>
      <c r="H400">
        <v>1568</v>
      </c>
      <c r="I400" t="s">
        <v>4359</v>
      </c>
      <c r="J400">
        <v>257</v>
      </c>
      <c r="K400" t="s">
        <v>4492</v>
      </c>
      <c r="M400" t="s">
        <v>1652</v>
      </c>
      <c r="N400" t="s">
        <v>4717</v>
      </c>
      <c r="O400" t="s">
        <v>1653</v>
      </c>
      <c r="R400">
        <f>1</f>
        <v>1</v>
      </c>
      <c r="S400">
        <f>10.1</f>
        <v>10.1</v>
      </c>
      <c r="T400">
        <f>7.1</f>
        <v>7.1</v>
      </c>
      <c r="U400">
        <f>322</f>
        <v>322</v>
      </c>
      <c r="X400">
        <f>0</f>
        <v>0</v>
      </c>
      <c r="Y400" t="s">
        <v>180</v>
      </c>
      <c r="Z400">
        <f>0</f>
        <v>0</v>
      </c>
      <c r="AA400" t="s">
        <v>179</v>
      </c>
      <c r="AB400" t="s">
        <v>179</v>
      </c>
      <c r="AD400">
        <f>0</f>
        <v>0</v>
      </c>
      <c r="AE400">
        <f>0</f>
        <v>0</v>
      </c>
      <c r="AG400" t="s">
        <v>180</v>
      </c>
    </row>
    <row r="401" spans="1:81" x14ac:dyDescent="0.25">
      <c r="A401" t="s">
        <v>1654</v>
      </c>
      <c r="B401" t="s">
        <v>170</v>
      </c>
      <c r="C401" s="1">
        <v>46084</v>
      </c>
      <c r="D401" t="s">
        <v>222</v>
      </c>
      <c r="E401" t="s">
        <v>260</v>
      </c>
      <c r="F401" t="s">
        <v>1655</v>
      </c>
      <c r="G401" t="s">
        <v>1656</v>
      </c>
      <c r="H401">
        <v>1596</v>
      </c>
      <c r="I401" t="s">
        <v>1657</v>
      </c>
      <c r="J401">
        <v>128</v>
      </c>
      <c r="K401" t="s">
        <v>4492</v>
      </c>
      <c r="L401" t="s">
        <v>266</v>
      </c>
      <c r="M401" t="s">
        <v>4718</v>
      </c>
      <c r="N401" t="s">
        <v>1658</v>
      </c>
      <c r="O401" t="s">
        <v>1659</v>
      </c>
      <c r="Q401" t="s">
        <v>1660</v>
      </c>
      <c r="R401">
        <f>1</f>
        <v>1</v>
      </c>
      <c r="S401">
        <f>8</f>
        <v>8</v>
      </c>
      <c r="T401">
        <f>7.5</f>
        <v>7.5</v>
      </c>
      <c r="U401">
        <f>287</f>
        <v>287</v>
      </c>
      <c r="V401">
        <f>0.3</f>
        <v>0.3</v>
      </c>
      <c r="X401">
        <f>0</f>
        <v>0</v>
      </c>
      <c r="Y401">
        <f>0.71</f>
        <v>0.71</v>
      </c>
      <c r="Z401">
        <f>0</f>
        <v>0</v>
      </c>
      <c r="AA401" t="s">
        <v>179</v>
      </c>
      <c r="AB401" t="s">
        <v>179</v>
      </c>
      <c r="AD401">
        <f>0</f>
        <v>0</v>
      </c>
      <c r="AE401">
        <f>0</f>
        <v>0</v>
      </c>
      <c r="AG401" t="s">
        <v>220</v>
      </c>
    </row>
    <row r="402" spans="1:81" x14ac:dyDescent="0.25">
      <c r="A402" t="s">
        <v>1661</v>
      </c>
      <c r="B402" t="s">
        <v>170</v>
      </c>
      <c r="C402" s="1">
        <v>46113</v>
      </c>
      <c r="D402" t="s">
        <v>222</v>
      </c>
      <c r="E402" t="s">
        <v>260</v>
      </c>
      <c r="F402" t="s">
        <v>518</v>
      </c>
      <c r="G402" t="s">
        <v>4009</v>
      </c>
      <c r="H402">
        <v>1418</v>
      </c>
      <c r="I402" t="s">
        <v>4009</v>
      </c>
      <c r="J402">
        <v>175</v>
      </c>
      <c r="K402" t="s">
        <v>4494</v>
      </c>
      <c r="L402" t="s">
        <v>3553</v>
      </c>
      <c r="M402" t="s">
        <v>4719</v>
      </c>
      <c r="N402" t="s">
        <v>1662</v>
      </c>
      <c r="O402" t="s">
        <v>1663</v>
      </c>
      <c r="R402">
        <f>1</f>
        <v>1</v>
      </c>
      <c r="S402">
        <f>10.6</f>
        <v>10.6</v>
      </c>
      <c r="T402">
        <f>8</f>
        <v>8</v>
      </c>
      <c r="U402">
        <f>298</f>
        <v>298</v>
      </c>
      <c r="V402">
        <f>0.06</f>
        <v>0.06</v>
      </c>
      <c r="X402">
        <f>0</f>
        <v>0</v>
      </c>
      <c r="Y402">
        <f>0.3</f>
        <v>0.3</v>
      </c>
      <c r="Z402">
        <f>0</f>
        <v>0</v>
      </c>
      <c r="AA402" t="s">
        <v>179</v>
      </c>
      <c r="AB402" t="s">
        <v>179</v>
      </c>
      <c r="AC402">
        <f>0</f>
        <v>0</v>
      </c>
      <c r="AD402">
        <f>0</f>
        <v>0</v>
      </c>
      <c r="AE402">
        <f>0</f>
        <v>0</v>
      </c>
      <c r="AG402" t="s">
        <v>180</v>
      </c>
      <c r="AH402" t="s">
        <v>193</v>
      </c>
      <c r="AK402" t="s">
        <v>181</v>
      </c>
      <c r="AL402" t="s">
        <v>182</v>
      </c>
      <c r="AM402">
        <f>1.9</f>
        <v>1.9</v>
      </c>
      <c r="AN402">
        <f>0.04</f>
        <v>0.04</v>
      </c>
      <c r="AO402">
        <f>17</f>
        <v>17</v>
      </c>
      <c r="AP402">
        <f>2.3</f>
        <v>2.2999999999999998</v>
      </c>
      <c r="AQ402" t="s">
        <v>180</v>
      </c>
    </row>
    <row r="403" spans="1:81" x14ac:dyDescent="0.25">
      <c r="A403" t="s">
        <v>1664</v>
      </c>
      <c r="B403" t="s">
        <v>170</v>
      </c>
      <c r="C403" s="1">
        <v>46080</v>
      </c>
      <c r="D403" t="s">
        <v>302</v>
      </c>
      <c r="E403" t="s">
        <v>303</v>
      </c>
      <c r="F403" t="s">
        <v>3338</v>
      </c>
      <c r="G403" t="s">
        <v>1665</v>
      </c>
      <c r="H403">
        <v>1558</v>
      </c>
      <c r="I403" t="s">
        <v>1665</v>
      </c>
      <c r="J403">
        <v>5</v>
      </c>
      <c r="K403" t="s">
        <v>4494</v>
      </c>
      <c r="L403" t="s">
        <v>3331</v>
      </c>
      <c r="M403" t="s">
        <v>1666</v>
      </c>
      <c r="N403" t="s">
        <v>3387</v>
      </c>
      <c r="O403" t="s">
        <v>1667</v>
      </c>
      <c r="R403">
        <f>1</f>
        <v>1</v>
      </c>
      <c r="S403">
        <f>7.3</f>
        <v>7.3</v>
      </c>
      <c r="T403">
        <f>7.3</f>
        <v>7.3</v>
      </c>
      <c r="U403">
        <f>247</f>
        <v>247</v>
      </c>
      <c r="X403">
        <f>0</f>
        <v>0</v>
      </c>
      <c r="Y403" t="s">
        <v>180</v>
      </c>
      <c r="Z403">
        <f>0</f>
        <v>0</v>
      </c>
      <c r="AA403" t="s">
        <v>179</v>
      </c>
      <c r="AB403" t="s">
        <v>179</v>
      </c>
      <c r="AC403">
        <f>0</f>
        <v>0</v>
      </c>
      <c r="AD403">
        <f>0</f>
        <v>0</v>
      </c>
      <c r="AE403">
        <f>0</f>
        <v>0</v>
      </c>
      <c r="AG403" t="s">
        <v>180</v>
      </c>
    </row>
    <row r="404" spans="1:81" x14ac:dyDescent="0.25">
      <c r="A404" t="s">
        <v>1668</v>
      </c>
      <c r="B404" t="s">
        <v>170</v>
      </c>
      <c r="C404" s="1">
        <v>46098</v>
      </c>
      <c r="D404" t="s">
        <v>425</v>
      </c>
      <c r="E404" t="s">
        <v>426</v>
      </c>
      <c r="F404" t="s">
        <v>1669</v>
      </c>
      <c r="G404" t="s">
        <v>3735</v>
      </c>
      <c r="H404">
        <v>1561</v>
      </c>
      <c r="I404" t="s">
        <v>3735</v>
      </c>
      <c r="J404">
        <v>50</v>
      </c>
      <c r="K404" t="s">
        <v>4492</v>
      </c>
      <c r="L404" t="s">
        <v>3331</v>
      </c>
      <c r="M404" t="s">
        <v>3736</v>
      </c>
      <c r="N404" t="s">
        <v>4720</v>
      </c>
      <c r="O404" t="s">
        <v>1670</v>
      </c>
      <c r="R404">
        <f>1</f>
        <v>1</v>
      </c>
      <c r="S404">
        <f>13.2</f>
        <v>13.2</v>
      </c>
      <c r="T404">
        <f>7.3</f>
        <v>7.3</v>
      </c>
      <c r="U404">
        <f>479</f>
        <v>479</v>
      </c>
      <c r="X404">
        <f>0</f>
        <v>0</v>
      </c>
      <c r="Y404" t="s">
        <v>180</v>
      </c>
      <c r="Z404">
        <f>0</f>
        <v>0</v>
      </c>
      <c r="AA404" t="s">
        <v>179</v>
      </c>
      <c r="AB404" t="s">
        <v>179</v>
      </c>
      <c r="AD404">
        <f>0</f>
        <v>0</v>
      </c>
      <c r="AE404">
        <f>0</f>
        <v>0</v>
      </c>
      <c r="AG404" t="s">
        <v>180</v>
      </c>
      <c r="CC404" t="s">
        <v>701</v>
      </c>
    </row>
    <row r="405" spans="1:81" x14ac:dyDescent="0.25">
      <c r="A405" t="s">
        <v>1671</v>
      </c>
      <c r="B405" t="s">
        <v>170</v>
      </c>
      <c r="C405" s="1">
        <v>46090</v>
      </c>
      <c r="D405" t="s">
        <v>251</v>
      </c>
      <c r="E405" t="s">
        <v>252</v>
      </c>
      <c r="F405" t="s">
        <v>1672</v>
      </c>
      <c r="G405" t="s">
        <v>1672</v>
      </c>
      <c r="H405">
        <v>1617</v>
      </c>
      <c r="I405" t="s">
        <v>1672</v>
      </c>
      <c r="J405">
        <v>120</v>
      </c>
      <c r="K405" t="s">
        <v>4494</v>
      </c>
      <c r="M405" t="s">
        <v>4721</v>
      </c>
      <c r="N405" t="s">
        <v>1673</v>
      </c>
      <c r="O405" t="s">
        <v>1674</v>
      </c>
      <c r="Q405" t="s">
        <v>3476</v>
      </c>
      <c r="R405">
        <f>1</f>
        <v>1</v>
      </c>
      <c r="S405">
        <f>9.1</f>
        <v>9.1</v>
      </c>
      <c r="T405">
        <f>8</f>
        <v>8</v>
      </c>
      <c r="U405">
        <f>229</f>
        <v>229</v>
      </c>
      <c r="X405">
        <f>0</f>
        <v>0</v>
      </c>
      <c r="Y405">
        <f>0.1</f>
        <v>0.1</v>
      </c>
      <c r="Z405">
        <f>0</f>
        <v>0</v>
      </c>
      <c r="AA405">
        <f>0</f>
        <v>0</v>
      </c>
      <c r="AB405">
        <f>0</f>
        <v>0</v>
      </c>
      <c r="AC405">
        <f>0</f>
        <v>0</v>
      </c>
      <c r="AD405">
        <f>0</f>
        <v>0</v>
      </c>
      <c r="AE405">
        <f>0</f>
        <v>0</v>
      </c>
      <c r="AG405" t="s">
        <v>180</v>
      </c>
      <c r="AH405" t="s">
        <v>284</v>
      </c>
      <c r="AK405" t="s">
        <v>285</v>
      </c>
      <c r="AL405" t="s">
        <v>286</v>
      </c>
      <c r="AM405">
        <f>1.8</f>
        <v>1.8</v>
      </c>
      <c r="AN405">
        <f>0.036</f>
        <v>3.5999999999999997E-2</v>
      </c>
      <c r="AO405">
        <f>6.6</f>
        <v>6.6</v>
      </c>
      <c r="AP405" t="s">
        <v>284</v>
      </c>
      <c r="AQ405" t="s">
        <v>284</v>
      </c>
      <c r="CC405" t="s">
        <v>284</v>
      </c>
    </row>
    <row r="406" spans="1:81" x14ac:dyDescent="0.25">
      <c r="A406" t="s">
        <v>1675</v>
      </c>
      <c r="B406" t="s">
        <v>170</v>
      </c>
      <c r="C406" s="1">
        <v>46083</v>
      </c>
      <c r="D406" t="s">
        <v>238</v>
      </c>
      <c r="E406" t="s">
        <v>239</v>
      </c>
      <c r="F406" t="s">
        <v>478</v>
      </c>
      <c r="G406" t="s">
        <v>4360</v>
      </c>
      <c r="H406">
        <v>1622</v>
      </c>
      <c r="I406" t="s">
        <v>1676</v>
      </c>
      <c r="J406">
        <v>116</v>
      </c>
      <c r="K406" t="s">
        <v>4494</v>
      </c>
      <c r="L406" t="s">
        <v>176</v>
      </c>
      <c r="M406" t="s">
        <v>1676</v>
      </c>
      <c r="N406" t="s">
        <v>1677</v>
      </c>
      <c r="O406" t="s">
        <v>1678</v>
      </c>
      <c r="Q406" t="s">
        <v>3501</v>
      </c>
      <c r="R406">
        <f>1</f>
        <v>1</v>
      </c>
      <c r="S406">
        <f>8.9</f>
        <v>8.9</v>
      </c>
      <c r="T406">
        <f>7.5</f>
        <v>7.5</v>
      </c>
      <c r="U406">
        <f>386</f>
        <v>386</v>
      </c>
      <c r="X406">
        <f>0</f>
        <v>0</v>
      </c>
      <c r="Y406">
        <f>0.14</f>
        <v>0.14000000000000001</v>
      </c>
      <c r="Z406">
        <f>0</f>
        <v>0</v>
      </c>
      <c r="AA406" t="s">
        <v>179</v>
      </c>
      <c r="AB406" t="s">
        <v>179</v>
      </c>
      <c r="AC406">
        <f>0</f>
        <v>0</v>
      </c>
      <c r="AD406">
        <f>0</f>
        <v>0</v>
      </c>
      <c r="AE406">
        <f>0</f>
        <v>0</v>
      </c>
      <c r="AG406" t="s">
        <v>220</v>
      </c>
      <c r="AH406" t="s">
        <v>411</v>
      </c>
      <c r="AK406" t="s">
        <v>286</v>
      </c>
      <c r="AL406">
        <f>0.0035</f>
        <v>3.5000000000000001E-3</v>
      </c>
      <c r="AM406">
        <f>0.86</f>
        <v>0.86</v>
      </c>
      <c r="AN406">
        <f>0.018</f>
        <v>1.7999999999999999E-2</v>
      </c>
      <c r="AO406">
        <f>1.9</f>
        <v>1.9</v>
      </c>
      <c r="AP406">
        <f>1.2</f>
        <v>1.2</v>
      </c>
      <c r="AQ406">
        <f>0.052</f>
        <v>5.1999999999999998E-2</v>
      </c>
    </row>
    <row r="407" spans="1:81" x14ac:dyDescent="0.25">
      <c r="A407" t="s">
        <v>1679</v>
      </c>
      <c r="B407" t="s">
        <v>170</v>
      </c>
      <c r="C407" s="1">
        <v>46085</v>
      </c>
      <c r="D407" t="s">
        <v>222</v>
      </c>
      <c r="E407" t="s">
        <v>223</v>
      </c>
      <c r="F407" t="s">
        <v>1680</v>
      </c>
      <c r="G407" t="s">
        <v>1681</v>
      </c>
      <c r="H407">
        <v>1610</v>
      </c>
      <c r="I407" t="s">
        <v>1682</v>
      </c>
      <c r="J407">
        <v>180</v>
      </c>
      <c r="K407" t="s">
        <v>4492</v>
      </c>
      <c r="M407" t="s">
        <v>4722</v>
      </c>
      <c r="N407" t="s">
        <v>4723</v>
      </c>
      <c r="O407" t="s">
        <v>1683</v>
      </c>
      <c r="Q407" t="s">
        <v>3487</v>
      </c>
      <c r="R407">
        <f>1</f>
        <v>1</v>
      </c>
      <c r="S407">
        <f>7.9</f>
        <v>7.9</v>
      </c>
      <c r="T407">
        <f>7</f>
        <v>7</v>
      </c>
      <c r="U407">
        <f>238</f>
        <v>238</v>
      </c>
      <c r="X407">
        <f>1</f>
        <v>1</v>
      </c>
      <c r="Y407" t="s">
        <v>180</v>
      </c>
      <c r="Z407">
        <f>0</f>
        <v>0</v>
      </c>
      <c r="AA407" t="s">
        <v>179</v>
      </c>
      <c r="AB407" t="s">
        <v>179</v>
      </c>
      <c r="AD407">
        <f>0</f>
        <v>0</v>
      </c>
      <c r="AE407">
        <f>0</f>
        <v>0</v>
      </c>
      <c r="AG407" t="s">
        <v>180</v>
      </c>
      <c r="CC407">
        <f>0.44</f>
        <v>0.44</v>
      </c>
    </row>
    <row r="408" spans="1:81" x14ac:dyDescent="0.25">
      <c r="A408" t="s">
        <v>1684</v>
      </c>
      <c r="B408" t="s">
        <v>170</v>
      </c>
      <c r="C408" s="1">
        <v>46132</v>
      </c>
      <c r="D408" t="s">
        <v>222</v>
      </c>
      <c r="E408" t="s">
        <v>223</v>
      </c>
      <c r="F408" t="s">
        <v>3737</v>
      </c>
      <c r="G408" t="s">
        <v>3738</v>
      </c>
      <c r="H408">
        <v>1055</v>
      </c>
      <c r="I408" t="s">
        <v>3738</v>
      </c>
      <c r="J408">
        <v>180</v>
      </c>
      <c r="K408" t="s">
        <v>4492</v>
      </c>
      <c r="L408" t="s">
        <v>271</v>
      </c>
      <c r="M408" t="s">
        <v>3388</v>
      </c>
      <c r="N408" t="s">
        <v>4724</v>
      </c>
      <c r="O408" t="s">
        <v>1685</v>
      </c>
      <c r="R408">
        <f>1</f>
        <v>1</v>
      </c>
      <c r="S408">
        <f>11.6</f>
        <v>11.6</v>
      </c>
      <c r="T408">
        <f>8</f>
        <v>8</v>
      </c>
      <c r="U408">
        <f>372</f>
        <v>372</v>
      </c>
      <c r="X408">
        <f>0</f>
        <v>0</v>
      </c>
      <c r="Y408" t="s">
        <v>180</v>
      </c>
      <c r="Z408">
        <f>0</f>
        <v>0</v>
      </c>
      <c r="AA408" t="s">
        <v>179</v>
      </c>
      <c r="AB408" t="s">
        <v>179</v>
      </c>
      <c r="AD408">
        <f>0</f>
        <v>0</v>
      </c>
      <c r="AE408">
        <f>0</f>
        <v>0</v>
      </c>
      <c r="AG408" t="s">
        <v>180</v>
      </c>
      <c r="AH408" t="s">
        <v>193</v>
      </c>
      <c r="AK408" t="s">
        <v>181</v>
      </c>
      <c r="AL408">
        <f>0.01</f>
        <v>0.01</v>
      </c>
      <c r="AM408">
        <f>4.9</f>
        <v>4.9000000000000004</v>
      </c>
      <c r="AN408">
        <f>0.1</f>
        <v>0.1</v>
      </c>
      <c r="AO408">
        <f>12</f>
        <v>12</v>
      </c>
      <c r="AP408">
        <f>3</f>
        <v>3</v>
      </c>
      <c r="AQ408" t="s">
        <v>180</v>
      </c>
      <c r="CC408">
        <f>0.35</f>
        <v>0.35</v>
      </c>
    </row>
    <row r="409" spans="1:81" x14ac:dyDescent="0.25">
      <c r="A409" t="s">
        <v>1686</v>
      </c>
      <c r="B409" t="s">
        <v>170</v>
      </c>
      <c r="C409" s="1">
        <v>46087</v>
      </c>
      <c r="D409" t="s">
        <v>251</v>
      </c>
      <c r="E409" t="s">
        <v>252</v>
      </c>
      <c r="F409" t="s">
        <v>280</v>
      </c>
      <c r="G409" t="s">
        <v>4010</v>
      </c>
      <c r="H409">
        <v>1643</v>
      </c>
      <c r="I409" t="s">
        <v>4010</v>
      </c>
      <c r="J409">
        <v>133</v>
      </c>
      <c r="K409" t="s">
        <v>4494</v>
      </c>
      <c r="L409" t="s">
        <v>3566</v>
      </c>
      <c r="M409" t="s">
        <v>4725</v>
      </c>
      <c r="N409" t="s">
        <v>4011</v>
      </c>
      <c r="O409" t="s">
        <v>1687</v>
      </c>
      <c r="Q409" t="s">
        <v>257</v>
      </c>
      <c r="R409">
        <f>1</f>
        <v>1</v>
      </c>
      <c r="S409">
        <f>8.3</f>
        <v>8.3000000000000007</v>
      </c>
      <c r="T409">
        <f>7.8</f>
        <v>7.8</v>
      </c>
      <c r="U409">
        <f>233</f>
        <v>233</v>
      </c>
      <c r="X409">
        <f>0</f>
        <v>0</v>
      </c>
      <c r="Y409" t="s">
        <v>180</v>
      </c>
      <c r="Z409">
        <f>0</f>
        <v>0</v>
      </c>
      <c r="AA409">
        <f>0</f>
        <v>0</v>
      </c>
      <c r="AB409">
        <f>0</f>
        <v>0</v>
      </c>
      <c r="AC409">
        <f>0</f>
        <v>0</v>
      </c>
      <c r="AD409">
        <f>0</f>
        <v>0</v>
      </c>
      <c r="AE409">
        <f>0</f>
        <v>0</v>
      </c>
      <c r="AG409" t="s">
        <v>180</v>
      </c>
      <c r="AH409" t="s">
        <v>284</v>
      </c>
      <c r="AK409" t="s">
        <v>285</v>
      </c>
      <c r="AL409" t="s">
        <v>286</v>
      </c>
      <c r="AM409">
        <f>5.6</f>
        <v>5.6</v>
      </c>
      <c r="AN409">
        <f>0.112</f>
        <v>0.112</v>
      </c>
      <c r="AO409">
        <f>3.5</f>
        <v>3.5</v>
      </c>
      <c r="AP409">
        <f>2.8</f>
        <v>2.8</v>
      </c>
      <c r="AQ409" t="s">
        <v>284</v>
      </c>
      <c r="CC409" t="s">
        <v>284</v>
      </c>
    </row>
    <row r="410" spans="1:81" x14ac:dyDescent="0.25">
      <c r="A410" t="s">
        <v>1688</v>
      </c>
      <c r="B410" t="s">
        <v>170</v>
      </c>
      <c r="C410" s="1">
        <v>46106</v>
      </c>
      <c r="D410" t="s">
        <v>251</v>
      </c>
      <c r="E410" t="s">
        <v>252</v>
      </c>
      <c r="F410" t="s">
        <v>3691</v>
      </c>
      <c r="G410" t="s">
        <v>1689</v>
      </c>
      <c r="H410">
        <v>1467</v>
      </c>
      <c r="I410" t="s">
        <v>1689</v>
      </c>
      <c r="J410">
        <v>132</v>
      </c>
      <c r="K410" t="s">
        <v>4494</v>
      </c>
      <c r="M410" t="s">
        <v>4726</v>
      </c>
      <c r="N410" t="s">
        <v>1690</v>
      </c>
      <c r="O410" t="s">
        <v>1691</v>
      </c>
      <c r="Q410" t="s">
        <v>3472</v>
      </c>
      <c r="R410">
        <f>1</f>
        <v>1</v>
      </c>
      <c r="S410">
        <f>8.3</f>
        <v>8.3000000000000007</v>
      </c>
      <c r="T410">
        <f>8</f>
        <v>8</v>
      </c>
      <c r="U410">
        <f>227</f>
        <v>227</v>
      </c>
      <c r="X410">
        <f>0</f>
        <v>0</v>
      </c>
      <c r="Y410" t="s">
        <v>180</v>
      </c>
      <c r="Z410">
        <f>0</f>
        <v>0</v>
      </c>
      <c r="AA410">
        <f>0</f>
        <v>0</v>
      </c>
      <c r="AB410">
        <f>0</f>
        <v>0</v>
      </c>
      <c r="AC410">
        <f>0</f>
        <v>0</v>
      </c>
      <c r="AD410">
        <f>0</f>
        <v>0</v>
      </c>
      <c r="AE410">
        <f>0</f>
        <v>0</v>
      </c>
      <c r="AG410" t="s">
        <v>180</v>
      </c>
      <c r="AH410" t="s">
        <v>284</v>
      </c>
      <c r="AK410" t="s">
        <v>285</v>
      </c>
      <c r="AL410" t="s">
        <v>286</v>
      </c>
      <c r="AM410">
        <f>4</f>
        <v>4</v>
      </c>
      <c r="AN410">
        <f>0.08</f>
        <v>0.08</v>
      </c>
      <c r="AO410">
        <f>2.5</f>
        <v>2.5</v>
      </c>
      <c r="AP410">
        <f>7.7</f>
        <v>7.7</v>
      </c>
      <c r="AQ410" t="s">
        <v>284</v>
      </c>
    </row>
    <row r="411" spans="1:81" x14ac:dyDescent="0.25">
      <c r="A411" t="s">
        <v>1692</v>
      </c>
      <c r="B411" t="s">
        <v>170</v>
      </c>
      <c r="C411" s="1">
        <v>46132</v>
      </c>
      <c r="D411" t="s">
        <v>251</v>
      </c>
      <c r="E411" t="s">
        <v>252</v>
      </c>
      <c r="F411" t="s">
        <v>3691</v>
      </c>
      <c r="G411" t="s">
        <v>1693</v>
      </c>
      <c r="H411">
        <v>110</v>
      </c>
      <c r="I411" t="s">
        <v>1693</v>
      </c>
      <c r="J411">
        <v>150</v>
      </c>
      <c r="K411" t="s">
        <v>4492</v>
      </c>
      <c r="L411" t="s">
        <v>271</v>
      </c>
      <c r="M411" t="s">
        <v>1215</v>
      </c>
      <c r="N411" t="s">
        <v>3739</v>
      </c>
      <c r="O411" t="s">
        <v>1694</v>
      </c>
      <c r="Q411" t="s">
        <v>3609</v>
      </c>
      <c r="R411">
        <f>1</f>
        <v>1</v>
      </c>
      <c r="S411">
        <f>10.6</f>
        <v>10.6</v>
      </c>
      <c r="T411">
        <f>7.9</f>
        <v>7.9</v>
      </c>
      <c r="U411">
        <f>297</f>
        <v>297</v>
      </c>
      <c r="X411">
        <f>0</f>
        <v>0</v>
      </c>
      <c r="Y411" t="s">
        <v>180</v>
      </c>
      <c r="Z411">
        <f>0</f>
        <v>0</v>
      </c>
      <c r="AA411">
        <f>0</f>
        <v>0</v>
      </c>
      <c r="AB411">
        <f>0</f>
        <v>0</v>
      </c>
      <c r="AD411">
        <f>0</f>
        <v>0</v>
      </c>
      <c r="AE411">
        <f>0</f>
        <v>0</v>
      </c>
      <c r="AG411" t="s">
        <v>180</v>
      </c>
    </row>
    <row r="412" spans="1:81" x14ac:dyDescent="0.25">
      <c r="A412" t="s">
        <v>1695</v>
      </c>
      <c r="B412" t="s">
        <v>170</v>
      </c>
      <c r="C412" s="1">
        <v>46122</v>
      </c>
      <c r="D412" t="s">
        <v>184</v>
      </c>
      <c r="E412" t="s">
        <v>185</v>
      </c>
      <c r="F412" t="s">
        <v>384</v>
      </c>
      <c r="G412" t="s">
        <v>1696</v>
      </c>
      <c r="H412">
        <v>345</v>
      </c>
      <c r="I412" t="s">
        <v>1697</v>
      </c>
      <c r="J412">
        <v>204</v>
      </c>
      <c r="K412" t="s">
        <v>4494</v>
      </c>
      <c r="L412" t="s">
        <v>369</v>
      </c>
      <c r="M412" t="s">
        <v>1698</v>
      </c>
      <c r="N412" t="s">
        <v>1699</v>
      </c>
      <c r="O412" t="s">
        <v>1700</v>
      </c>
      <c r="R412">
        <f>1</f>
        <v>1</v>
      </c>
      <c r="S412">
        <f>11.7</f>
        <v>11.7</v>
      </c>
      <c r="T412">
        <f>7.2</f>
        <v>7.2</v>
      </c>
      <c r="U412">
        <f>210</f>
        <v>210</v>
      </c>
      <c r="V412">
        <f>0.13</f>
        <v>0.13</v>
      </c>
      <c r="X412">
        <f>0</f>
        <v>0</v>
      </c>
      <c r="Y412">
        <f>0.2</f>
        <v>0.2</v>
      </c>
      <c r="Z412">
        <f>0</f>
        <v>0</v>
      </c>
      <c r="AA412" t="s">
        <v>179</v>
      </c>
      <c r="AB412" t="s">
        <v>179</v>
      </c>
      <c r="AC412">
        <f>0</f>
        <v>0</v>
      </c>
      <c r="AD412">
        <f>0</f>
        <v>0</v>
      </c>
      <c r="AE412">
        <f>0</f>
        <v>0</v>
      </c>
      <c r="AG412" t="s">
        <v>180</v>
      </c>
    </row>
    <row r="413" spans="1:81" x14ac:dyDescent="0.25">
      <c r="A413" t="s">
        <v>1701</v>
      </c>
      <c r="B413" t="s">
        <v>170</v>
      </c>
      <c r="C413" s="1">
        <v>46126</v>
      </c>
      <c r="D413" t="s">
        <v>251</v>
      </c>
      <c r="E413" t="s">
        <v>252</v>
      </c>
      <c r="F413" t="s">
        <v>3590</v>
      </c>
      <c r="G413" t="s">
        <v>1702</v>
      </c>
      <c r="H413">
        <v>65</v>
      </c>
      <c r="I413" t="s">
        <v>1702</v>
      </c>
      <c r="J413">
        <v>164</v>
      </c>
      <c r="K413" t="s">
        <v>4492</v>
      </c>
      <c r="L413" t="s">
        <v>3567</v>
      </c>
      <c r="M413" t="s">
        <v>1703</v>
      </c>
      <c r="N413" t="s">
        <v>3610</v>
      </c>
      <c r="O413" t="s">
        <v>1704</v>
      </c>
      <c r="Q413" t="s">
        <v>3502</v>
      </c>
      <c r="R413">
        <f>1</f>
        <v>1</v>
      </c>
      <c r="S413">
        <f>9</f>
        <v>9</v>
      </c>
      <c r="T413">
        <f>8</f>
        <v>8</v>
      </c>
      <c r="U413">
        <f>341</f>
        <v>341</v>
      </c>
      <c r="X413">
        <f>0</f>
        <v>0</v>
      </c>
      <c r="Y413" t="s">
        <v>180</v>
      </c>
      <c r="Z413">
        <f>0</f>
        <v>0</v>
      </c>
      <c r="AA413">
        <f>4</f>
        <v>4</v>
      </c>
      <c r="AB413">
        <f>0</f>
        <v>0</v>
      </c>
      <c r="AD413">
        <f>0</f>
        <v>0</v>
      </c>
      <c r="AE413">
        <f>0</f>
        <v>0</v>
      </c>
      <c r="AG413" t="s">
        <v>180</v>
      </c>
      <c r="AH413" t="s">
        <v>284</v>
      </c>
      <c r="AK413" t="s">
        <v>285</v>
      </c>
      <c r="AL413" t="s">
        <v>286</v>
      </c>
      <c r="AM413">
        <f>5.6</f>
        <v>5.6</v>
      </c>
      <c r="AN413">
        <f>0.112</f>
        <v>0.112</v>
      </c>
      <c r="AO413">
        <f>3.3</f>
        <v>3.3</v>
      </c>
      <c r="AP413">
        <f>6.6</f>
        <v>6.6</v>
      </c>
      <c r="AQ413" t="s">
        <v>284</v>
      </c>
    </row>
    <row r="414" spans="1:81" x14ac:dyDescent="0.25">
      <c r="A414" t="s">
        <v>1705</v>
      </c>
      <c r="B414" t="s">
        <v>170</v>
      </c>
      <c r="C414" s="1">
        <v>46083</v>
      </c>
      <c r="D414" t="s">
        <v>251</v>
      </c>
      <c r="E414" t="s">
        <v>185</v>
      </c>
      <c r="F414" t="s">
        <v>1706</v>
      </c>
      <c r="G414" t="s">
        <v>1707</v>
      </c>
      <c r="H414">
        <v>1660</v>
      </c>
      <c r="I414" t="s">
        <v>1708</v>
      </c>
      <c r="J414">
        <v>120</v>
      </c>
      <c r="K414" t="s">
        <v>4494</v>
      </c>
      <c r="L414" t="s">
        <v>266</v>
      </c>
      <c r="M414" t="s">
        <v>1215</v>
      </c>
      <c r="N414" t="s">
        <v>1709</v>
      </c>
      <c r="O414" t="s">
        <v>1710</v>
      </c>
      <c r="Q414" t="s">
        <v>4727</v>
      </c>
      <c r="R414">
        <f>1</f>
        <v>1</v>
      </c>
      <c r="S414">
        <f>7.5</f>
        <v>7.5</v>
      </c>
      <c r="T414">
        <f>8</f>
        <v>8</v>
      </c>
      <c r="U414">
        <f>263</f>
        <v>263</v>
      </c>
      <c r="V414" t="s">
        <v>258</v>
      </c>
      <c r="X414">
        <f>0</f>
        <v>0</v>
      </c>
      <c r="Y414" t="s">
        <v>180</v>
      </c>
      <c r="Z414">
        <f>0</f>
        <v>0</v>
      </c>
      <c r="AA414">
        <f>0</f>
        <v>0</v>
      </c>
      <c r="AB414">
        <f>0</f>
        <v>0</v>
      </c>
      <c r="AC414">
        <f>0</f>
        <v>0</v>
      </c>
      <c r="AD414">
        <f>0</f>
        <v>0</v>
      </c>
      <c r="AE414">
        <f>0</f>
        <v>0</v>
      </c>
      <c r="AG414" t="s">
        <v>180</v>
      </c>
      <c r="AH414">
        <f>1.2</f>
        <v>1.2</v>
      </c>
      <c r="AK414" t="s">
        <v>285</v>
      </c>
      <c r="AL414" t="s">
        <v>286</v>
      </c>
      <c r="AM414">
        <f>2.8</f>
        <v>2.8</v>
      </c>
      <c r="AN414">
        <f>0.056</f>
        <v>5.6000000000000001E-2</v>
      </c>
      <c r="AO414">
        <f>3</f>
        <v>3</v>
      </c>
      <c r="AP414" t="s">
        <v>284</v>
      </c>
      <c r="AQ414" t="s">
        <v>284</v>
      </c>
    </row>
    <row r="415" spans="1:81" x14ac:dyDescent="0.25">
      <c r="A415" t="s">
        <v>1711</v>
      </c>
      <c r="B415" t="s">
        <v>170</v>
      </c>
      <c r="C415" s="1">
        <v>46083</v>
      </c>
      <c r="D415" t="s">
        <v>251</v>
      </c>
      <c r="E415" t="s">
        <v>185</v>
      </c>
      <c r="F415" t="s">
        <v>3369</v>
      </c>
      <c r="G415" t="s">
        <v>4012</v>
      </c>
      <c r="H415">
        <v>1669</v>
      </c>
      <c r="I415" t="s">
        <v>4013</v>
      </c>
      <c r="J415">
        <v>210</v>
      </c>
      <c r="K415" t="s">
        <v>3334</v>
      </c>
      <c r="L415" t="s">
        <v>266</v>
      </c>
      <c r="M415" t="s">
        <v>4543</v>
      </c>
      <c r="N415" t="s">
        <v>4728</v>
      </c>
      <c r="O415" t="s">
        <v>1712</v>
      </c>
      <c r="Q415" t="s">
        <v>257</v>
      </c>
      <c r="R415">
        <f>1</f>
        <v>1</v>
      </c>
      <c r="S415">
        <f>6.8</f>
        <v>6.8</v>
      </c>
      <c r="T415">
        <f>7.6</f>
        <v>7.6</v>
      </c>
      <c r="U415">
        <f>395</f>
        <v>395</v>
      </c>
      <c r="V415">
        <f>0.22</f>
        <v>0.22</v>
      </c>
      <c r="X415">
        <f>0</f>
        <v>0</v>
      </c>
      <c r="Y415" t="s">
        <v>180</v>
      </c>
      <c r="Z415">
        <f>0</f>
        <v>0</v>
      </c>
      <c r="AA415">
        <f>0</f>
        <v>0</v>
      </c>
      <c r="AB415">
        <f>15</f>
        <v>15</v>
      </c>
      <c r="AC415">
        <f>0</f>
        <v>0</v>
      </c>
      <c r="AD415">
        <f>0</f>
        <v>0</v>
      </c>
      <c r="AE415">
        <f>0</f>
        <v>0</v>
      </c>
      <c r="AG415" t="s">
        <v>180</v>
      </c>
      <c r="AH415" t="s">
        <v>284</v>
      </c>
      <c r="AK415" t="s">
        <v>285</v>
      </c>
      <c r="AM415" t="s">
        <v>284</v>
      </c>
      <c r="AO415">
        <f>7.9</f>
        <v>7.9</v>
      </c>
      <c r="AP415" t="s">
        <v>284</v>
      </c>
      <c r="AQ415" t="s">
        <v>284</v>
      </c>
      <c r="CC415" t="s">
        <v>284</v>
      </c>
    </row>
    <row r="416" spans="1:81" x14ac:dyDescent="0.25">
      <c r="A416" t="s">
        <v>1713</v>
      </c>
      <c r="B416" t="s">
        <v>170</v>
      </c>
      <c r="C416" s="1">
        <v>46083</v>
      </c>
      <c r="D416" t="s">
        <v>251</v>
      </c>
      <c r="E416" t="s">
        <v>185</v>
      </c>
      <c r="F416" t="s">
        <v>3369</v>
      </c>
      <c r="G416" t="s">
        <v>1714</v>
      </c>
      <c r="H416">
        <v>1672</v>
      </c>
      <c r="I416" t="s">
        <v>1715</v>
      </c>
      <c r="J416">
        <v>189</v>
      </c>
      <c r="K416" t="s">
        <v>3334</v>
      </c>
      <c r="M416" t="s">
        <v>4729</v>
      </c>
      <c r="N416" t="s">
        <v>1716</v>
      </c>
      <c r="O416" t="s">
        <v>1717</v>
      </c>
      <c r="Q416" t="s">
        <v>257</v>
      </c>
      <c r="R416">
        <f>1</f>
        <v>1</v>
      </c>
      <c r="S416">
        <f>8.1</f>
        <v>8.1</v>
      </c>
      <c r="T416">
        <f>7.6</f>
        <v>7.6</v>
      </c>
      <c r="U416">
        <f>299</f>
        <v>299</v>
      </c>
      <c r="X416">
        <f>0</f>
        <v>0</v>
      </c>
      <c r="Y416" t="s">
        <v>180</v>
      </c>
      <c r="Z416">
        <f>0</f>
        <v>0</v>
      </c>
      <c r="AA416">
        <f>10</f>
        <v>10</v>
      </c>
      <c r="AB416">
        <f>0</f>
        <v>0</v>
      </c>
      <c r="AC416">
        <f>0</f>
        <v>0</v>
      </c>
      <c r="AD416">
        <f>0</f>
        <v>0</v>
      </c>
      <c r="AE416">
        <f>0</f>
        <v>0</v>
      </c>
      <c r="AG416" t="s">
        <v>180</v>
      </c>
      <c r="CC416" t="s">
        <v>284</v>
      </c>
    </row>
    <row r="417" spans="1:81" x14ac:dyDescent="0.25">
      <c r="A417" t="s">
        <v>1718</v>
      </c>
      <c r="B417" t="s">
        <v>170</v>
      </c>
      <c r="C417" s="1">
        <v>46086</v>
      </c>
      <c r="D417" t="s">
        <v>251</v>
      </c>
      <c r="E417" t="s">
        <v>252</v>
      </c>
      <c r="F417" t="s">
        <v>4280</v>
      </c>
      <c r="G417" t="s">
        <v>1719</v>
      </c>
      <c r="H417">
        <v>1648</v>
      </c>
      <c r="I417" t="s">
        <v>1719</v>
      </c>
      <c r="J417">
        <v>130</v>
      </c>
      <c r="K417" t="s">
        <v>4494</v>
      </c>
      <c r="M417" t="s">
        <v>3389</v>
      </c>
      <c r="N417" t="s">
        <v>4361</v>
      </c>
      <c r="O417" t="s">
        <v>1720</v>
      </c>
      <c r="Q417" t="s">
        <v>3476</v>
      </c>
      <c r="R417">
        <f>1</f>
        <v>1</v>
      </c>
      <c r="S417">
        <f>7.4</f>
        <v>7.4</v>
      </c>
      <c r="T417">
        <f>8.1</f>
        <v>8.1</v>
      </c>
      <c r="U417">
        <f>288</f>
        <v>288</v>
      </c>
      <c r="X417">
        <f>0</f>
        <v>0</v>
      </c>
      <c r="Y417">
        <f>0.13</f>
        <v>0.13</v>
      </c>
      <c r="Z417">
        <f>0</f>
        <v>0</v>
      </c>
      <c r="AA417">
        <f>0</f>
        <v>0</v>
      </c>
      <c r="AB417">
        <f>0</f>
        <v>0</v>
      </c>
      <c r="AC417">
        <f>0</f>
        <v>0</v>
      </c>
      <c r="AD417">
        <f>0</f>
        <v>0</v>
      </c>
      <c r="AE417">
        <f>0</f>
        <v>0</v>
      </c>
      <c r="AG417" t="s">
        <v>180</v>
      </c>
      <c r="AH417" t="s">
        <v>284</v>
      </c>
      <c r="AK417" t="s">
        <v>285</v>
      </c>
      <c r="AL417" t="s">
        <v>286</v>
      </c>
      <c r="AM417">
        <f>5.7</f>
        <v>5.7</v>
      </c>
      <c r="AN417">
        <f>0.114</f>
        <v>0.114</v>
      </c>
      <c r="AO417">
        <f>4.8</f>
        <v>4.8</v>
      </c>
      <c r="AP417">
        <f>1.2</f>
        <v>1.2</v>
      </c>
      <c r="AQ417" t="s">
        <v>284</v>
      </c>
    </row>
    <row r="418" spans="1:81" x14ac:dyDescent="0.25">
      <c r="A418" t="s">
        <v>1721</v>
      </c>
      <c r="B418" t="s">
        <v>170</v>
      </c>
      <c r="C418" s="1">
        <v>46121</v>
      </c>
      <c r="D418" t="s">
        <v>216</v>
      </c>
      <c r="E418" t="s">
        <v>217</v>
      </c>
      <c r="F418" t="s">
        <v>3327</v>
      </c>
      <c r="G418" t="s">
        <v>1722</v>
      </c>
      <c r="H418">
        <v>1455</v>
      </c>
      <c r="I418" t="s">
        <v>1723</v>
      </c>
      <c r="J418">
        <v>89</v>
      </c>
      <c r="K418" t="s">
        <v>4494</v>
      </c>
      <c r="L418" t="s">
        <v>266</v>
      </c>
      <c r="M418" t="s">
        <v>4730</v>
      </c>
      <c r="N418" t="s">
        <v>1724</v>
      </c>
      <c r="O418" t="s">
        <v>1725</v>
      </c>
      <c r="R418">
        <f>1</f>
        <v>1</v>
      </c>
      <c r="S418">
        <f>10.5</f>
        <v>10.5</v>
      </c>
      <c r="T418">
        <f>8.3</f>
        <v>8.3000000000000007</v>
      </c>
      <c r="U418">
        <f>308</f>
        <v>308</v>
      </c>
      <c r="V418">
        <f>0.19</f>
        <v>0.19</v>
      </c>
      <c r="X418">
        <f>1</f>
        <v>1</v>
      </c>
      <c r="Y418">
        <f>0.29</f>
        <v>0.28999999999999998</v>
      </c>
      <c r="Z418">
        <f>0</f>
        <v>0</v>
      </c>
      <c r="AA418">
        <f>0</f>
        <v>0</v>
      </c>
      <c r="AB418">
        <f>0</f>
        <v>0</v>
      </c>
      <c r="AC418">
        <f>0</f>
        <v>0</v>
      </c>
      <c r="AD418">
        <f>0</f>
        <v>0</v>
      </c>
      <c r="AE418">
        <f>0</f>
        <v>0</v>
      </c>
      <c r="AG418" t="s">
        <v>220</v>
      </c>
      <c r="AH418">
        <f>0.5</f>
        <v>0.5</v>
      </c>
      <c r="AK418" t="s">
        <v>285</v>
      </c>
      <c r="AL418" t="s">
        <v>181</v>
      </c>
      <c r="AM418">
        <f>5.1</f>
        <v>5.0999999999999996</v>
      </c>
      <c r="AN418">
        <f>0.1</f>
        <v>0.1</v>
      </c>
      <c r="AO418">
        <f>11</f>
        <v>11</v>
      </c>
      <c r="AP418">
        <f>1.3</f>
        <v>1.3</v>
      </c>
      <c r="AQ418" t="s">
        <v>284</v>
      </c>
    </row>
    <row r="419" spans="1:81" x14ac:dyDescent="0.25">
      <c r="A419" t="s">
        <v>1726</v>
      </c>
      <c r="B419" t="s">
        <v>170</v>
      </c>
      <c r="C419" s="1">
        <v>46087</v>
      </c>
      <c r="D419" t="s">
        <v>184</v>
      </c>
      <c r="E419" t="s">
        <v>185</v>
      </c>
      <c r="F419" t="s">
        <v>384</v>
      </c>
      <c r="G419" t="s">
        <v>1727</v>
      </c>
      <c r="H419">
        <v>1018</v>
      </c>
      <c r="I419" t="s">
        <v>1728</v>
      </c>
      <c r="J419">
        <v>326</v>
      </c>
      <c r="K419" t="s">
        <v>4492</v>
      </c>
      <c r="L419" t="s">
        <v>3567</v>
      </c>
      <c r="M419" t="s">
        <v>3915</v>
      </c>
      <c r="N419" t="s">
        <v>1729</v>
      </c>
      <c r="O419" t="s">
        <v>1730</v>
      </c>
      <c r="Q419" t="s">
        <v>3503</v>
      </c>
      <c r="R419">
        <f>1</f>
        <v>1</v>
      </c>
      <c r="S419">
        <f>8.9</f>
        <v>8.9</v>
      </c>
      <c r="T419">
        <f>7.3</f>
        <v>7.3</v>
      </c>
      <c r="U419">
        <f>612</f>
        <v>612</v>
      </c>
      <c r="X419">
        <f>0</f>
        <v>0</v>
      </c>
      <c r="Y419" t="s">
        <v>180</v>
      </c>
      <c r="Z419">
        <f>0</f>
        <v>0</v>
      </c>
      <c r="AA419" t="s">
        <v>179</v>
      </c>
      <c r="AB419" t="s">
        <v>179</v>
      </c>
      <c r="AD419">
        <f>0</f>
        <v>0</v>
      </c>
      <c r="AE419">
        <f>0</f>
        <v>0</v>
      </c>
      <c r="AG419" t="s">
        <v>180</v>
      </c>
    </row>
    <row r="420" spans="1:81" x14ac:dyDescent="0.25">
      <c r="A420" t="s">
        <v>1731</v>
      </c>
      <c r="B420" t="s">
        <v>170</v>
      </c>
      <c r="C420" s="1">
        <v>46111</v>
      </c>
      <c r="D420" t="s">
        <v>222</v>
      </c>
      <c r="E420" t="s">
        <v>223</v>
      </c>
      <c r="F420" t="s">
        <v>4731</v>
      </c>
      <c r="G420" t="s">
        <v>4732</v>
      </c>
      <c r="H420">
        <v>1682</v>
      </c>
      <c r="I420" t="s">
        <v>4732</v>
      </c>
      <c r="J420">
        <v>122</v>
      </c>
      <c r="K420" t="s">
        <v>4494</v>
      </c>
      <c r="M420" t="s">
        <v>4733</v>
      </c>
      <c r="N420" t="s">
        <v>4734</v>
      </c>
      <c r="O420" t="s">
        <v>1732</v>
      </c>
      <c r="R420">
        <f>1</f>
        <v>1</v>
      </c>
      <c r="S420">
        <f>7.5</f>
        <v>7.5</v>
      </c>
      <c r="T420">
        <f>7.9</f>
        <v>7.9</v>
      </c>
      <c r="U420">
        <f>121</f>
        <v>121</v>
      </c>
      <c r="X420">
        <f>1</f>
        <v>1</v>
      </c>
      <c r="Y420" t="s">
        <v>180</v>
      </c>
      <c r="Z420">
        <f>0</f>
        <v>0</v>
      </c>
      <c r="AA420" t="s">
        <v>179</v>
      </c>
      <c r="AB420" t="s">
        <v>179</v>
      </c>
      <c r="AC420">
        <f>0</f>
        <v>0</v>
      </c>
      <c r="AD420">
        <f>0</f>
        <v>0</v>
      </c>
      <c r="AE420">
        <f>0</f>
        <v>0</v>
      </c>
      <c r="AG420" t="s">
        <v>180</v>
      </c>
      <c r="AH420" t="s">
        <v>193</v>
      </c>
      <c r="AK420" t="s">
        <v>181</v>
      </c>
      <c r="AL420" t="s">
        <v>182</v>
      </c>
      <c r="AM420">
        <f>1.3</f>
        <v>1.3</v>
      </c>
      <c r="AN420">
        <f>0.03</f>
        <v>0.03</v>
      </c>
      <c r="AO420">
        <f>7.6</f>
        <v>7.6</v>
      </c>
      <c r="AP420">
        <f>0.9</f>
        <v>0.9</v>
      </c>
      <c r="AQ420" t="s">
        <v>180</v>
      </c>
      <c r="CC420">
        <f>0.35</f>
        <v>0.35</v>
      </c>
    </row>
    <row r="421" spans="1:81" x14ac:dyDescent="0.25">
      <c r="A421" t="s">
        <v>1733</v>
      </c>
      <c r="B421" t="s">
        <v>170</v>
      </c>
      <c r="C421" s="1">
        <v>46134</v>
      </c>
      <c r="D421" t="s">
        <v>216</v>
      </c>
      <c r="E421" t="s">
        <v>217</v>
      </c>
      <c r="F421" t="s">
        <v>368</v>
      </c>
      <c r="G421" t="s">
        <v>3740</v>
      </c>
      <c r="H421">
        <v>271</v>
      </c>
      <c r="I421" t="s">
        <v>3740</v>
      </c>
      <c r="J421">
        <v>129</v>
      </c>
      <c r="K421" t="s">
        <v>4494</v>
      </c>
      <c r="L421" t="s">
        <v>266</v>
      </c>
      <c r="M421" t="s">
        <v>4632</v>
      </c>
      <c r="N421" t="s">
        <v>3611</v>
      </c>
      <c r="O421" t="s">
        <v>1734</v>
      </c>
      <c r="R421">
        <f>1</f>
        <v>1</v>
      </c>
      <c r="S421">
        <f>12.1</f>
        <v>12.1</v>
      </c>
      <c r="T421">
        <f>8.1</f>
        <v>8.1</v>
      </c>
      <c r="U421">
        <f>240</f>
        <v>240</v>
      </c>
      <c r="V421">
        <f>0.07</f>
        <v>7.0000000000000007E-2</v>
      </c>
      <c r="X421">
        <f>1</f>
        <v>1</v>
      </c>
      <c r="Y421">
        <f>0.12</f>
        <v>0.12</v>
      </c>
      <c r="Z421">
        <f>0</f>
        <v>0</v>
      </c>
      <c r="AA421">
        <f>0</f>
        <v>0</v>
      </c>
      <c r="AB421">
        <f>0</f>
        <v>0</v>
      </c>
      <c r="AC421">
        <f>0</f>
        <v>0</v>
      </c>
      <c r="AD421">
        <f>0</f>
        <v>0</v>
      </c>
      <c r="AE421">
        <f>0</f>
        <v>0</v>
      </c>
      <c r="AG421" t="s">
        <v>220</v>
      </c>
      <c r="AH421" t="s">
        <v>411</v>
      </c>
      <c r="AK421" t="s">
        <v>285</v>
      </c>
      <c r="AL421" t="s">
        <v>181</v>
      </c>
      <c r="AM421">
        <f>3</f>
        <v>3</v>
      </c>
      <c r="AN421">
        <f>0.06</f>
        <v>0.06</v>
      </c>
      <c r="AO421">
        <f>6</f>
        <v>6</v>
      </c>
      <c r="AP421" t="s">
        <v>284</v>
      </c>
      <c r="AQ421" t="s">
        <v>284</v>
      </c>
    </row>
    <row r="422" spans="1:81" x14ac:dyDescent="0.25">
      <c r="A422" t="s">
        <v>1735</v>
      </c>
      <c r="B422" t="s">
        <v>170</v>
      </c>
      <c r="C422" s="1">
        <v>46086</v>
      </c>
      <c r="D422" t="s">
        <v>302</v>
      </c>
      <c r="E422" t="s">
        <v>303</v>
      </c>
      <c r="F422" t="s">
        <v>874</v>
      </c>
      <c r="G422" t="s">
        <v>875</v>
      </c>
      <c r="H422">
        <v>1689</v>
      </c>
      <c r="I422" t="s">
        <v>1736</v>
      </c>
      <c r="J422">
        <v>50</v>
      </c>
      <c r="K422" t="s">
        <v>4494</v>
      </c>
      <c r="M422" t="s">
        <v>3390</v>
      </c>
      <c r="N422" t="s">
        <v>3612</v>
      </c>
      <c r="O422" t="s">
        <v>1737</v>
      </c>
      <c r="Q422" t="s">
        <v>1738</v>
      </c>
      <c r="R422">
        <f>1</f>
        <v>1</v>
      </c>
      <c r="S422">
        <f>10.6</f>
        <v>10.6</v>
      </c>
      <c r="T422">
        <f>6.8</f>
        <v>6.8</v>
      </c>
      <c r="U422">
        <f>101</f>
        <v>101</v>
      </c>
      <c r="X422">
        <f>0</f>
        <v>0</v>
      </c>
      <c r="Y422" t="s">
        <v>180</v>
      </c>
      <c r="Z422">
        <f>0</f>
        <v>0</v>
      </c>
      <c r="AA422" t="s">
        <v>179</v>
      </c>
      <c r="AB422" t="s">
        <v>179</v>
      </c>
      <c r="AC422">
        <f>0</f>
        <v>0</v>
      </c>
      <c r="AD422">
        <f>0</f>
        <v>0</v>
      </c>
      <c r="AE422">
        <f>0</f>
        <v>0</v>
      </c>
      <c r="AG422" t="s">
        <v>180</v>
      </c>
      <c r="AH422" t="s">
        <v>193</v>
      </c>
      <c r="AK422" t="s">
        <v>181</v>
      </c>
      <c r="AL422" t="s">
        <v>182</v>
      </c>
      <c r="AM422">
        <f>2.9</f>
        <v>2.9</v>
      </c>
      <c r="AN422">
        <f>0.06</f>
        <v>0.06</v>
      </c>
      <c r="AO422">
        <f>8.2</f>
        <v>8.1999999999999993</v>
      </c>
      <c r="AP422">
        <f>10</f>
        <v>10</v>
      </c>
      <c r="AQ422" t="s">
        <v>180</v>
      </c>
      <c r="CC422">
        <f>0.19</f>
        <v>0.19</v>
      </c>
    </row>
    <row r="423" spans="1:81" x14ac:dyDescent="0.25">
      <c r="A423" t="s">
        <v>1739</v>
      </c>
      <c r="B423" t="s">
        <v>170</v>
      </c>
      <c r="C423" s="1">
        <v>46120</v>
      </c>
      <c r="D423" t="s">
        <v>184</v>
      </c>
      <c r="E423" t="s">
        <v>546</v>
      </c>
      <c r="F423" t="s">
        <v>638</v>
      </c>
      <c r="G423" t="s">
        <v>4362</v>
      </c>
      <c r="H423">
        <v>843</v>
      </c>
      <c r="I423" t="s">
        <v>4362</v>
      </c>
      <c r="J423">
        <v>259</v>
      </c>
      <c r="K423" t="s">
        <v>4494</v>
      </c>
      <c r="L423" t="s">
        <v>266</v>
      </c>
      <c r="M423" t="s">
        <v>4735</v>
      </c>
      <c r="N423" t="s">
        <v>4363</v>
      </c>
      <c r="O423" t="s">
        <v>1740</v>
      </c>
      <c r="R423">
        <f>1</f>
        <v>1</v>
      </c>
      <c r="S423">
        <f>11.1</f>
        <v>11.1</v>
      </c>
      <c r="T423">
        <f>7.8</f>
        <v>7.8</v>
      </c>
      <c r="U423">
        <f>311</f>
        <v>311</v>
      </c>
      <c r="V423">
        <f>0.26</f>
        <v>0.26</v>
      </c>
      <c r="X423">
        <f>0</f>
        <v>0</v>
      </c>
      <c r="Y423">
        <f>0.2</f>
        <v>0.2</v>
      </c>
      <c r="Z423">
        <f>0</f>
        <v>0</v>
      </c>
      <c r="AA423" t="s">
        <v>179</v>
      </c>
      <c r="AB423">
        <f>27</f>
        <v>27</v>
      </c>
      <c r="AC423">
        <f>0</f>
        <v>0</v>
      </c>
      <c r="AD423">
        <f>0</f>
        <v>0</v>
      </c>
      <c r="AE423">
        <f>0</f>
        <v>0</v>
      </c>
      <c r="AG423" t="s">
        <v>180</v>
      </c>
      <c r="AH423" t="s">
        <v>193</v>
      </c>
      <c r="AK423" t="s">
        <v>181</v>
      </c>
      <c r="AL423" t="s">
        <v>182</v>
      </c>
      <c r="AM423">
        <f>6.2</f>
        <v>6.2</v>
      </c>
      <c r="AN423">
        <f>0.12</f>
        <v>0.12</v>
      </c>
      <c r="AO423">
        <f>9.3</f>
        <v>9.3000000000000007</v>
      </c>
      <c r="AP423">
        <f>1.4</f>
        <v>1.4</v>
      </c>
      <c r="AQ423" t="s">
        <v>180</v>
      </c>
    </row>
    <row r="424" spans="1:81" x14ac:dyDescent="0.25">
      <c r="A424" t="s">
        <v>1741</v>
      </c>
      <c r="B424" t="s">
        <v>170</v>
      </c>
      <c r="C424" s="1">
        <v>46097</v>
      </c>
      <c r="D424" t="s">
        <v>222</v>
      </c>
      <c r="E424" t="s">
        <v>260</v>
      </c>
      <c r="F424" t="s">
        <v>518</v>
      </c>
      <c r="G424" t="s">
        <v>1742</v>
      </c>
      <c r="H424">
        <v>1414</v>
      </c>
      <c r="I424" t="s">
        <v>1742</v>
      </c>
      <c r="J424">
        <v>187</v>
      </c>
      <c r="K424" t="s">
        <v>4494</v>
      </c>
      <c r="L424" t="s">
        <v>369</v>
      </c>
      <c r="M424" t="s">
        <v>4736</v>
      </c>
      <c r="N424" t="s">
        <v>4737</v>
      </c>
      <c r="O424" t="s">
        <v>1743</v>
      </c>
      <c r="R424">
        <f>1</f>
        <v>1</v>
      </c>
      <c r="S424">
        <f>9.9</f>
        <v>9.9</v>
      </c>
      <c r="T424">
        <f>7.4</f>
        <v>7.4</v>
      </c>
      <c r="U424">
        <f>464</f>
        <v>464</v>
      </c>
      <c r="V424">
        <f>0.27</f>
        <v>0.27</v>
      </c>
      <c r="X424">
        <f>1</f>
        <v>1</v>
      </c>
      <c r="Y424">
        <f>0.19</f>
        <v>0.19</v>
      </c>
      <c r="Z424">
        <f>0</f>
        <v>0</v>
      </c>
      <c r="AA424" t="s">
        <v>179</v>
      </c>
      <c r="AB424" t="s">
        <v>179</v>
      </c>
      <c r="AC424">
        <f>0</f>
        <v>0</v>
      </c>
      <c r="AD424">
        <f>0</f>
        <v>0</v>
      </c>
      <c r="AE424">
        <f>0</f>
        <v>0</v>
      </c>
      <c r="AG424" t="s">
        <v>180</v>
      </c>
      <c r="AH424" t="s">
        <v>193</v>
      </c>
      <c r="AK424" t="s">
        <v>181</v>
      </c>
      <c r="AL424" t="s">
        <v>182</v>
      </c>
      <c r="AM424">
        <f>1.5</f>
        <v>1.5</v>
      </c>
      <c r="AN424">
        <f>0.03</f>
        <v>0.03</v>
      </c>
      <c r="AO424">
        <f>7.4</f>
        <v>7.4</v>
      </c>
      <c r="AP424">
        <f>3</f>
        <v>3</v>
      </c>
      <c r="AQ424" t="s">
        <v>180</v>
      </c>
    </row>
    <row r="425" spans="1:81" x14ac:dyDescent="0.25">
      <c r="A425" t="s">
        <v>1744</v>
      </c>
      <c r="B425" t="s">
        <v>170</v>
      </c>
      <c r="C425" s="1">
        <v>46121</v>
      </c>
      <c r="D425" t="s">
        <v>216</v>
      </c>
      <c r="E425" t="s">
        <v>217</v>
      </c>
      <c r="F425" t="s">
        <v>3327</v>
      </c>
      <c r="G425" t="s">
        <v>4364</v>
      </c>
      <c r="H425">
        <v>1290</v>
      </c>
      <c r="I425" t="s">
        <v>4364</v>
      </c>
      <c r="J425">
        <v>95</v>
      </c>
      <c r="K425" t="s">
        <v>4494</v>
      </c>
      <c r="L425" t="s">
        <v>271</v>
      </c>
      <c r="M425" t="s">
        <v>4738</v>
      </c>
      <c r="N425" t="s">
        <v>3391</v>
      </c>
      <c r="O425" t="s">
        <v>1745</v>
      </c>
      <c r="Q425" t="s">
        <v>3504</v>
      </c>
      <c r="R425">
        <f>1</f>
        <v>1</v>
      </c>
      <c r="S425">
        <f>11</f>
        <v>11</v>
      </c>
      <c r="T425">
        <f>8.3</f>
        <v>8.3000000000000007</v>
      </c>
      <c r="U425">
        <f>242</f>
        <v>242</v>
      </c>
      <c r="X425">
        <f>1</f>
        <v>1</v>
      </c>
      <c r="Y425">
        <f>0.09</f>
        <v>0.09</v>
      </c>
      <c r="Z425">
        <f>0</f>
        <v>0</v>
      </c>
      <c r="AA425">
        <f>10</f>
        <v>10</v>
      </c>
      <c r="AB425">
        <f>0</f>
        <v>0</v>
      </c>
      <c r="AC425">
        <f>0</f>
        <v>0</v>
      </c>
      <c r="AD425">
        <f>0</f>
        <v>0</v>
      </c>
      <c r="AE425">
        <f>0</f>
        <v>0</v>
      </c>
      <c r="AG425" t="s">
        <v>220</v>
      </c>
    </row>
    <row r="426" spans="1:81" x14ac:dyDescent="0.25">
      <c r="A426" t="s">
        <v>1746</v>
      </c>
      <c r="B426" t="s">
        <v>170</v>
      </c>
      <c r="C426" s="1">
        <v>46129</v>
      </c>
      <c r="D426" t="s">
        <v>238</v>
      </c>
      <c r="E426" t="s">
        <v>239</v>
      </c>
      <c r="F426" t="s">
        <v>478</v>
      </c>
      <c r="G426" t="s">
        <v>1747</v>
      </c>
      <c r="H426">
        <v>472</v>
      </c>
      <c r="I426" t="s">
        <v>1747</v>
      </c>
      <c r="J426">
        <v>96</v>
      </c>
      <c r="K426" t="s">
        <v>4494</v>
      </c>
      <c r="L426" t="s">
        <v>271</v>
      </c>
      <c r="M426" t="s">
        <v>4739</v>
      </c>
      <c r="N426" t="s">
        <v>1748</v>
      </c>
      <c r="O426" t="s">
        <v>1749</v>
      </c>
      <c r="R426">
        <f>1</f>
        <v>1</v>
      </c>
      <c r="S426">
        <f>11.4</f>
        <v>11.4</v>
      </c>
      <c r="T426">
        <f>7</f>
        <v>7</v>
      </c>
      <c r="U426">
        <f>386</f>
        <v>386</v>
      </c>
      <c r="X426">
        <f>0</f>
        <v>0</v>
      </c>
      <c r="Y426">
        <f>0.13</f>
        <v>0.13</v>
      </c>
      <c r="Z426">
        <f>0</f>
        <v>0</v>
      </c>
      <c r="AA426" t="s">
        <v>179</v>
      </c>
      <c r="AB426">
        <f>49</f>
        <v>49</v>
      </c>
      <c r="AC426">
        <f>0</f>
        <v>0</v>
      </c>
      <c r="AD426">
        <f>0</f>
        <v>0</v>
      </c>
      <c r="AE426">
        <f>0</f>
        <v>0</v>
      </c>
      <c r="AG426" t="s">
        <v>220</v>
      </c>
    </row>
    <row r="427" spans="1:81" x14ac:dyDescent="0.25">
      <c r="A427" t="s">
        <v>1750</v>
      </c>
      <c r="B427" t="s">
        <v>170</v>
      </c>
      <c r="C427" s="1">
        <v>46097</v>
      </c>
      <c r="D427" t="s">
        <v>222</v>
      </c>
      <c r="E427" t="s">
        <v>223</v>
      </c>
      <c r="F427" t="s">
        <v>509</v>
      </c>
      <c r="G427" t="s">
        <v>1751</v>
      </c>
      <c r="H427">
        <v>1346</v>
      </c>
      <c r="I427" t="s">
        <v>1751</v>
      </c>
      <c r="J427">
        <v>150</v>
      </c>
      <c r="K427" t="s">
        <v>4492</v>
      </c>
      <c r="L427" t="s">
        <v>1564</v>
      </c>
      <c r="M427" t="s">
        <v>1752</v>
      </c>
      <c r="N427" t="s">
        <v>3392</v>
      </c>
      <c r="O427" t="s">
        <v>1753</v>
      </c>
      <c r="R427">
        <f>1</f>
        <v>1</v>
      </c>
      <c r="S427">
        <f>8.8</f>
        <v>8.8000000000000007</v>
      </c>
      <c r="T427">
        <f>7.1</f>
        <v>7.1</v>
      </c>
      <c r="U427">
        <f>134</f>
        <v>134</v>
      </c>
      <c r="V427">
        <f>0.12</f>
        <v>0.12</v>
      </c>
      <c r="X427">
        <f>0</f>
        <v>0</v>
      </c>
      <c r="Y427">
        <f>0.14</f>
        <v>0.14000000000000001</v>
      </c>
      <c r="Z427">
        <f>0</f>
        <v>0</v>
      </c>
      <c r="AA427" t="s">
        <v>179</v>
      </c>
      <c r="AB427" t="s">
        <v>179</v>
      </c>
      <c r="AD427">
        <f>0</f>
        <v>0</v>
      </c>
      <c r="AE427">
        <f>0</f>
        <v>0</v>
      </c>
      <c r="AG427" t="s">
        <v>180</v>
      </c>
    </row>
    <row r="428" spans="1:81" x14ac:dyDescent="0.25">
      <c r="A428" t="s">
        <v>1754</v>
      </c>
      <c r="B428" t="s">
        <v>170</v>
      </c>
      <c r="C428" s="1">
        <v>46097</v>
      </c>
      <c r="D428" t="s">
        <v>222</v>
      </c>
      <c r="E428" t="s">
        <v>223</v>
      </c>
      <c r="F428" t="s">
        <v>509</v>
      </c>
      <c r="G428" t="s">
        <v>1755</v>
      </c>
      <c r="H428">
        <v>1179</v>
      </c>
      <c r="I428" t="s">
        <v>1755</v>
      </c>
      <c r="J428">
        <v>126</v>
      </c>
      <c r="K428" t="s">
        <v>4492</v>
      </c>
      <c r="L428" t="s">
        <v>1564</v>
      </c>
      <c r="M428" t="s">
        <v>4740</v>
      </c>
      <c r="N428" t="s">
        <v>3393</v>
      </c>
      <c r="O428" t="s">
        <v>1756</v>
      </c>
      <c r="Q428" t="s">
        <v>3505</v>
      </c>
      <c r="R428">
        <f>1</f>
        <v>1</v>
      </c>
      <c r="S428">
        <f>5.9</f>
        <v>5.9</v>
      </c>
      <c r="T428">
        <f>7.4</f>
        <v>7.4</v>
      </c>
      <c r="U428">
        <f>78</f>
        <v>78</v>
      </c>
      <c r="V428">
        <f>0.13</f>
        <v>0.13</v>
      </c>
      <c r="X428">
        <f>1</f>
        <v>1</v>
      </c>
      <c r="Y428">
        <f>0.17</f>
        <v>0.17</v>
      </c>
      <c r="Z428">
        <f>0</f>
        <v>0</v>
      </c>
      <c r="AA428" t="s">
        <v>179</v>
      </c>
      <c r="AB428" t="s">
        <v>179</v>
      </c>
      <c r="AD428">
        <f>0</f>
        <v>0</v>
      </c>
      <c r="AE428">
        <f>0</f>
        <v>0</v>
      </c>
      <c r="AG428" t="s">
        <v>180</v>
      </c>
      <c r="AH428" t="s">
        <v>193</v>
      </c>
      <c r="AK428" t="s">
        <v>181</v>
      </c>
      <c r="AL428" t="s">
        <v>182</v>
      </c>
      <c r="AM428">
        <f>1.9</f>
        <v>1.9</v>
      </c>
      <c r="AN428">
        <f>0.04</f>
        <v>0.04</v>
      </c>
      <c r="AO428">
        <f>11</f>
        <v>11</v>
      </c>
      <c r="AP428">
        <f>1.2</f>
        <v>1.2</v>
      </c>
      <c r="AQ428" t="s">
        <v>180</v>
      </c>
    </row>
    <row r="429" spans="1:81" x14ac:dyDescent="0.25">
      <c r="A429" t="s">
        <v>1757</v>
      </c>
      <c r="B429" t="s">
        <v>170</v>
      </c>
      <c r="C429" s="1">
        <v>46087</v>
      </c>
      <c r="D429" t="s">
        <v>302</v>
      </c>
      <c r="E429" t="s">
        <v>303</v>
      </c>
      <c r="F429" t="s">
        <v>3338</v>
      </c>
      <c r="G429" t="s">
        <v>3741</v>
      </c>
      <c r="H429">
        <v>1557</v>
      </c>
      <c r="I429" t="s">
        <v>3741</v>
      </c>
      <c r="J429">
        <v>100</v>
      </c>
      <c r="K429" t="s">
        <v>4494</v>
      </c>
      <c r="L429" t="s">
        <v>3331</v>
      </c>
      <c r="M429" t="s">
        <v>4741</v>
      </c>
      <c r="N429" t="s">
        <v>3613</v>
      </c>
      <c r="O429" t="s">
        <v>1758</v>
      </c>
      <c r="R429">
        <f>1</f>
        <v>1</v>
      </c>
      <c r="S429">
        <f>8.5</f>
        <v>8.5</v>
      </c>
      <c r="T429">
        <f>7.5</f>
        <v>7.5</v>
      </c>
      <c r="U429">
        <f>333</f>
        <v>333</v>
      </c>
      <c r="X429">
        <f>0</f>
        <v>0</v>
      </c>
      <c r="Y429" t="s">
        <v>180</v>
      </c>
      <c r="Z429">
        <f>0</f>
        <v>0</v>
      </c>
      <c r="AA429" t="s">
        <v>179</v>
      </c>
      <c r="AB429" t="s">
        <v>179</v>
      </c>
      <c r="AC429">
        <f>0</f>
        <v>0</v>
      </c>
      <c r="AD429">
        <f>0</f>
        <v>0</v>
      </c>
      <c r="AE429">
        <f>0</f>
        <v>0</v>
      </c>
      <c r="AG429" t="s">
        <v>180</v>
      </c>
      <c r="AH429" t="s">
        <v>193</v>
      </c>
      <c r="AK429" t="s">
        <v>181</v>
      </c>
      <c r="AL429" t="s">
        <v>182</v>
      </c>
      <c r="AM429">
        <f>14</f>
        <v>14</v>
      </c>
      <c r="AN429">
        <f>0.28</f>
        <v>0.28000000000000003</v>
      </c>
      <c r="AO429">
        <f>7.5</f>
        <v>7.5</v>
      </c>
      <c r="AP429">
        <f>5.3</f>
        <v>5.3</v>
      </c>
      <c r="AQ429" t="s">
        <v>180</v>
      </c>
    </row>
    <row r="430" spans="1:81" x14ac:dyDescent="0.25">
      <c r="A430" t="s">
        <v>1759</v>
      </c>
      <c r="B430" t="s">
        <v>170</v>
      </c>
      <c r="C430" s="1">
        <v>46125</v>
      </c>
      <c r="D430" t="s">
        <v>216</v>
      </c>
      <c r="E430" t="s">
        <v>217</v>
      </c>
      <c r="F430" t="s">
        <v>368</v>
      </c>
      <c r="G430" t="s">
        <v>1760</v>
      </c>
      <c r="H430">
        <v>268</v>
      </c>
      <c r="I430" t="s">
        <v>1760</v>
      </c>
      <c r="J430">
        <v>138</v>
      </c>
      <c r="K430" t="s">
        <v>4494</v>
      </c>
      <c r="L430" t="s">
        <v>266</v>
      </c>
      <c r="M430" t="s">
        <v>4742</v>
      </c>
      <c r="N430" t="s">
        <v>1761</v>
      </c>
      <c r="O430" t="s">
        <v>1762</v>
      </c>
      <c r="R430">
        <f>1</f>
        <v>1</v>
      </c>
      <c r="S430">
        <f>14.2</f>
        <v>14.2</v>
      </c>
      <c r="T430">
        <f>8.1</f>
        <v>8.1</v>
      </c>
      <c r="U430">
        <f>278</f>
        <v>278</v>
      </c>
      <c r="V430">
        <f>0.11</f>
        <v>0.11</v>
      </c>
      <c r="X430">
        <f>1</f>
        <v>1</v>
      </c>
      <c r="Y430">
        <f>0.16</f>
        <v>0.16</v>
      </c>
      <c r="Z430">
        <f>0</f>
        <v>0</v>
      </c>
      <c r="AA430">
        <f>0</f>
        <v>0</v>
      </c>
      <c r="AB430">
        <f>0</f>
        <v>0</v>
      </c>
      <c r="AC430">
        <f>0</f>
        <v>0</v>
      </c>
      <c r="AD430">
        <f>0</f>
        <v>0</v>
      </c>
      <c r="AE430">
        <f>0</f>
        <v>0</v>
      </c>
      <c r="AG430" t="s">
        <v>220</v>
      </c>
    </row>
    <row r="431" spans="1:81" x14ac:dyDescent="0.25">
      <c r="A431" t="s">
        <v>1763</v>
      </c>
      <c r="B431" t="s">
        <v>170</v>
      </c>
      <c r="C431" s="1">
        <v>46133</v>
      </c>
      <c r="D431" t="s">
        <v>184</v>
      </c>
      <c r="E431" t="s">
        <v>185</v>
      </c>
      <c r="F431" t="s">
        <v>1084</v>
      </c>
      <c r="G431" t="s">
        <v>1764</v>
      </c>
      <c r="H431">
        <v>569</v>
      </c>
      <c r="I431" t="s">
        <v>1764</v>
      </c>
      <c r="J431">
        <v>219</v>
      </c>
      <c r="K431" t="s">
        <v>4494</v>
      </c>
      <c r="L431" t="s">
        <v>3567</v>
      </c>
      <c r="M431" t="s">
        <v>1765</v>
      </c>
      <c r="N431" t="s">
        <v>1766</v>
      </c>
      <c r="O431" t="s">
        <v>1767</v>
      </c>
      <c r="R431">
        <f>1</f>
        <v>1</v>
      </c>
      <c r="S431">
        <f>11.6</f>
        <v>11.6</v>
      </c>
      <c r="T431">
        <f>7.3</f>
        <v>7.3</v>
      </c>
      <c r="U431">
        <f>75</f>
        <v>75</v>
      </c>
      <c r="X431">
        <f>0</f>
        <v>0</v>
      </c>
      <c r="Y431" t="s">
        <v>180</v>
      </c>
      <c r="Z431">
        <f>0</f>
        <v>0</v>
      </c>
      <c r="AA431" t="s">
        <v>179</v>
      </c>
      <c r="AB431" t="s">
        <v>179</v>
      </c>
      <c r="AC431">
        <f>0</f>
        <v>0</v>
      </c>
      <c r="AD431">
        <f>0</f>
        <v>0</v>
      </c>
      <c r="AE431">
        <f>0</f>
        <v>0</v>
      </c>
      <c r="AG431" t="s">
        <v>180</v>
      </c>
      <c r="AH431">
        <f>0.6</f>
        <v>0.6</v>
      </c>
      <c r="AK431" t="s">
        <v>181</v>
      </c>
      <c r="AL431" t="s">
        <v>182</v>
      </c>
      <c r="AM431">
        <f>7.1</f>
        <v>7.1</v>
      </c>
      <c r="AN431">
        <f>0.14</f>
        <v>0.14000000000000001</v>
      </c>
      <c r="AO431">
        <f>5.1</f>
        <v>5.0999999999999996</v>
      </c>
      <c r="AP431">
        <f>5.4</f>
        <v>5.4</v>
      </c>
      <c r="AQ431" t="s">
        <v>180</v>
      </c>
    </row>
    <row r="432" spans="1:81" x14ac:dyDescent="0.25">
      <c r="A432" t="s">
        <v>1768</v>
      </c>
      <c r="B432" t="s">
        <v>170</v>
      </c>
      <c r="C432" s="1">
        <v>46091</v>
      </c>
      <c r="D432" t="s">
        <v>184</v>
      </c>
      <c r="E432" t="s">
        <v>185</v>
      </c>
      <c r="F432" t="s">
        <v>269</v>
      </c>
      <c r="G432" t="s">
        <v>1769</v>
      </c>
      <c r="H432">
        <v>1496</v>
      </c>
      <c r="I432" t="s">
        <v>1769</v>
      </c>
      <c r="J432">
        <v>192</v>
      </c>
      <c r="K432" t="s">
        <v>4494</v>
      </c>
      <c r="L432" t="s">
        <v>266</v>
      </c>
      <c r="M432" t="s">
        <v>1215</v>
      </c>
      <c r="N432" t="s">
        <v>1770</v>
      </c>
      <c r="O432" t="s">
        <v>1771</v>
      </c>
      <c r="Q432" t="s">
        <v>274</v>
      </c>
      <c r="R432">
        <f>1</f>
        <v>1</v>
      </c>
      <c r="S432">
        <f>8.9</f>
        <v>8.9</v>
      </c>
      <c r="T432">
        <f>7.7</f>
        <v>7.7</v>
      </c>
      <c r="U432">
        <f>69</f>
        <v>69</v>
      </c>
      <c r="V432">
        <f>0.08</f>
        <v>0.08</v>
      </c>
      <c r="X432">
        <f>0</f>
        <v>0</v>
      </c>
      <c r="Y432">
        <f>0.28</f>
        <v>0.28000000000000003</v>
      </c>
      <c r="Z432">
        <f>0</f>
        <v>0</v>
      </c>
      <c r="AA432">
        <f>0</f>
        <v>0</v>
      </c>
      <c r="AB432">
        <f>0</f>
        <v>0</v>
      </c>
      <c r="AC432">
        <f>0</f>
        <v>0</v>
      </c>
      <c r="AD432">
        <f>0</f>
        <v>0</v>
      </c>
      <c r="AE432">
        <f>0</f>
        <v>0</v>
      </c>
      <c r="AG432" t="s">
        <v>180</v>
      </c>
    </row>
    <row r="433" spans="1:81" x14ac:dyDescent="0.25">
      <c r="A433" t="s">
        <v>1772</v>
      </c>
      <c r="B433" t="s">
        <v>170</v>
      </c>
      <c r="C433" s="1">
        <v>46105</v>
      </c>
      <c r="D433" t="s">
        <v>302</v>
      </c>
      <c r="E433" t="s">
        <v>303</v>
      </c>
      <c r="F433" t="s">
        <v>310</v>
      </c>
      <c r="G433" t="s">
        <v>311</v>
      </c>
      <c r="H433">
        <v>1218</v>
      </c>
      <c r="I433" t="s">
        <v>3394</v>
      </c>
      <c r="J433">
        <v>86</v>
      </c>
      <c r="K433" t="s">
        <v>4492</v>
      </c>
      <c r="L433" t="s">
        <v>266</v>
      </c>
      <c r="M433" t="s">
        <v>1773</v>
      </c>
      <c r="N433" t="s">
        <v>4014</v>
      </c>
      <c r="O433" t="s">
        <v>1774</v>
      </c>
      <c r="R433">
        <f>1</f>
        <v>1</v>
      </c>
      <c r="S433">
        <f>7.7</f>
        <v>7.7</v>
      </c>
      <c r="T433">
        <f>8.2</f>
        <v>8.1999999999999993</v>
      </c>
      <c r="U433">
        <f>100</f>
        <v>100</v>
      </c>
      <c r="V433">
        <f>0.17</f>
        <v>0.17</v>
      </c>
      <c r="X433">
        <f>0</f>
        <v>0</v>
      </c>
      <c r="Y433" t="s">
        <v>180</v>
      </c>
      <c r="Z433">
        <f>0</f>
        <v>0</v>
      </c>
      <c r="AA433" t="s">
        <v>179</v>
      </c>
      <c r="AB433" t="s">
        <v>179</v>
      </c>
      <c r="AD433">
        <f>0</f>
        <v>0</v>
      </c>
      <c r="AE433">
        <f>0</f>
        <v>0</v>
      </c>
      <c r="AG433" t="s">
        <v>180</v>
      </c>
    </row>
    <row r="434" spans="1:81" x14ac:dyDescent="0.25">
      <c r="A434" t="s">
        <v>1775</v>
      </c>
      <c r="B434" t="s">
        <v>170</v>
      </c>
      <c r="C434" s="1">
        <v>46086</v>
      </c>
      <c r="D434" t="s">
        <v>251</v>
      </c>
      <c r="E434" t="s">
        <v>252</v>
      </c>
      <c r="F434" t="s">
        <v>1776</v>
      </c>
      <c r="G434" t="s">
        <v>4015</v>
      </c>
      <c r="H434">
        <v>1089</v>
      </c>
      <c r="I434" t="s">
        <v>4015</v>
      </c>
      <c r="J434">
        <v>130</v>
      </c>
      <c r="K434" t="s">
        <v>4492</v>
      </c>
      <c r="L434" t="s">
        <v>271</v>
      </c>
      <c r="M434" t="s">
        <v>1777</v>
      </c>
      <c r="N434" t="s">
        <v>1778</v>
      </c>
      <c r="Q434" t="s">
        <v>274</v>
      </c>
      <c r="R434">
        <f>1</f>
        <v>1</v>
      </c>
      <c r="S434">
        <f>6.9</f>
        <v>6.9</v>
      </c>
      <c r="T434">
        <f>8</f>
        <v>8</v>
      </c>
      <c r="U434">
        <f>143</f>
        <v>143</v>
      </c>
      <c r="X434">
        <f>0</f>
        <v>0</v>
      </c>
      <c r="Y434" t="s">
        <v>180</v>
      </c>
      <c r="Z434">
        <f>0</f>
        <v>0</v>
      </c>
      <c r="AA434">
        <f>0</f>
        <v>0</v>
      </c>
      <c r="AB434">
        <f>0</f>
        <v>0</v>
      </c>
      <c r="AD434">
        <f>0</f>
        <v>0</v>
      </c>
      <c r="AE434">
        <f>0</f>
        <v>0</v>
      </c>
      <c r="AG434" t="s">
        <v>180</v>
      </c>
      <c r="AH434" t="s">
        <v>284</v>
      </c>
      <c r="AK434" t="s">
        <v>285</v>
      </c>
      <c r="AL434" t="s">
        <v>286</v>
      </c>
      <c r="AM434">
        <f>2.5</f>
        <v>2.5</v>
      </c>
      <c r="AN434">
        <f>0.05</f>
        <v>0.05</v>
      </c>
      <c r="AO434">
        <f>5</f>
        <v>5</v>
      </c>
      <c r="AP434">
        <f>1.1</f>
        <v>1.1000000000000001</v>
      </c>
      <c r="AQ434" t="s">
        <v>284</v>
      </c>
    </row>
    <row r="435" spans="1:81" x14ac:dyDescent="0.25">
      <c r="A435" t="s">
        <v>1779</v>
      </c>
      <c r="B435" t="s">
        <v>170</v>
      </c>
      <c r="C435" s="1">
        <v>46091</v>
      </c>
      <c r="D435" t="s">
        <v>222</v>
      </c>
      <c r="E435" t="s">
        <v>260</v>
      </c>
      <c r="F435" t="s">
        <v>1780</v>
      </c>
      <c r="G435" t="s">
        <v>1781</v>
      </c>
      <c r="H435">
        <v>1547</v>
      </c>
      <c r="I435" t="s">
        <v>1781</v>
      </c>
      <c r="J435">
        <v>172</v>
      </c>
      <c r="K435" t="s">
        <v>4492</v>
      </c>
      <c r="M435" t="s">
        <v>1782</v>
      </c>
      <c r="N435" t="s">
        <v>1783</v>
      </c>
      <c r="Q435" t="s">
        <v>3506</v>
      </c>
      <c r="R435">
        <f>1</f>
        <v>1</v>
      </c>
      <c r="S435">
        <f>8.8</f>
        <v>8.8000000000000007</v>
      </c>
      <c r="T435">
        <f>7.3</f>
        <v>7.3</v>
      </c>
      <c r="U435">
        <f>466</f>
        <v>466</v>
      </c>
      <c r="X435">
        <f>0</f>
        <v>0</v>
      </c>
      <c r="Y435">
        <f>0.88</f>
        <v>0.88</v>
      </c>
      <c r="Z435">
        <f>0</f>
        <v>0</v>
      </c>
      <c r="AA435" t="s">
        <v>179</v>
      </c>
      <c r="AB435" t="s">
        <v>179</v>
      </c>
      <c r="AD435">
        <f>0</f>
        <v>0</v>
      </c>
      <c r="AE435">
        <f>0</f>
        <v>0</v>
      </c>
      <c r="AG435" t="s">
        <v>220</v>
      </c>
      <c r="AH435">
        <f>0.31</f>
        <v>0.31</v>
      </c>
      <c r="AK435" t="s">
        <v>286</v>
      </c>
      <c r="AL435" t="s">
        <v>556</v>
      </c>
      <c r="AM435">
        <f>5.3</f>
        <v>5.3</v>
      </c>
      <c r="AN435">
        <f>0.106</f>
        <v>0.106</v>
      </c>
      <c r="AO435">
        <f>24</f>
        <v>24</v>
      </c>
      <c r="AP435">
        <f>7.3</f>
        <v>7.3</v>
      </c>
      <c r="AQ435">
        <f>0.061</f>
        <v>6.0999999999999999E-2</v>
      </c>
    </row>
    <row r="436" spans="1:81" x14ac:dyDescent="0.25">
      <c r="A436" t="s">
        <v>1784</v>
      </c>
      <c r="B436" t="s">
        <v>170</v>
      </c>
      <c r="C436" s="1">
        <v>46091</v>
      </c>
      <c r="D436" t="s">
        <v>425</v>
      </c>
      <c r="E436" t="s">
        <v>426</v>
      </c>
      <c r="F436" t="s">
        <v>4522</v>
      </c>
      <c r="G436" t="s">
        <v>4016</v>
      </c>
      <c r="H436">
        <v>1727</v>
      </c>
      <c r="I436" t="s">
        <v>4016</v>
      </c>
      <c r="J436">
        <v>55</v>
      </c>
      <c r="K436" t="s">
        <v>4494</v>
      </c>
      <c r="M436" t="s">
        <v>4017</v>
      </c>
      <c r="N436" t="s">
        <v>4018</v>
      </c>
      <c r="R436">
        <f>1</f>
        <v>1</v>
      </c>
      <c r="S436">
        <f>9.2</f>
        <v>9.1999999999999993</v>
      </c>
      <c r="T436">
        <f>7.4</f>
        <v>7.4</v>
      </c>
      <c r="U436">
        <f>30</f>
        <v>30</v>
      </c>
      <c r="X436">
        <f>0</f>
        <v>0</v>
      </c>
      <c r="Y436" t="s">
        <v>180</v>
      </c>
      <c r="Z436">
        <f>0</f>
        <v>0</v>
      </c>
      <c r="AA436" t="s">
        <v>179</v>
      </c>
      <c r="AB436" t="s">
        <v>179</v>
      </c>
      <c r="AC436">
        <f>0</f>
        <v>0</v>
      </c>
      <c r="AD436">
        <f>0</f>
        <v>0</v>
      </c>
      <c r="AE436">
        <f>0</f>
        <v>0</v>
      </c>
      <c r="AG436" t="s">
        <v>180</v>
      </c>
      <c r="AH436" t="s">
        <v>193</v>
      </c>
      <c r="AK436" t="s">
        <v>181</v>
      </c>
      <c r="AL436" t="s">
        <v>182</v>
      </c>
      <c r="AM436">
        <f>1.1</f>
        <v>1.1000000000000001</v>
      </c>
      <c r="AN436">
        <f>0.02</f>
        <v>0.02</v>
      </c>
      <c r="AO436">
        <f>1.1</f>
        <v>1.1000000000000001</v>
      </c>
      <c r="AP436">
        <f>0.8</f>
        <v>0.8</v>
      </c>
      <c r="AQ436" t="s">
        <v>180</v>
      </c>
    </row>
    <row r="437" spans="1:81" x14ac:dyDescent="0.25">
      <c r="A437" t="s">
        <v>1785</v>
      </c>
      <c r="B437" t="s">
        <v>170</v>
      </c>
      <c r="C437" s="1">
        <v>46121</v>
      </c>
      <c r="D437" t="s">
        <v>216</v>
      </c>
      <c r="E437" t="s">
        <v>217</v>
      </c>
      <c r="F437" t="s">
        <v>3327</v>
      </c>
      <c r="G437" t="s">
        <v>1786</v>
      </c>
      <c r="H437">
        <v>1297</v>
      </c>
      <c r="I437" t="s">
        <v>1787</v>
      </c>
      <c r="J437">
        <v>105</v>
      </c>
      <c r="K437" t="s">
        <v>4494</v>
      </c>
      <c r="L437" t="s">
        <v>266</v>
      </c>
      <c r="M437" t="s">
        <v>1788</v>
      </c>
      <c r="N437" t="s">
        <v>1789</v>
      </c>
      <c r="Q437" t="s">
        <v>3507</v>
      </c>
      <c r="R437">
        <f>1</f>
        <v>1</v>
      </c>
      <c r="S437">
        <f>12</f>
        <v>12</v>
      </c>
      <c r="T437">
        <f>7.1</f>
        <v>7.1</v>
      </c>
      <c r="U437">
        <f>50</f>
        <v>50</v>
      </c>
      <c r="V437">
        <f>0.18</f>
        <v>0.18</v>
      </c>
      <c r="X437">
        <f>1</f>
        <v>1</v>
      </c>
      <c r="Y437">
        <f>0.16</f>
        <v>0.16</v>
      </c>
      <c r="Z437">
        <f>0</f>
        <v>0</v>
      </c>
      <c r="AA437">
        <f>1</f>
        <v>1</v>
      </c>
      <c r="AB437">
        <f>0</f>
        <v>0</v>
      </c>
      <c r="AC437">
        <f>0</f>
        <v>0</v>
      </c>
      <c r="AD437">
        <f>0</f>
        <v>0</v>
      </c>
      <c r="AE437">
        <f>0</f>
        <v>0</v>
      </c>
      <c r="AG437" t="s">
        <v>220</v>
      </c>
      <c r="AH437" t="s">
        <v>411</v>
      </c>
      <c r="AK437" t="s">
        <v>285</v>
      </c>
      <c r="AL437" t="s">
        <v>181</v>
      </c>
      <c r="AM437">
        <f>1.6</f>
        <v>1.6</v>
      </c>
      <c r="AN437">
        <f>0.03</f>
        <v>0.03</v>
      </c>
      <c r="AO437">
        <f>3.2</f>
        <v>3.2</v>
      </c>
      <c r="AP437">
        <f>2.2</f>
        <v>2.2000000000000002</v>
      </c>
      <c r="AQ437" t="s">
        <v>284</v>
      </c>
    </row>
    <row r="438" spans="1:81" x14ac:dyDescent="0.25">
      <c r="A438" t="s">
        <v>1790</v>
      </c>
      <c r="B438" t="s">
        <v>170</v>
      </c>
      <c r="C438" s="1">
        <v>46121</v>
      </c>
      <c r="D438" t="s">
        <v>216</v>
      </c>
      <c r="E438" t="s">
        <v>217</v>
      </c>
      <c r="F438" t="s">
        <v>3327</v>
      </c>
      <c r="G438" t="s">
        <v>3742</v>
      </c>
      <c r="H438">
        <v>1521</v>
      </c>
      <c r="I438" t="s">
        <v>3743</v>
      </c>
      <c r="J438">
        <v>118</v>
      </c>
      <c r="K438" t="s">
        <v>4494</v>
      </c>
      <c r="L438" t="s">
        <v>266</v>
      </c>
      <c r="M438" t="s">
        <v>3744</v>
      </c>
      <c r="N438" t="s">
        <v>3745</v>
      </c>
      <c r="Q438" t="s">
        <v>3508</v>
      </c>
      <c r="R438">
        <f>1</f>
        <v>1</v>
      </c>
      <c r="S438">
        <f>10.8</f>
        <v>10.8</v>
      </c>
      <c r="T438">
        <f>8.1</f>
        <v>8.1</v>
      </c>
      <c r="U438">
        <f>290</f>
        <v>290</v>
      </c>
      <c r="V438">
        <f>0.11</f>
        <v>0.11</v>
      </c>
      <c r="X438">
        <f>1</f>
        <v>1</v>
      </c>
      <c r="Y438">
        <f>0.12</f>
        <v>0.12</v>
      </c>
      <c r="Z438">
        <f>0</f>
        <v>0</v>
      </c>
      <c r="AA438">
        <f>1</f>
        <v>1</v>
      </c>
      <c r="AB438">
        <f>0</f>
        <v>0</v>
      </c>
      <c r="AD438">
        <f>0</f>
        <v>0</v>
      </c>
      <c r="AE438">
        <f>0</f>
        <v>0</v>
      </c>
      <c r="AG438" t="s">
        <v>220</v>
      </c>
    </row>
    <row r="439" spans="1:81" x14ac:dyDescent="0.25">
      <c r="A439" t="s">
        <v>1791</v>
      </c>
      <c r="B439" t="s">
        <v>170</v>
      </c>
      <c r="C439" s="1">
        <v>46091</v>
      </c>
      <c r="D439" t="s">
        <v>216</v>
      </c>
      <c r="E439" t="s">
        <v>217</v>
      </c>
      <c r="F439" t="s">
        <v>3555</v>
      </c>
      <c r="G439" t="s">
        <v>1792</v>
      </c>
      <c r="H439">
        <v>1369</v>
      </c>
      <c r="I439" t="s">
        <v>1792</v>
      </c>
      <c r="J439">
        <v>100</v>
      </c>
      <c r="K439" t="s">
        <v>4494</v>
      </c>
      <c r="L439" t="s">
        <v>271</v>
      </c>
      <c r="M439" t="s">
        <v>4365</v>
      </c>
      <c r="N439" t="s">
        <v>4743</v>
      </c>
      <c r="Q439" t="s">
        <v>3614</v>
      </c>
      <c r="R439">
        <f>1</f>
        <v>1</v>
      </c>
      <c r="S439">
        <f>10.6</f>
        <v>10.6</v>
      </c>
      <c r="T439">
        <f>8.1</f>
        <v>8.1</v>
      </c>
      <c r="U439">
        <f>211</f>
        <v>211</v>
      </c>
      <c r="X439">
        <f>1</f>
        <v>1</v>
      </c>
      <c r="Y439">
        <f>0.2</f>
        <v>0.2</v>
      </c>
      <c r="Z439">
        <f>0</f>
        <v>0</v>
      </c>
      <c r="AA439">
        <f>0</f>
        <v>0</v>
      </c>
      <c r="AB439">
        <f>2</f>
        <v>2</v>
      </c>
      <c r="AC439">
        <f>0</f>
        <v>0</v>
      </c>
      <c r="AD439">
        <f>0</f>
        <v>0</v>
      </c>
      <c r="AE439">
        <f>0</f>
        <v>0</v>
      </c>
      <c r="AG439" t="s">
        <v>220</v>
      </c>
    </row>
    <row r="440" spans="1:81" x14ac:dyDescent="0.25">
      <c r="A440" t="s">
        <v>1793</v>
      </c>
      <c r="B440" t="s">
        <v>170</v>
      </c>
      <c r="C440" s="1">
        <v>46080</v>
      </c>
      <c r="D440" t="s">
        <v>302</v>
      </c>
      <c r="E440" t="s">
        <v>303</v>
      </c>
      <c r="F440" t="s">
        <v>3338</v>
      </c>
      <c r="G440" t="s">
        <v>4019</v>
      </c>
      <c r="H440">
        <v>1803</v>
      </c>
      <c r="I440" t="s">
        <v>4366</v>
      </c>
      <c r="J440">
        <v>50</v>
      </c>
      <c r="K440" t="s">
        <v>4494</v>
      </c>
      <c r="L440" t="s">
        <v>271</v>
      </c>
      <c r="M440" t="s">
        <v>1794</v>
      </c>
      <c r="N440" t="s">
        <v>1795</v>
      </c>
      <c r="O440" t="s">
        <v>1796</v>
      </c>
      <c r="R440">
        <f>1</f>
        <v>1</v>
      </c>
      <c r="S440">
        <f>9.8</f>
        <v>9.8000000000000007</v>
      </c>
      <c r="T440">
        <f>7.3</f>
        <v>7.3</v>
      </c>
      <c r="U440">
        <f>122</f>
        <v>122</v>
      </c>
      <c r="X440">
        <f>0</f>
        <v>0</v>
      </c>
      <c r="Y440" t="s">
        <v>180</v>
      </c>
      <c r="Z440">
        <f>0</f>
        <v>0</v>
      </c>
      <c r="AA440" t="s">
        <v>179</v>
      </c>
      <c r="AB440" t="s">
        <v>179</v>
      </c>
      <c r="AC440">
        <f>0</f>
        <v>0</v>
      </c>
      <c r="AD440">
        <f>0</f>
        <v>0</v>
      </c>
      <c r="AE440">
        <f>0</f>
        <v>0</v>
      </c>
      <c r="AG440" t="s">
        <v>180</v>
      </c>
      <c r="AH440" t="s">
        <v>193</v>
      </c>
      <c r="AK440" t="s">
        <v>181</v>
      </c>
      <c r="AL440" t="s">
        <v>182</v>
      </c>
      <c r="AM440">
        <f>3.1</f>
        <v>3.1</v>
      </c>
      <c r="AN440">
        <f>0.06</f>
        <v>0.06</v>
      </c>
      <c r="AO440">
        <f>7.6</f>
        <v>7.6</v>
      </c>
      <c r="AP440">
        <f>19</f>
        <v>19</v>
      </c>
      <c r="AQ440" t="s">
        <v>180</v>
      </c>
    </row>
    <row r="441" spans="1:81" x14ac:dyDescent="0.25">
      <c r="A441" t="s">
        <v>1797</v>
      </c>
      <c r="B441" t="s">
        <v>170</v>
      </c>
      <c r="C441" s="1">
        <v>46086</v>
      </c>
      <c r="D441" t="s">
        <v>184</v>
      </c>
      <c r="E441" t="s">
        <v>546</v>
      </c>
      <c r="F441" t="s">
        <v>547</v>
      </c>
      <c r="G441" t="s">
        <v>4020</v>
      </c>
      <c r="H441">
        <v>1797</v>
      </c>
      <c r="I441" t="s">
        <v>4020</v>
      </c>
      <c r="J441">
        <v>222</v>
      </c>
      <c r="K441" t="s">
        <v>3334</v>
      </c>
      <c r="L441" t="s">
        <v>266</v>
      </c>
      <c r="M441" t="s">
        <v>4021</v>
      </c>
      <c r="N441" t="s">
        <v>4022</v>
      </c>
      <c r="Q441" t="s">
        <v>4744</v>
      </c>
      <c r="R441">
        <f>1</f>
        <v>1</v>
      </c>
      <c r="S441">
        <f>7.4</f>
        <v>7.4</v>
      </c>
      <c r="T441">
        <f>7.3</f>
        <v>7.3</v>
      </c>
      <c r="U441">
        <f>101</f>
        <v>101</v>
      </c>
      <c r="V441">
        <f>0.09</f>
        <v>0.09</v>
      </c>
      <c r="X441">
        <f>0</f>
        <v>0</v>
      </c>
      <c r="Y441" t="s">
        <v>180</v>
      </c>
      <c r="Z441">
        <f>0</f>
        <v>0</v>
      </c>
      <c r="AA441" t="s">
        <v>179</v>
      </c>
      <c r="AB441" t="s">
        <v>179</v>
      </c>
      <c r="AC441">
        <f>0</f>
        <v>0</v>
      </c>
      <c r="AD441">
        <f>0</f>
        <v>0</v>
      </c>
      <c r="AE441">
        <f>0</f>
        <v>0</v>
      </c>
      <c r="AG441" t="s">
        <v>180</v>
      </c>
    </row>
    <row r="442" spans="1:81" x14ac:dyDescent="0.25">
      <c r="A442" t="s">
        <v>1798</v>
      </c>
      <c r="B442" t="s">
        <v>170</v>
      </c>
      <c r="C442" s="1">
        <v>46104</v>
      </c>
      <c r="D442" t="s">
        <v>222</v>
      </c>
      <c r="E442" t="s">
        <v>223</v>
      </c>
      <c r="F442" t="s">
        <v>3896</v>
      </c>
      <c r="G442" t="s">
        <v>3746</v>
      </c>
      <c r="H442">
        <v>1118</v>
      </c>
      <c r="I442" t="s">
        <v>3746</v>
      </c>
      <c r="J442">
        <v>187</v>
      </c>
      <c r="K442" t="s">
        <v>4492</v>
      </c>
      <c r="L442" t="s">
        <v>369</v>
      </c>
      <c r="M442" t="s">
        <v>4367</v>
      </c>
      <c r="N442" t="s">
        <v>3747</v>
      </c>
      <c r="R442">
        <f>1</f>
        <v>1</v>
      </c>
      <c r="S442">
        <f>9</f>
        <v>9</v>
      </c>
      <c r="T442">
        <f>7.6</f>
        <v>7.6</v>
      </c>
      <c r="U442">
        <f>524</f>
        <v>524</v>
      </c>
      <c r="V442">
        <f>0.27</f>
        <v>0.27</v>
      </c>
      <c r="X442">
        <f>1</f>
        <v>1</v>
      </c>
      <c r="Y442" t="s">
        <v>180</v>
      </c>
      <c r="Z442">
        <f>0</f>
        <v>0</v>
      </c>
      <c r="AA442" t="s">
        <v>179</v>
      </c>
      <c r="AB442" t="s">
        <v>179</v>
      </c>
      <c r="AD442">
        <f>0</f>
        <v>0</v>
      </c>
      <c r="AE442">
        <f>0</f>
        <v>0</v>
      </c>
      <c r="AG442" t="s">
        <v>180</v>
      </c>
      <c r="AH442" t="s">
        <v>193</v>
      </c>
      <c r="AK442" t="s">
        <v>181</v>
      </c>
      <c r="AL442" t="s">
        <v>182</v>
      </c>
      <c r="AM442">
        <f>4.9</f>
        <v>4.9000000000000004</v>
      </c>
      <c r="AN442">
        <f>0.1</f>
        <v>0.1</v>
      </c>
      <c r="AO442">
        <f>15</f>
        <v>15</v>
      </c>
      <c r="AP442">
        <f>2.3</f>
        <v>2.2999999999999998</v>
      </c>
      <c r="AQ442" t="s">
        <v>180</v>
      </c>
    </row>
    <row r="443" spans="1:81" x14ac:dyDescent="0.25">
      <c r="A443" t="s">
        <v>1799</v>
      </c>
      <c r="B443" t="s">
        <v>170</v>
      </c>
      <c r="C443" s="1">
        <v>46083</v>
      </c>
      <c r="D443" t="s">
        <v>238</v>
      </c>
      <c r="E443" t="s">
        <v>239</v>
      </c>
      <c r="F443" t="s">
        <v>4023</v>
      </c>
      <c r="G443" t="s">
        <v>1800</v>
      </c>
      <c r="H443">
        <v>1819</v>
      </c>
      <c r="I443" t="s">
        <v>1801</v>
      </c>
      <c r="J443">
        <v>160</v>
      </c>
      <c r="K443" t="s">
        <v>4492</v>
      </c>
      <c r="L443" t="s">
        <v>266</v>
      </c>
      <c r="M443" t="s">
        <v>1802</v>
      </c>
      <c r="N443" t="s">
        <v>1803</v>
      </c>
      <c r="Q443" t="s">
        <v>3509</v>
      </c>
      <c r="R443">
        <f>1</f>
        <v>1</v>
      </c>
      <c r="S443">
        <f>8.9</f>
        <v>8.9</v>
      </c>
      <c r="T443">
        <f>7.8</f>
        <v>7.8</v>
      </c>
      <c r="U443">
        <f>442</f>
        <v>442</v>
      </c>
      <c r="V443">
        <f>0.38</f>
        <v>0.38</v>
      </c>
      <c r="X443">
        <f>1</f>
        <v>1</v>
      </c>
      <c r="Y443">
        <f>0.95</f>
        <v>0.95</v>
      </c>
      <c r="Z443">
        <f>0</f>
        <v>0</v>
      </c>
      <c r="AA443" t="s">
        <v>179</v>
      </c>
      <c r="AB443" t="s">
        <v>179</v>
      </c>
      <c r="AD443">
        <f>0</f>
        <v>0</v>
      </c>
      <c r="AE443">
        <f>0</f>
        <v>0</v>
      </c>
      <c r="AG443" t="s">
        <v>220</v>
      </c>
    </row>
    <row r="444" spans="1:81" x14ac:dyDescent="0.25">
      <c r="A444" t="s">
        <v>1804</v>
      </c>
      <c r="B444" t="s">
        <v>766</v>
      </c>
      <c r="C444" s="1">
        <v>46098</v>
      </c>
      <c r="D444" t="s">
        <v>184</v>
      </c>
      <c r="E444" t="s">
        <v>239</v>
      </c>
      <c r="F444" t="s">
        <v>4745</v>
      </c>
      <c r="G444" t="s">
        <v>4368</v>
      </c>
      <c r="H444">
        <v>1157</v>
      </c>
      <c r="I444" t="s">
        <v>4368</v>
      </c>
      <c r="J444">
        <v>208</v>
      </c>
      <c r="K444" t="s">
        <v>4494</v>
      </c>
      <c r="L444" t="s">
        <v>266</v>
      </c>
      <c r="M444" t="s">
        <v>692</v>
      </c>
      <c r="N444" t="s">
        <v>4024</v>
      </c>
      <c r="R444">
        <f>1</f>
        <v>1</v>
      </c>
      <c r="S444">
        <f>9.1</f>
        <v>9.1</v>
      </c>
      <c r="T444">
        <f>7.5</f>
        <v>7.5</v>
      </c>
      <c r="U444">
        <f>390</f>
        <v>390</v>
      </c>
      <c r="V444" t="s">
        <v>258</v>
      </c>
      <c r="X444">
        <f>0</f>
        <v>0</v>
      </c>
      <c r="Y444">
        <f>0.8</f>
        <v>0.8</v>
      </c>
      <c r="Z444">
        <f>0</f>
        <v>0</v>
      </c>
      <c r="AA444">
        <f>72</f>
        <v>72</v>
      </c>
      <c r="AB444">
        <f>19</f>
        <v>19</v>
      </c>
      <c r="AC444">
        <f>0</f>
        <v>0</v>
      </c>
      <c r="AD444">
        <f>0</f>
        <v>0</v>
      </c>
      <c r="AE444">
        <f>6</f>
        <v>6</v>
      </c>
      <c r="AG444" t="s">
        <v>220</v>
      </c>
    </row>
    <row r="445" spans="1:81" x14ac:dyDescent="0.25">
      <c r="A445" t="s">
        <v>1805</v>
      </c>
      <c r="B445" t="s">
        <v>766</v>
      </c>
      <c r="C445" s="1">
        <v>46090</v>
      </c>
      <c r="D445" t="s">
        <v>184</v>
      </c>
      <c r="E445" t="s">
        <v>546</v>
      </c>
      <c r="F445" t="s">
        <v>4369</v>
      </c>
      <c r="G445" t="s">
        <v>4370</v>
      </c>
      <c r="H445">
        <v>1564</v>
      </c>
      <c r="I445" t="s">
        <v>4370</v>
      </c>
      <c r="J445">
        <v>272</v>
      </c>
      <c r="K445" t="s">
        <v>4492</v>
      </c>
      <c r="M445" t="s">
        <v>692</v>
      </c>
      <c r="N445" t="s">
        <v>4371</v>
      </c>
      <c r="R445">
        <f>1</f>
        <v>1</v>
      </c>
      <c r="S445">
        <f>7.7</f>
        <v>7.7</v>
      </c>
      <c r="T445">
        <f>7.4</f>
        <v>7.4</v>
      </c>
      <c r="U445">
        <f>362</f>
        <v>362</v>
      </c>
      <c r="X445">
        <f>0</f>
        <v>0</v>
      </c>
      <c r="Y445" t="s">
        <v>180</v>
      </c>
      <c r="Z445">
        <f>0</f>
        <v>0</v>
      </c>
      <c r="AA445" t="s">
        <v>179</v>
      </c>
      <c r="AB445" t="s">
        <v>179</v>
      </c>
      <c r="AD445">
        <f>0</f>
        <v>0</v>
      </c>
      <c r="AE445">
        <f>1</f>
        <v>1</v>
      </c>
      <c r="AG445" t="s">
        <v>180</v>
      </c>
    </row>
    <row r="446" spans="1:81" x14ac:dyDescent="0.25">
      <c r="A446" t="s">
        <v>1806</v>
      </c>
      <c r="B446" t="s">
        <v>170</v>
      </c>
      <c r="C446" s="1">
        <v>46090</v>
      </c>
      <c r="D446" t="s">
        <v>251</v>
      </c>
      <c r="E446" t="s">
        <v>252</v>
      </c>
      <c r="F446" t="s">
        <v>361</v>
      </c>
      <c r="G446" t="s">
        <v>3748</v>
      </c>
      <c r="H446">
        <v>897</v>
      </c>
      <c r="I446" t="s">
        <v>3748</v>
      </c>
      <c r="J446">
        <v>107</v>
      </c>
      <c r="K446" t="s">
        <v>4492</v>
      </c>
      <c r="L446" t="s">
        <v>271</v>
      </c>
      <c r="M446" t="s">
        <v>4025</v>
      </c>
      <c r="N446" t="s">
        <v>1807</v>
      </c>
      <c r="Q446" t="s">
        <v>257</v>
      </c>
      <c r="R446">
        <f>1</f>
        <v>1</v>
      </c>
      <c r="S446">
        <f>9.3</f>
        <v>9.3000000000000007</v>
      </c>
      <c r="T446">
        <f>8</f>
        <v>8</v>
      </c>
      <c r="U446">
        <f>230</f>
        <v>230</v>
      </c>
      <c r="X446">
        <f>0</f>
        <v>0</v>
      </c>
      <c r="Y446" t="s">
        <v>180</v>
      </c>
      <c r="Z446">
        <f>0</f>
        <v>0</v>
      </c>
      <c r="AA446">
        <f>3</f>
        <v>3</v>
      </c>
      <c r="AB446">
        <f>3</f>
        <v>3</v>
      </c>
      <c r="AD446">
        <f>0</f>
        <v>0</v>
      </c>
      <c r="AE446">
        <f>0</f>
        <v>0</v>
      </c>
      <c r="AG446" t="s">
        <v>180</v>
      </c>
    </row>
    <row r="447" spans="1:81" x14ac:dyDescent="0.25">
      <c r="A447" t="s">
        <v>1808</v>
      </c>
      <c r="B447" t="s">
        <v>170</v>
      </c>
      <c r="C447" s="1">
        <v>46090</v>
      </c>
      <c r="D447" t="s">
        <v>251</v>
      </c>
      <c r="E447" t="s">
        <v>252</v>
      </c>
      <c r="F447" t="s">
        <v>4241</v>
      </c>
      <c r="G447" t="s">
        <v>1809</v>
      </c>
      <c r="H447">
        <v>1490</v>
      </c>
      <c r="I447" t="s">
        <v>1810</v>
      </c>
      <c r="J447">
        <v>194</v>
      </c>
      <c r="K447" t="s">
        <v>4492</v>
      </c>
      <c r="M447" t="s">
        <v>692</v>
      </c>
      <c r="N447" t="s">
        <v>1811</v>
      </c>
      <c r="Q447" t="s">
        <v>3510</v>
      </c>
      <c r="R447">
        <f>1</f>
        <v>1</v>
      </c>
      <c r="S447">
        <f>5.5</f>
        <v>5.5</v>
      </c>
      <c r="T447">
        <f>7.8</f>
        <v>7.8</v>
      </c>
      <c r="U447">
        <f>316</f>
        <v>316</v>
      </c>
      <c r="X447">
        <f>0</f>
        <v>0</v>
      </c>
      <c r="Y447" t="s">
        <v>180</v>
      </c>
      <c r="Z447">
        <f>0</f>
        <v>0</v>
      </c>
      <c r="AA447">
        <f>0</f>
        <v>0</v>
      </c>
      <c r="AB447">
        <f>0</f>
        <v>0</v>
      </c>
      <c r="AD447">
        <f>0</f>
        <v>0</v>
      </c>
      <c r="AE447">
        <f>0</f>
        <v>0</v>
      </c>
      <c r="AG447" t="s">
        <v>180</v>
      </c>
      <c r="AH447" t="s">
        <v>284</v>
      </c>
      <c r="AK447" t="s">
        <v>285</v>
      </c>
      <c r="AL447" t="s">
        <v>286</v>
      </c>
      <c r="AM447">
        <f>3.4</f>
        <v>3.4</v>
      </c>
      <c r="AN447">
        <f>0.068</f>
        <v>6.8000000000000005E-2</v>
      </c>
      <c r="AO447">
        <f>3.5</f>
        <v>3.5</v>
      </c>
      <c r="AP447">
        <f>4.1</f>
        <v>4.0999999999999996</v>
      </c>
      <c r="AQ447" t="s">
        <v>284</v>
      </c>
    </row>
    <row r="448" spans="1:81" x14ac:dyDescent="0.25">
      <c r="A448" t="s">
        <v>1812</v>
      </c>
      <c r="B448" t="s">
        <v>170</v>
      </c>
      <c r="C448" s="1">
        <v>46092</v>
      </c>
      <c r="D448" t="s">
        <v>184</v>
      </c>
      <c r="E448" t="s">
        <v>185</v>
      </c>
      <c r="F448" t="s">
        <v>384</v>
      </c>
      <c r="G448" t="s">
        <v>3749</v>
      </c>
      <c r="H448">
        <v>1006</v>
      </c>
      <c r="I448" t="s">
        <v>3750</v>
      </c>
      <c r="J448">
        <v>300</v>
      </c>
      <c r="K448" t="s">
        <v>4492</v>
      </c>
      <c r="L448" t="s">
        <v>369</v>
      </c>
      <c r="M448" t="s">
        <v>1813</v>
      </c>
      <c r="N448" t="s">
        <v>4372</v>
      </c>
      <c r="O448" t="s">
        <v>1814</v>
      </c>
      <c r="R448">
        <f>1</f>
        <v>1</v>
      </c>
      <c r="S448">
        <f>9.4</f>
        <v>9.4</v>
      </c>
      <c r="T448">
        <f>7.5</f>
        <v>7.5</v>
      </c>
      <c r="U448">
        <f>394</f>
        <v>394</v>
      </c>
      <c r="V448">
        <f>0.05</f>
        <v>0.05</v>
      </c>
      <c r="X448">
        <f>0</f>
        <v>0</v>
      </c>
      <c r="Y448">
        <f>0.4</f>
        <v>0.4</v>
      </c>
      <c r="Z448">
        <f>0</f>
        <v>0</v>
      </c>
      <c r="AA448" t="s">
        <v>179</v>
      </c>
      <c r="AB448" t="s">
        <v>179</v>
      </c>
      <c r="AD448">
        <f>0</f>
        <v>0</v>
      </c>
      <c r="AE448">
        <f>0</f>
        <v>0</v>
      </c>
      <c r="AG448" t="s">
        <v>180</v>
      </c>
      <c r="CC448">
        <f>0.38</f>
        <v>0.38</v>
      </c>
    </row>
    <row r="449" spans="1:164" x14ac:dyDescent="0.25">
      <c r="A449" t="s">
        <v>1815</v>
      </c>
      <c r="B449" t="s">
        <v>170</v>
      </c>
      <c r="C449" s="1">
        <v>46098</v>
      </c>
      <c r="D449" t="s">
        <v>184</v>
      </c>
      <c r="E449" t="s">
        <v>239</v>
      </c>
      <c r="F449" t="s">
        <v>276</v>
      </c>
      <c r="G449" t="s">
        <v>4227</v>
      </c>
      <c r="H449">
        <v>1848</v>
      </c>
      <c r="I449" t="s">
        <v>4373</v>
      </c>
      <c r="J449">
        <v>313</v>
      </c>
      <c r="K449" t="s">
        <v>4492</v>
      </c>
      <c r="L449" t="s">
        <v>3567</v>
      </c>
      <c r="M449" t="s">
        <v>4026</v>
      </c>
      <c r="N449" t="s">
        <v>4374</v>
      </c>
      <c r="R449">
        <f>1</f>
        <v>1</v>
      </c>
      <c r="S449">
        <f>9.2</f>
        <v>9.1999999999999993</v>
      </c>
      <c r="T449">
        <f>7.3</f>
        <v>7.3</v>
      </c>
      <c r="U449">
        <f>541</f>
        <v>541</v>
      </c>
      <c r="X449">
        <f>0</f>
        <v>0</v>
      </c>
      <c r="Y449">
        <f>0.11</f>
        <v>0.11</v>
      </c>
      <c r="Z449">
        <f>0</f>
        <v>0</v>
      </c>
      <c r="AA449">
        <f>15</f>
        <v>15</v>
      </c>
      <c r="AB449">
        <f>26</f>
        <v>26</v>
      </c>
      <c r="AD449">
        <f>0</f>
        <v>0</v>
      </c>
      <c r="AE449">
        <f>0</f>
        <v>0</v>
      </c>
      <c r="AG449" t="s">
        <v>220</v>
      </c>
      <c r="AH449">
        <f>0.32</f>
        <v>0.32</v>
      </c>
      <c r="AK449" t="s">
        <v>286</v>
      </c>
      <c r="AL449" t="s">
        <v>556</v>
      </c>
      <c r="AM449">
        <f>3.2</f>
        <v>3.2</v>
      </c>
      <c r="AN449">
        <f>0.064</f>
        <v>6.4000000000000001E-2</v>
      </c>
      <c r="AO449">
        <f>4.3</f>
        <v>4.3</v>
      </c>
      <c r="AP449">
        <f>29</f>
        <v>29</v>
      </c>
      <c r="AQ449" t="s">
        <v>192</v>
      </c>
    </row>
    <row r="450" spans="1:164" x14ac:dyDescent="0.25">
      <c r="A450" t="s">
        <v>1816</v>
      </c>
      <c r="B450" t="s">
        <v>170</v>
      </c>
      <c r="C450" s="1">
        <v>46113</v>
      </c>
      <c r="D450" t="s">
        <v>184</v>
      </c>
      <c r="E450" t="s">
        <v>448</v>
      </c>
      <c r="F450" t="s">
        <v>558</v>
      </c>
      <c r="G450" t="s">
        <v>1817</v>
      </c>
      <c r="H450">
        <v>1556</v>
      </c>
      <c r="I450" t="s">
        <v>1817</v>
      </c>
      <c r="J450">
        <v>170</v>
      </c>
      <c r="K450" t="s">
        <v>4494</v>
      </c>
      <c r="L450" t="s">
        <v>1818</v>
      </c>
      <c r="M450" t="s">
        <v>692</v>
      </c>
      <c r="N450" t="s">
        <v>1819</v>
      </c>
      <c r="R450">
        <f>1</f>
        <v>1</v>
      </c>
      <c r="S450">
        <f>8.2</f>
        <v>8.1999999999999993</v>
      </c>
      <c r="T450">
        <f>7.7</f>
        <v>7.7</v>
      </c>
      <c r="U450">
        <f>435</f>
        <v>435</v>
      </c>
      <c r="W450">
        <f>0.06</f>
        <v>0.06</v>
      </c>
      <c r="X450">
        <f>0</f>
        <v>0</v>
      </c>
      <c r="Y450" t="s">
        <v>180</v>
      </c>
      <c r="Z450">
        <f>0</f>
        <v>0</v>
      </c>
      <c r="AA450" t="s">
        <v>179</v>
      </c>
      <c r="AB450" t="s">
        <v>179</v>
      </c>
      <c r="AC450">
        <f>0</f>
        <v>0</v>
      </c>
      <c r="AD450">
        <f>0</f>
        <v>0</v>
      </c>
      <c r="AE450">
        <f>0</f>
        <v>0</v>
      </c>
      <c r="AG450" t="s">
        <v>180</v>
      </c>
    </row>
    <row r="451" spans="1:164" x14ac:dyDescent="0.25">
      <c r="A451" t="s">
        <v>1820</v>
      </c>
      <c r="B451" t="s">
        <v>170</v>
      </c>
      <c r="C451" s="1">
        <v>46090</v>
      </c>
      <c r="D451" t="s">
        <v>184</v>
      </c>
      <c r="E451" t="s">
        <v>448</v>
      </c>
      <c r="F451" t="s">
        <v>558</v>
      </c>
      <c r="G451" t="s">
        <v>4746</v>
      </c>
      <c r="H451">
        <v>1647</v>
      </c>
      <c r="I451" t="s">
        <v>4746</v>
      </c>
      <c r="J451">
        <v>197</v>
      </c>
      <c r="K451" t="s">
        <v>4494</v>
      </c>
      <c r="L451" t="s">
        <v>176</v>
      </c>
      <c r="M451" t="s">
        <v>692</v>
      </c>
      <c r="N451" t="s">
        <v>4375</v>
      </c>
      <c r="R451">
        <f>1</f>
        <v>1</v>
      </c>
      <c r="S451">
        <f>12.1</f>
        <v>12.1</v>
      </c>
      <c r="T451">
        <f>7.7</f>
        <v>7.7</v>
      </c>
      <c r="U451">
        <f>477</f>
        <v>477</v>
      </c>
      <c r="X451">
        <f>0</f>
        <v>0</v>
      </c>
      <c r="Y451" t="s">
        <v>180</v>
      </c>
      <c r="Z451">
        <f>0</f>
        <v>0</v>
      </c>
      <c r="AA451" t="s">
        <v>179</v>
      </c>
      <c r="AB451" t="s">
        <v>179</v>
      </c>
      <c r="AC451">
        <f>0</f>
        <v>0</v>
      </c>
      <c r="AD451">
        <f>0</f>
        <v>0</v>
      </c>
      <c r="AE451">
        <f>0</f>
        <v>0</v>
      </c>
      <c r="AG451" t="s">
        <v>180</v>
      </c>
      <c r="AH451" t="s">
        <v>193</v>
      </c>
      <c r="AK451" t="s">
        <v>181</v>
      </c>
      <c r="AL451" t="s">
        <v>182</v>
      </c>
      <c r="AM451">
        <f>4</f>
        <v>4</v>
      </c>
      <c r="AN451">
        <f>0.08</f>
        <v>0.08</v>
      </c>
      <c r="AO451">
        <f>4.7</f>
        <v>4.7</v>
      </c>
      <c r="AP451">
        <f>1.5</f>
        <v>1.5</v>
      </c>
      <c r="AQ451" t="s">
        <v>180</v>
      </c>
    </row>
    <row r="452" spans="1:164" x14ac:dyDescent="0.25">
      <c r="A452" t="s">
        <v>1821</v>
      </c>
      <c r="B452" t="s">
        <v>766</v>
      </c>
      <c r="C452" s="1">
        <v>46101</v>
      </c>
      <c r="D452" t="s">
        <v>251</v>
      </c>
      <c r="E452" t="s">
        <v>252</v>
      </c>
      <c r="F452" t="s">
        <v>1822</v>
      </c>
      <c r="G452" t="s">
        <v>1823</v>
      </c>
      <c r="H452">
        <v>1851</v>
      </c>
      <c r="I452" t="s">
        <v>1823</v>
      </c>
      <c r="J452">
        <v>120</v>
      </c>
      <c r="K452" t="s">
        <v>4492</v>
      </c>
      <c r="L452" t="s">
        <v>3331</v>
      </c>
      <c r="M452" t="s">
        <v>4027</v>
      </c>
      <c r="N452" t="s">
        <v>1824</v>
      </c>
      <c r="Q452" t="s">
        <v>1446</v>
      </c>
      <c r="R452">
        <f>1</f>
        <v>1</v>
      </c>
      <c r="S452">
        <f>8.4</f>
        <v>8.4</v>
      </c>
      <c r="T452">
        <f>8.1</f>
        <v>8.1</v>
      </c>
      <c r="U452">
        <f>246</f>
        <v>246</v>
      </c>
      <c r="X452">
        <f>0</f>
        <v>0</v>
      </c>
      <c r="Y452" t="s">
        <v>180</v>
      </c>
      <c r="Z452">
        <f>0</f>
        <v>0</v>
      </c>
      <c r="AA452">
        <f>21</f>
        <v>21</v>
      </c>
      <c r="AB452">
        <f>3</f>
        <v>3</v>
      </c>
      <c r="AD452">
        <f>0</f>
        <v>0</v>
      </c>
      <c r="AE452">
        <f>7</f>
        <v>7</v>
      </c>
      <c r="AG452" t="s">
        <v>180</v>
      </c>
      <c r="AH452" t="s">
        <v>284</v>
      </c>
      <c r="AK452" t="s">
        <v>285</v>
      </c>
      <c r="AL452" t="s">
        <v>286</v>
      </c>
      <c r="AM452">
        <f>3.2</f>
        <v>3.2</v>
      </c>
      <c r="AN452">
        <f>0.064</f>
        <v>6.4000000000000001E-2</v>
      </c>
      <c r="AO452">
        <f>3.6</f>
        <v>3.6</v>
      </c>
      <c r="AP452" t="s">
        <v>284</v>
      </c>
      <c r="AQ452" t="s">
        <v>284</v>
      </c>
    </row>
    <row r="453" spans="1:164" x14ac:dyDescent="0.25">
      <c r="A453" t="s">
        <v>1825</v>
      </c>
      <c r="B453" t="s">
        <v>170</v>
      </c>
      <c r="C453" s="1">
        <v>46107</v>
      </c>
      <c r="D453" t="s">
        <v>184</v>
      </c>
      <c r="E453" t="s">
        <v>185</v>
      </c>
      <c r="F453" t="s">
        <v>1002</v>
      </c>
      <c r="G453" t="s">
        <v>1826</v>
      </c>
      <c r="H453">
        <v>220</v>
      </c>
      <c r="I453" t="s">
        <v>1826</v>
      </c>
      <c r="J453">
        <v>101</v>
      </c>
      <c r="K453" t="s">
        <v>4492</v>
      </c>
      <c r="L453" t="s">
        <v>1528</v>
      </c>
      <c r="M453" t="s">
        <v>1827</v>
      </c>
      <c r="N453" t="s">
        <v>1828</v>
      </c>
      <c r="O453" t="s">
        <v>1829</v>
      </c>
      <c r="Q453" t="s">
        <v>3511</v>
      </c>
      <c r="R453">
        <f>1</f>
        <v>1</v>
      </c>
      <c r="S453">
        <f>8.5</f>
        <v>8.5</v>
      </c>
      <c r="T453">
        <f>7.5</f>
        <v>7.5</v>
      </c>
      <c r="U453">
        <f>546</f>
        <v>546</v>
      </c>
      <c r="X453">
        <f>0</f>
        <v>0</v>
      </c>
      <c r="Y453">
        <f>0.2</f>
        <v>0.2</v>
      </c>
      <c r="Z453">
        <f>0</f>
        <v>0</v>
      </c>
      <c r="AA453" t="s">
        <v>179</v>
      </c>
      <c r="AB453" t="s">
        <v>179</v>
      </c>
      <c r="AD453">
        <f>0</f>
        <v>0</v>
      </c>
      <c r="AE453">
        <f>0</f>
        <v>0</v>
      </c>
      <c r="AG453" t="s">
        <v>180</v>
      </c>
      <c r="AH453">
        <f>0.7</f>
        <v>0.7</v>
      </c>
      <c r="AK453" t="s">
        <v>181</v>
      </c>
      <c r="AL453" t="s">
        <v>182</v>
      </c>
      <c r="AM453">
        <f>7.5</f>
        <v>7.5</v>
      </c>
      <c r="AN453">
        <f>0.15</f>
        <v>0.15</v>
      </c>
      <c r="AO453">
        <f>9.2</f>
        <v>9.1999999999999993</v>
      </c>
      <c r="AP453">
        <f>7.1</f>
        <v>7.1</v>
      </c>
      <c r="AQ453" t="s">
        <v>180</v>
      </c>
    </row>
    <row r="454" spans="1:164" x14ac:dyDescent="0.25">
      <c r="A454" t="s">
        <v>1830</v>
      </c>
      <c r="B454" t="s">
        <v>170</v>
      </c>
      <c r="C454" s="1">
        <v>46114</v>
      </c>
      <c r="D454" t="s">
        <v>238</v>
      </c>
      <c r="E454" t="s">
        <v>239</v>
      </c>
      <c r="F454" t="s">
        <v>240</v>
      </c>
      <c r="G454" t="s">
        <v>1831</v>
      </c>
      <c r="H454">
        <v>163</v>
      </c>
      <c r="I454" t="s">
        <v>1831</v>
      </c>
      <c r="J454">
        <v>60</v>
      </c>
      <c r="K454" t="s">
        <v>4492</v>
      </c>
      <c r="L454" t="s">
        <v>176</v>
      </c>
      <c r="M454" t="s">
        <v>1832</v>
      </c>
      <c r="N454" t="s">
        <v>1833</v>
      </c>
      <c r="O454" t="s">
        <v>1834</v>
      </c>
      <c r="R454">
        <f>1</f>
        <v>1</v>
      </c>
      <c r="S454">
        <f>7.4</f>
        <v>7.4</v>
      </c>
      <c r="T454">
        <f>7.5</f>
        <v>7.5</v>
      </c>
      <c r="U454">
        <f>567</f>
        <v>567</v>
      </c>
      <c r="X454">
        <f>0</f>
        <v>0</v>
      </c>
      <c r="Y454" t="s">
        <v>180</v>
      </c>
      <c r="Z454">
        <f>0</f>
        <v>0</v>
      </c>
      <c r="AA454" t="s">
        <v>179</v>
      </c>
      <c r="AB454" t="s">
        <v>179</v>
      </c>
      <c r="AD454">
        <f>0</f>
        <v>0</v>
      </c>
      <c r="AE454">
        <f>0</f>
        <v>0</v>
      </c>
      <c r="AG454" t="s">
        <v>220</v>
      </c>
    </row>
    <row r="455" spans="1:164" x14ac:dyDescent="0.25">
      <c r="A455" t="s">
        <v>1835</v>
      </c>
      <c r="B455" t="s">
        <v>170</v>
      </c>
      <c r="C455" s="1">
        <v>46141</v>
      </c>
      <c r="D455" t="s">
        <v>222</v>
      </c>
      <c r="E455" t="s">
        <v>223</v>
      </c>
      <c r="F455" t="s">
        <v>4376</v>
      </c>
      <c r="G455" t="s">
        <v>1836</v>
      </c>
      <c r="H455">
        <v>826</v>
      </c>
      <c r="I455" t="s">
        <v>1836</v>
      </c>
      <c r="J455">
        <v>80</v>
      </c>
      <c r="K455" t="s">
        <v>4492</v>
      </c>
      <c r="L455" t="s">
        <v>1136</v>
      </c>
      <c r="M455" t="s">
        <v>4747</v>
      </c>
      <c r="N455" t="s">
        <v>4028</v>
      </c>
      <c r="O455" t="s">
        <v>1837</v>
      </c>
      <c r="R455">
        <f>1</f>
        <v>1</v>
      </c>
      <c r="S455">
        <f>13.1</f>
        <v>13.1</v>
      </c>
      <c r="T455">
        <f>7.4</f>
        <v>7.4</v>
      </c>
      <c r="U455">
        <f>564</f>
        <v>564</v>
      </c>
      <c r="X455">
        <f>0</f>
        <v>0</v>
      </c>
      <c r="Y455">
        <f>0.44</f>
        <v>0.44</v>
      </c>
      <c r="Z455">
        <f>0</f>
        <v>0</v>
      </c>
      <c r="AA455" t="s">
        <v>179</v>
      </c>
      <c r="AB455" t="s">
        <v>179</v>
      </c>
      <c r="AD455">
        <f>0</f>
        <v>0</v>
      </c>
      <c r="AE455">
        <f>0</f>
        <v>0</v>
      </c>
      <c r="AG455" t="s">
        <v>180</v>
      </c>
      <c r="AH455">
        <f>1.1</f>
        <v>1.1000000000000001</v>
      </c>
      <c r="AK455" t="s">
        <v>181</v>
      </c>
      <c r="AL455" t="s">
        <v>182</v>
      </c>
      <c r="AM455">
        <f>29</f>
        <v>29</v>
      </c>
      <c r="AN455">
        <f>0.58</f>
        <v>0.57999999999999996</v>
      </c>
      <c r="AO455">
        <f>47</f>
        <v>47</v>
      </c>
      <c r="AP455">
        <f>12</f>
        <v>12</v>
      </c>
      <c r="AQ455">
        <f>0.15</f>
        <v>0.15</v>
      </c>
      <c r="CC455">
        <f>1.3</f>
        <v>1.3</v>
      </c>
    </row>
    <row r="456" spans="1:164" x14ac:dyDescent="0.25">
      <c r="A456" t="s">
        <v>1838</v>
      </c>
      <c r="B456" t="s">
        <v>170</v>
      </c>
      <c r="C456" s="1">
        <v>46093</v>
      </c>
      <c r="D456" t="s">
        <v>222</v>
      </c>
      <c r="E456" t="s">
        <v>223</v>
      </c>
      <c r="F456" t="s">
        <v>4508</v>
      </c>
      <c r="G456" t="s">
        <v>4377</v>
      </c>
      <c r="H456">
        <v>859</v>
      </c>
      <c r="I456" t="s">
        <v>4377</v>
      </c>
      <c r="J456">
        <v>94</v>
      </c>
      <c r="K456" t="s">
        <v>4494</v>
      </c>
      <c r="L456" t="s">
        <v>271</v>
      </c>
      <c r="M456" t="s">
        <v>1839</v>
      </c>
      <c r="N456" t="s">
        <v>3395</v>
      </c>
      <c r="R456">
        <f>1</f>
        <v>1</v>
      </c>
      <c r="S456">
        <f>9.9</f>
        <v>9.9</v>
      </c>
      <c r="T456">
        <f>7.4</f>
        <v>7.4</v>
      </c>
      <c r="U456">
        <f>405</f>
        <v>405</v>
      </c>
      <c r="X456">
        <f>0</f>
        <v>0</v>
      </c>
      <c r="Y456">
        <f>0.28</f>
        <v>0.28000000000000003</v>
      </c>
      <c r="Z456">
        <f>0</f>
        <v>0</v>
      </c>
      <c r="AA456" t="s">
        <v>179</v>
      </c>
      <c r="AB456" t="s">
        <v>179</v>
      </c>
      <c r="AC456">
        <f>0</f>
        <v>0</v>
      </c>
      <c r="AD456">
        <f>0</f>
        <v>0</v>
      </c>
      <c r="AE456">
        <f>0</f>
        <v>0</v>
      </c>
      <c r="AG456" t="s">
        <v>180</v>
      </c>
    </row>
    <row r="457" spans="1:164" x14ac:dyDescent="0.25">
      <c r="A457" t="s">
        <v>1840</v>
      </c>
      <c r="B457" t="s">
        <v>170</v>
      </c>
      <c r="C457" s="1">
        <v>46141</v>
      </c>
      <c r="D457" t="s">
        <v>222</v>
      </c>
      <c r="E457" t="s">
        <v>223</v>
      </c>
      <c r="F457" t="s">
        <v>4376</v>
      </c>
      <c r="G457" t="s">
        <v>1841</v>
      </c>
      <c r="H457">
        <v>863</v>
      </c>
      <c r="I457" t="s">
        <v>1841</v>
      </c>
      <c r="J457">
        <v>65</v>
      </c>
      <c r="K457" t="s">
        <v>4492</v>
      </c>
      <c r="L457" t="s">
        <v>369</v>
      </c>
      <c r="M457" t="s">
        <v>4748</v>
      </c>
      <c r="N457" t="s">
        <v>1842</v>
      </c>
      <c r="O457" t="s">
        <v>1843</v>
      </c>
      <c r="R457">
        <f>1</f>
        <v>1</v>
      </c>
      <c r="S457">
        <f>12.4</f>
        <v>12.4</v>
      </c>
      <c r="T457">
        <f>7.4</f>
        <v>7.4</v>
      </c>
      <c r="U457">
        <f>460</f>
        <v>460</v>
      </c>
      <c r="V457">
        <f>0.06</f>
        <v>0.06</v>
      </c>
      <c r="X457">
        <f>0</f>
        <v>0</v>
      </c>
      <c r="Y457">
        <f>0.28</f>
        <v>0.28000000000000003</v>
      </c>
      <c r="Z457">
        <f>0</f>
        <v>0</v>
      </c>
      <c r="AA457">
        <f>58</f>
        <v>58</v>
      </c>
      <c r="AB457" t="s">
        <v>179</v>
      </c>
      <c r="AD457">
        <f>0</f>
        <v>0</v>
      </c>
      <c r="AE457">
        <f>0</f>
        <v>0</v>
      </c>
      <c r="AG457" t="s">
        <v>180</v>
      </c>
      <c r="FB457" t="s">
        <v>180</v>
      </c>
      <c r="FC457">
        <f>0.33</f>
        <v>0.33</v>
      </c>
      <c r="FD457" t="s">
        <v>220</v>
      </c>
      <c r="FE457">
        <f>0.4</f>
        <v>0.4</v>
      </c>
      <c r="FH457">
        <f>0.73</f>
        <v>0.73</v>
      </c>
    </row>
    <row r="458" spans="1:164" x14ac:dyDescent="0.25">
      <c r="A458" t="s">
        <v>1844</v>
      </c>
      <c r="B458" t="s">
        <v>766</v>
      </c>
      <c r="C458" s="1">
        <v>46093</v>
      </c>
      <c r="D458" t="s">
        <v>222</v>
      </c>
      <c r="E458" t="s">
        <v>260</v>
      </c>
      <c r="F458" t="s">
        <v>4378</v>
      </c>
      <c r="G458" t="s">
        <v>4029</v>
      </c>
      <c r="H458">
        <v>892</v>
      </c>
      <c r="I458" t="s">
        <v>4029</v>
      </c>
      <c r="J458">
        <v>70</v>
      </c>
      <c r="K458" t="s">
        <v>4492</v>
      </c>
      <c r="L458" t="s">
        <v>271</v>
      </c>
      <c r="M458" t="s">
        <v>4749</v>
      </c>
      <c r="N458" t="s">
        <v>4750</v>
      </c>
      <c r="O458" t="s">
        <v>1845</v>
      </c>
      <c r="Q458" t="s">
        <v>3476</v>
      </c>
      <c r="R458">
        <f>1</f>
        <v>1</v>
      </c>
      <c r="S458">
        <f>8.5</f>
        <v>8.5</v>
      </c>
      <c r="T458">
        <f>7.6</f>
        <v>7.6</v>
      </c>
      <c r="U458">
        <f>526</f>
        <v>526</v>
      </c>
      <c r="X458">
        <f>0</f>
        <v>0</v>
      </c>
      <c r="Y458">
        <f>2.57</f>
        <v>2.57</v>
      </c>
      <c r="Z458">
        <f>0</f>
        <v>0</v>
      </c>
      <c r="AA458">
        <f>59</f>
        <v>59</v>
      </c>
      <c r="AB458">
        <f>70</f>
        <v>70</v>
      </c>
      <c r="AD458">
        <f>0</f>
        <v>0</v>
      </c>
      <c r="AE458">
        <f>3</f>
        <v>3</v>
      </c>
      <c r="AG458" t="s">
        <v>180</v>
      </c>
      <c r="AH458" t="s">
        <v>193</v>
      </c>
      <c r="AK458" t="s">
        <v>181</v>
      </c>
      <c r="AL458">
        <f>0.007</f>
        <v>7.0000000000000001E-3</v>
      </c>
      <c r="AM458">
        <f>6.2</f>
        <v>6.2</v>
      </c>
      <c r="AN458">
        <f>0.13</f>
        <v>0.13</v>
      </c>
      <c r="AO458">
        <f>14</f>
        <v>14</v>
      </c>
      <c r="AP458">
        <f>1.6</f>
        <v>1.6</v>
      </c>
      <c r="AQ458" t="s">
        <v>180</v>
      </c>
      <c r="CC458">
        <f>0.5</f>
        <v>0.5</v>
      </c>
    </row>
    <row r="459" spans="1:164" x14ac:dyDescent="0.25">
      <c r="A459" t="s">
        <v>1846</v>
      </c>
      <c r="B459" t="s">
        <v>170</v>
      </c>
      <c r="C459" s="1">
        <v>46126</v>
      </c>
      <c r="D459" t="s">
        <v>184</v>
      </c>
      <c r="E459" t="s">
        <v>185</v>
      </c>
      <c r="F459" t="s">
        <v>269</v>
      </c>
      <c r="G459" t="s">
        <v>4030</v>
      </c>
      <c r="H459">
        <v>915</v>
      </c>
      <c r="I459" t="s">
        <v>4031</v>
      </c>
      <c r="J459">
        <v>123</v>
      </c>
      <c r="K459" t="s">
        <v>4492</v>
      </c>
      <c r="L459" t="s">
        <v>266</v>
      </c>
      <c r="M459" t="s">
        <v>4751</v>
      </c>
      <c r="N459" t="s">
        <v>4752</v>
      </c>
      <c r="O459" t="s">
        <v>1847</v>
      </c>
      <c r="Q459" t="s">
        <v>274</v>
      </c>
      <c r="R459">
        <f>1</f>
        <v>1</v>
      </c>
      <c r="S459">
        <f>12.3</f>
        <v>12.3</v>
      </c>
      <c r="T459">
        <f>7.9</f>
        <v>7.9</v>
      </c>
      <c r="U459">
        <f>387</f>
        <v>387</v>
      </c>
      <c r="V459">
        <f>0.07</f>
        <v>7.0000000000000007E-2</v>
      </c>
      <c r="X459">
        <f>0</f>
        <v>0</v>
      </c>
      <c r="Y459" t="s">
        <v>180</v>
      </c>
      <c r="Z459">
        <f>0</f>
        <v>0</v>
      </c>
      <c r="AA459">
        <f>0</f>
        <v>0</v>
      </c>
      <c r="AB459">
        <f>0</f>
        <v>0</v>
      </c>
      <c r="AD459">
        <f>0</f>
        <v>0</v>
      </c>
      <c r="AE459">
        <f>0</f>
        <v>0</v>
      </c>
      <c r="AG459" t="s">
        <v>180</v>
      </c>
      <c r="FB459" t="s">
        <v>646</v>
      </c>
      <c r="FC459" t="s">
        <v>646</v>
      </c>
      <c r="FD459" t="s">
        <v>646</v>
      </c>
      <c r="FE459" t="s">
        <v>646</v>
      </c>
      <c r="FH459" t="s">
        <v>646</v>
      </c>
    </row>
    <row r="460" spans="1:164" x14ac:dyDescent="0.25">
      <c r="A460" t="s">
        <v>1848</v>
      </c>
      <c r="B460" t="s">
        <v>170</v>
      </c>
      <c r="C460" s="1">
        <v>46133</v>
      </c>
      <c r="D460" t="s">
        <v>216</v>
      </c>
      <c r="E460" t="s">
        <v>217</v>
      </c>
      <c r="F460" t="s">
        <v>368</v>
      </c>
      <c r="G460" t="s">
        <v>4379</v>
      </c>
      <c r="H460">
        <v>409</v>
      </c>
      <c r="I460" t="s">
        <v>4379</v>
      </c>
      <c r="J460">
        <v>56</v>
      </c>
      <c r="K460" t="s">
        <v>4494</v>
      </c>
      <c r="L460" t="s">
        <v>266</v>
      </c>
      <c r="M460" t="s">
        <v>4543</v>
      </c>
      <c r="N460" t="s">
        <v>4753</v>
      </c>
      <c r="O460" t="s">
        <v>1849</v>
      </c>
      <c r="Q460" t="s">
        <v>4754</v>
      </c>
      <c r="R460">
        <f>1</f>
        <v>1</v>
      </c>
      <c r="S460">
        <f>11.8</f>
        <v>11.8</v>
      </c>
      <c r="T460">
        <f>8.4</f>
        <v>8.4</v>
      </c>
      <c r="U460">
        <f>191</f>
        <v>191</v>
      </c>
      <c r="V460">
        <f>0.09</f>
        <v>0.09</v>
      </c>
      <c r="X460">
        <f>1</f>
        <v>1</v>
      </c>
      <c r="Y460">
        <f>0.2</f>
        <v>0.2</v>
      </c>
      <c r="Z460">
        <f>0</f>
        <v>0</v>
      </c>
      <c r="AA460">
        <f>0</f>
        <v>0</v>
      </c>
      <c r="AB460">
        <f>0</f>
        <v>0</v>
      </c>
      <c r="AC460">
        <f>0</f>
        <v>0</v>
      </c>
      <c r="AD460">
        <f>0</f>
        <v>0</v>
      </c>
      <c r="AE460">
        <f>0</f>
        <v>0</v>
      </c>
      <c r="AG460" t="s">
        <v>220</v>
      </c>
      <c r="AH460" t="s">
        <v>411</v>
      </c>
      <c r="AK460" t="s">
        <v>285</v>
      </c>
      <c r="AL460" t="s">
        <v>181</v>
      </c>
      <c r="AM460">
        <f>2.5</f>
        <v>2.5</v>
      </c>
      <c r="AN460">
        <f>0.05</f>
        <v>0.05</v>
      </c>
      <c r="AO460">
        <f>1</f>
        <v>1</v>
      </c>
      <c r="AP460" t="s">
        <v>284</v>
      </c>
      <c r="AQ460" t="s">
        <v>284</v>
      </c>
      <c r="FB460">
        <f>0.8</f>
        <v>0.8</v>
      </c>
      <c r="FC460" t="s">
        <v>193</v>
      </c>
      <c r="FD460" t="s">
        <v>193</v>
      </c>
      <c r="FE460" t="s">
        <v>193</v>
      </c>
      <c r="FH460">
        <f>0.8</f>
        <v>0.8</v>
      </c>
    </row>
    <row r="461" spans="1:164" x14ac:dyDescent="0.25">
      <c r="A461" t="s">
        <v>1850</v>
      </c>
      <c r="B461" t="s">
        <v>170</v>
      </c>
      <c r="C461" s="1">
        <v>46104</v>
      </c>
      <c r="D461" t="s">
        <v>222</v>
      </c>
      <c r="E461" t="s">
        <v>223</v>
      </c>
      <c r="F461" t="s">
        <v>4376</v>
      </c>
      <c r="G461" t="s">
        <v>1851</v>
      </c>
      <c r="H461">
        <v>932</v>
      </c>
      <c r="I461" t="s">
        <v>1851</v>
      </c>
      <c r="J461">
        <v>80</v>
      </c>
      <c r="K461" t="s">
        <v>4494</v>
      </c>
      <c r="L461" t="s">
        <v>1136</v>
      </c>
      <c r="M461" t="s">
        <v>4755</v>
      </c>
      <c r="N461" t="s">
        <v>1852</v>
      </c>
      <c r="O461" t="s">
        <v>1853</v>
      </c>
      <c r="R461">
        <f>1</f>
        <v>1</v>
      </c>
      <c r="S461">
        <f>10.5</f>
        <v>10.5</v>
      </c>
      <c r="T461">
        <f>7.3</f>
        <v>7.3</v>
      </c>
      <c r="U461">
        <f>450</f>
        <v>450</v>
      </c>
      <c r="X461">
        <f>1</f>
        <v>1</v>
      </c>
      <c r="Y461">
        <f>0.33</f>
        <v>0.33</v>
      </c>
      <c r="Z461">
        <f>0</f>
        <v>0</v>
      </c>
      <c r="AA461">
        <f>33</f>
        <v>33</v>
      </c>
      <c r="AB461">
        <f>20</f>
        <v>20</v>
      </c>
      <c r="AC461">
        <f>0</f>
        <v>0</v>
      </c>
      <c r="AD461">
        <f>0</f>
        <v>0</v>
      </c>
      <c r="AE461">
        <f>0</f>
        <v>0</v>
      </c>
      <c r="AG461" t="s">
        <v>180</v>
      </c>
      <c r="CC461">
        <f>0.27</f>
        <v>0.27</v>
      </c>
    </row>
    <row r="462" spans="1:164" x14ac:dyDescent="0.25">
      <c r="A462" t="s">
        <v>1854</v>
      </c>
      <c r="B462" t="s">
        <v>170</v>
      </c>
      <c r="C462" s="1">
        <v>46128</v>
      </c>
      <c r="D462" t="s">
        <v>184</v>
      </c>
      <c r="E462" t="s">
        <v>546</v>
      </c>
      <c r="F462" t="s">
        <v>1855</v>
      </c>
      <c r="G462" t="s">
        <v>4032</v>
      </c>
      <c r="H462">
        <v>981</v>
      </c>
      <c r="I462" t="s">
        <v>4032</v>
      </c>
      <c r="J462">
        <v>167</v>
      </c>
      <c r="K462" t="s">
        <v>4492</v>
      </c>
      <c r="L462" t="s">
        <v>266</v>
      </c>
      <c r="M462" t="s">
        <v>4756</v>
      </c>
      <c r="N462" t="s">
        <v>4757</v>
      </c>
      <c r="O462" t="s">
        <v>1856</v>
      </c>
      <c r="R462">
        <f>1</f>
        <v>1</v>
      </c>
      <c r="S462">
        <f>12.2</f>
        <v>12.2</v>
      </c>
      <c r="T462">
        <f>7.4</f>
        <v>7.4</v>
      </c>
      <c r="U462">
        <f>511</f>
        <v>511</v>
      </c>
      <c r="V462">
        <f>0.07</f>
        <v>7.0000000000000007E-2</v>
      </c>
      <c r="X462">
        <f>0</f>
        <v>0</v>
      </c>
      <c r="Y462" t="s">
        <v>180</v>
      </c>
      <c r="Z462">
        <f>0</f>
        <v>0</v>
      </c>
      <c r="AA462" t="s">
        <v>179</v>
      </c>
      <c r="AB462" t="s">
        <v>179</v>
      </c>
      <c r="AD462">
        <f>0</f>
        <v>0</v>
      </c>
      <c r="AE462">
        <f>0</f>
        <v>0</v>
      </c>
      <c r="AG462" t="s">
        <v>180</v>
      </c>
      <c r="AH462" t="s">
        <v>193</v>
      </c>
      <c r="AK462" t="s">
        <v>181</v>
      </c>
      <c r="AL462" t="s">
        <v>182</v>
      </c>
      <c r="AM462">
        <f>3.9</f>
        <v>3.9</v>
      </c>
      <c r="AN462">
        <f>0.08</f>
        <v>0.08</v>
      </c>
      <c r="AO462">
        <f>7.2</f>
        <v>7.2</v>
      </c>
      <c r="AP462">
        <f>3</f>
        <v>3</v>
      </c>
      <c r="AQ462" t="s">
        <v>180</v>
      </c>
      <c r="FB462">
        <f>0.12</f>
        <v>0.12</v>
      </c>
      <c r="FC462">
        <f>0.2</f>
        <v>0.2</v>
      </c>
      <c r="FD462">
        <f>0.34</f>
        <v>0.34</v>
      </c>
      <c r="FE462">
        <f>0.43</f>
        <v>0.43</v>
      </c>
      <c r="FH462">
        <f>1.1</f>
        <v>1.1000000000000001</v>
      </c>
    </row>
    <row r="463" spans="1:164" x14ac:dyDescent="0.25">
      <c r="A463" t="s">
        <v>1857</v>
      </c>
      <c r="B463" t="s">
        <v>170</v>
      </c>
      <c r="C463" s="1">
        <v>46135</v>
      </c>
      <c r="D463" t="s">
        <v>184</v>
      </c>
      <c r="E463" t="s">
        <v>185</v>
      </c>
      <c r="F463" t="s">
        <v>3374</v>
      </c>
      <c r="G463" t="s">
        <v>3751</v>
      </c>
      <c r="H463">
        <v>985</v>
      </c>
      <c r="I463" t="s">
        <v>3751</v>
      </c>
      <c r="J463">
        <v>108</v>
      </c>
      <c r="K463" t="s">
        <v>4494</v>
      </c>
      <c r="L463" t="s">
        <v>266</v>
      </c>
      <c r="M463" t="s">
        <v>3752</v>
      </c>
      <c r="N463" t="s">
        <v>1858</v>
      </c>
      <c r="O463" t="s">
        <v>1859</v>
      </c>
      <c r="R463">
        <f>1</f>
        <v>1</v>
      </c>
      <c r="S463">
        <f>11</f>
        <v>11</v>
      </c>
      <c r="T463">
        <f>6.5</f>
        <v>6.5</v>
      </c>
      <c r="U463">
        <f>93</f>
        <v>93</v>
      </c>
      <c r="V463">
        <f>0.1</f>
        <v>0.1</v>
      </c>
      <c r="X463">
        <f>0</f>
        <v>0</v>
      </c>
      <c r="Y463">
        <f>0.4</f>
        <v>0.4</v>
      </c>
      <c r="Z463">
        <f>0</f>
        <v>0</v>
      </c>
      <c r="AA463" t="s">
        <v>179</v>
      </c>
      <c r="AB463" t="s">
        <v>179</v>
      </c>
      <c r="AC463">
        <f>0</f>
        <v>0</v>
      </c>
      <c r="AD463">
        <f>0</f>
        <v>0</v>
      </c>
      <c r="AE463">
        <f>0</f>
        <v>0</v>
      </c>
      <c r="AG463" t="s">
        <v>180</v>
      </c>
      <c r="CC463">
        <f>0.21</f>
        <v>0.21</v>
      </c>
      <c r="FB463" t="s">
        <v>180</v>
      </c>
      <c r="FC463">
        <f>0.31</f>
        <v>0.31</v>
      </c>
      <c r="FD463" t="s">
        <v>220</v>
      </c>
      <c r="FE463">
        <f>0.25</f>
        <v>0.25</v>
      </c>
      <c r="FH463">
        <f>0.56</f>
        <v>0.56000000000000005</v>
      </c>
    </row>
    <row r="464" spans="1:164" x14ac:dyDescent="0.25">
      <c r="A464" t="s">
        <v>1860</v>
      </c>
      <c r="B464" t="s">
        <v>170</v>
      </c>
      <c r="C464" s="1">
        <v>46133</v>
      </c>
      <c r="D464" t="s">
        <v>251</v>
      </c>
      <c r="E464" t="s">
        <v>252</v>
      </c>
      <c r="F464" t="s">
        <v>758</v>
      </c>
      <c r="G464" t="s">
        <v>1861</v>
      </c>
      <c r="H464">
        <v>74</v>
      </c>
      <c r="I464" t="s">
        <v>1861</v>
      </c>
      <c r="J464">
        <v>84</v>
      </c>
      <c r="K464" t="s">
        <v>4492</v>
      </c>
      <c r="L464" t="s">
        <v>3567</v>
      </c>
      <c r="M464" t="s">
        <v>1862</v>
      </c>
      <c r="N464" t="s">
        <v>1863</v>
      </c>
      <c r="O464" t="s">
        <v>1864</v>
      </c>
      <c r="Q464" t="s">
        <v>257</v>
      </c>
      <c r="R464">
        <f>1</f>
        <v>1</v>
      </c>
      <c r="S464">
        <f>9.3</f>
        <v>9.3000000000000007</v>
      </c>
      <c r="T464">
        <f>7.9</f>
        <v>7.9</v>
      </c>
      <c r="U464">
        <f>315</f>
        <v>315</v>
      </c>
      <c r="X464">
        <f>0</f>
        <v>0</v>
      </c>
      <c r="Y464" t="s">
        <v>180</v>
      </c>
      <c r="Z464">
        <f>0</f>
        <v>0</v>
      </c>
      <c r="AA464">
        <f>0</f>
        <v>0</v>
      </c>
      <c r="AB464">
        <f>0</f>
        <v>0</v>
      </c>
      <c r="AD464">
        <f>0</f>
        <v>0</v>
      </c>
      <c r="AE464">
        <f>0</f>
        <v>0</v>
      </c>
      <c r="AG464" t="s">
        <v>180</v>
      </c>
      <c r="AH464" t="s">
        <v>284</v>
      </c>
      <c r="AK464" t="s">
        <v>285</v>
      </c>
      <c r="AL464" t="s">
        <v>286</v>
      </c>
      <c r="AM464">
        <f>2.8</f>
        <v>2.8</v>
      </c>
      <c r="AN464">
        <f>0.056</f>
        <v>5.6000000000000001E-2</v>
      </c>
      <c r="AO464">
        <f>11</f>
        <v>11</v>
      </c>
      <c r="AP464" t="s">
        <v>284</v>
      </c>
      <c r="AQ464" t="s">
        <v>284</v>
      </c>
    </row>
    <row r="465" spans="1:164" x14ac:dyDescent="0.25">
      <c r="A465" t="s">
        <v>1865</v>
      </c>
      <c r="B465" t="s">
        <v>170</v>
      </c>
      <c r="C465" s="1">
        <v>46106</v>
      </c>
      <c r="D465" t="s">
        <v>251</v>
      </c>
      <c r="E465" t="s">
        <v>252</v>
      </c>
      <c r="F465" t="s">
        <v>4033</v>
      </c>
      <c r="G465" t="s">
        <v>1866</v>
      </c>
      <c r="H465">
        <v>992</v>
      </c>
      <c r="I465" t="s">
        <v>1866</v>
      </c>
      <c r="J465">
        <v>93</v>
      </c>
      <c r="K465" t="s">
        <v>4492</v>
      </c>
      <c r="L465" t="s">
        <v>271</v>
      </c>
      <c r="M465" t="s">
        <v>4758</v>
      </c>
      <c r="N465" t="s">
        <v>1867</v>
      </c>
      <c r="O465" t="s">
        <v>1868</v>
      </c>
      <c r="Q465" t="s">
        <v>257</v>
      </c>
      <c r="R465">
        <f>1</f>
        <v>1</v>
      </c>
      <c r="S465">
        <f>8.7</f>
        <v>8.6999999999999993</v>
      </c>
      <c r="T465">
        <f>6.7</f>
        <v>6.7</v>
      </c>
      <c r="U465">
        <f>33</f>
        <v>33</v>
      </c>
      <c r="X465">
        <f>0</f>
        <v>0</v>
      </c>
      <c r="Y465" t="s">
        <v>180</v>
      </c>
      <c r="Z465">
        <f>0</f>
        <v>0</v>
      </c>
      <c r="AA465">
        <f>4</f>
        <v>4</v>
      </c>
      <c r="AB465">
        <f>0</f>
        <v>0</v>
      </c>
      <c r="AD465">
        <f>0</f>
        <v>0</v>
      </c>
      <c r="AE465">
        <f>0</f>
        <v>0</v>
      </c>
      <c r="AG465" t="s">
        <v>180</v>
      </c>
      <c r="CC465" t="s">
        <v>284</v>
      </c>
    </row>
    <row r="466" spans="1:164" x14ac:dyDescent="0.25">
      <c r="A466" t="s">
        <v>1869</v>
      </c>
      <c r="B466" t="s">
        <v>170</v>
      </c>
      <c r="C466" s="1">
        <v>46098</v>
      </c>
      <c r="D466" t="s">
        <v>251</v>
      </c>
      <c r="E466" t="s">
        <v>252</v>
      </c>
      <c r="F466" t="s">
        <v>4380</v>
      </c>
      <c r="G466" t="s">
        <v>1870</v>
      </c>
      <c r="H466">
        <v>361</v>
      </c>
      <c r="I466" t="s">
        <v>1870</v>
      </c>
      <c r="J466">
        <v>80</v>
      </c>
      <c r="K466" t="s">
        <v>4492</v>
      </c>
      <c r="L466" t="s">
        <v>271</v>
      </c>
      <c r="M466" t="s">
        <v>3396</v>
      </c>
      <c r="N466" t="s">
        <v>4034</v>
      </c>
      <c r="O466" t="s">
        <v>1871</v>
      </c>
      <c r="Q466" t="s">
        <v>257</v>
      </c>
      <c r="R466">
        <f>1</f>
        <v>1</v>
      </c>
      <c r="S466">
        <f>9.7</f>
        <v>9.6999999999999993</v>
      </c>
      <c r="T466">
        <f>7.5</f>
        <v>7.5</v>
      </c>
      <c r="U466">
        <f>508</f>
        <v>508</v>
      </c>
      <c r="X466">
        <f>0</f>
        <v>0</v>
      </c>
      <c r="Y466">
        <f>0.1</f>
        <v>0.1</v>
      </c>
      <c r="Z466">
        <f>0</f>
        <v>0</v>
      </c>
      <c r="AA466">
        <f>6</f>
        <v>6</v>
      </c>
      <c r="AB466">
        <f>40</f>
        <v>40</v>
      </c>
      <c r="AD466">
        <f>0</f>
        <v>0</v>
      </c>
      <c r="AE466">
        <f>0</f>
        <v>0</v>
      </c>
      <c r="AG466" t="s">
        <v>180</v>
      </c>
      <c r="CC466" t="s">
        <v>284</v>
      </c>
    </row>
    <row r="467" spans="1:164" x14ac:dyDescent="0.25">
      <c r="A467" t="s">
        <v>1872</v>
      </c>
      <c r="B467" t="s">
        <v>170</v>
      </c>
      <c r="C467" s="1">
        <v>46087</v>
      </c>
      <c r="D467" t="s">
        <v>184</v>
      </c>
      <c r="E467" t="s">
        <v>448</v>
      </c>
      <c r="F467" t="s">
        <v>558</v>
      </c>
      <c r="G467" t="s">
        <v>1873</v>
      </c>
      <c r="H467">
        <v>1070</v>
      </c>
      <c r="I467" t="s">
        <v>1873</v>
      </c>
      <c r="J467">
        <v>140</v>
      </c>
      <c r="K467" t="s">
        <v>4492</v>
      </c>
      <c r="L467" t="s">
        <v>271</v>
      </c>
      <c r="M467" t="s">
        <v>1874</v>
      </c>
      <c r="N467" t="s">
        <v>1875</v>
      </c>
      <c r="O467" t="s">
        <v>1876</v>
      </c>
      <c r="R467">
        <f>1</f>
        <v>1</v>
      </c>
      <c r="S467">
        <f>9.3</f>
        <v>9.3000000000000007</v>
      </c>
      <c r="T467">
        <f>7.6</f>
        <v>7.6</v>
      </c>
      <c r="U467">
        <f>456</f>
        <v>456</v>
      </c>
      <c r="X467">
        <f>0</f>
        <v>0</v>
      </c>
      <c r="Y467" t="s">
        <v>180</v>
      </c>
      <c r="Z467">
        <f>0</f>
        <v>0</v>
      </c>
      <c r="AA467" t="s">
        <v>179</v>
      </c>
      <c r="AB467" t="s">
        <v>179</v>
      </c>
      <c r="AD467">
        <f>0</f>
        <v>0</v>
      </c>
      <c r="AE467">
        <f>0</f>
        <v>0</v>
      </c>
      <c r="AG467" t="s">
        <v>180</v>
      </c>
    </row>
    <row r="468" spans="1:164" x14ac:dyDescent="0.25">
      <c r="A468" t="s">
        <v>1877</v>
      </c>
      <c r="B468" t="s">
        <v>766</v>
      </c>
      <c r="C468" s="1">
        <v>46092</v>
      </c>
      <c r="D468" t="s">
        <v>184</v>
      </c>
      <c r="E468" t="s">
        <v>185</v>
      </c>
      <c r="F468" t="s">
        <v>1084</v>
      </c>
      <c r="G468" t="s">
        <v>1878</v>
      </c>
      <c r="H468">
        <v>577</v>
      </c>
      <c r="I468" t="s">
        <v>1878</v>
      </c>
      <c r="J468">
        <v>150</v>
      </c>
      <c r="K468" t="s">
        <v>4494</v>
      </c>
      <c r="L468" t="s">
        <v>271</v>
      </c>
      <c r="M468" t="s">
        <v>1879</v>
      </c>
      <c r="N468" t="s">
        <v>1880</v>
      </c>
      <c r="O468" t="s">
        <v>1881</v>
      </c>
      <c r="R468">
        <f>1</f>
        <v>1</v>
      </c>
      <c r="S468">
        <f>9.9</f>
        <v>9.9</v>
      </c>
      <c r="T468">
        <f>7.4</f>
        <v>7.4</v>
      </c>
      <c r="U468">
        <f>416</f>
        <v>416</v>
      </c>
      <c r="X468">
        <f>0</f>
        <v>0</v>
      </c>
      <c r="Y468" t="s">
        <v>180</v>
      </c>
      <c r="Z468">
        <f>0</f>
        <v>0</v>
      </c>
      <c r="AA468" t="s">
        <v>179</v>
      </c>
      <c r="AB468" t="s">
        <v>179</v>
      </c>
      <c r="AC468">
        <f>0</f>
        <v>0</v>
      </c>
      <c r="AD468">
        <f>0</f>
        <v>0</v>
      </c>
      <c r="AE468">
        <f>4</f>
        <v>4</v>
      </c>
      <c r="AG468" t="s">
        <v>180</v>
      </c>
    </row>
    <row r="469" spans="1:164" x14ac:dyDescent="0.25">
      <c r="A469" t="s">
        <v>1882</v>
      </c>
      <c r="B469" t="s">
        <v>170</v>
      </c>
      <c r="C469" s="1">
        <v>46097</v>
      </c>
      <c r="D469" t="s">
        <v>184</v>
      </c>
      <c r="E469" t="s">
        <v>185</v>
      </c>
      <c r="F469" t="s">
        <v>1883</v>
      </c>
      <c r="G469" t="s">
        <v>1883</v>
      </c>
      <c r="H469">
        <v>634</v>
      </c>
      <c r="I469" t="s">
        <v>1883</v>
      </c>
      <c r="J469">
        <v>104</v>
      </c>
      <c r="K469" t="s">
        <v>4492</v>
      </c>
      <c r="L469" t="s">
        <v>1528</v>
      </c>
      <c r="M469" t="s">
        <v>1884</v>
      </c>
      <c r="N469" t="s">
        <v>4035</v>
      </c>
      <c r="O469" t="s">
        <v>1885</v>
      </c>
      <c r="Q469" t="s">
        <v>257</v>
      </c>
      <c r="R469">
        <f>1</f>
        <v>1</v>
      </c>
      <c r="S469">
        <f>13.2</f>
        <v>13.2</v>
      </c>
      <c r="T469">
        <f>7.5</f>
        <v>7.5</v>
      </c>
      <c r="U469">
        <f>334</f>
        <v>334</v>
      </c>
      <c r="X469">
        <f>0</f>
        <v>0</v>
      </c>
      <c r="Y469">
        <f>0.22</f>
        <v>0.22</v>
      </c>
      <c r="Z469">
        <f>0</f>
        <v>0</v>
      </c>
      <c r="AA469">
        <f>0</f>
        <v>0</v>
      </c>
      <c r="AB469">
        <f>0</f>
        <v>0</v>
      </c>
      <c r="AD469">
        <f>0</f>
        <v>0</v>
      </c>
      <c r="AE469">
        <f>0</f>
        <v>0</v>
      </c>
      <c r="AG469" t="s">
        <v>180</v>
      </c>
      <c r="AH469" t="s">
        <v>284</v>
      </c>
      <c r="AK469" t="s">
        <v>285</v>
      </c>
      <c r="AL469" t="s">
        <v>286</v>
      </c>
      <c r="AM469">
        <f>6.6</f>
        <v>6.6</v>
      </c>
      <c r="AN469">
        <f>0.132</f>
        <v>0.13200000000000001</v>
      </c>
      <c r="AO469">
        <f>4.5</f>
        <v>4.5</v>
      </c>
      <c r="AP469">
        <f>3.3</f>
        <v>3.3</v>
      </c>
      <c r="AQ469" t="s">
        <v>284</v>
      </c>
      <c r="CC469" t="s">
        <v>284</v>
      </c>
    </row>
    <row r="470" spans="1:164" x14ac:dyDescent="0.25">
      <c r="A470" t="s">
        <v>1886</v>
      </c>
      <c r="B470" t="s">
        <v>766</v>
      </c>
      <c r="C470" s="1">
        <v>46104</v>
      </c>
      <c r="D470" t="s">
        <v>222</v>
      </c>
      <c r="E470" t="s">
        <v>223</v>
      </c>
      <c r="F470" t="s">
        <v>4381</v>
      </c>
      <c r="G470" t="s">
        <v>1887</v>
      </c>
      <c r="H470">
        <v>1113</v>
      </c>
      <c r="I470" t="s">
        <v>1887</v>
      </c>
      <c r="J470">
        <v>80</v>
      </c>
      <c r="K470" t="s">
        <v>4494</v>
      </c>
      <c r="L470" t="s">
        <v>3397</v>
      </c>
      <c r="M470" t="s">
        <v>1888</v>
      </c>
      <c r="N470" t="s">
        <v>3398</v>
      </c>
      <c r="O470" t="s">
        <v>1889</v>
      </c>
      <c r="R470">
        <f>1</f>
        <v>1</v>
      </c>
      <c r="S470">
        <f>8.8</f>
        <v>8.8000000000000007</v>
      </c>
      <c r="T470">
        <f>7.4</f>
        <v>7.4</v>
      </c>
      <c r="U470">
        <f>95</f>
        <v>95</v>
      </c>
      <c r="X470">
        <f>1</f>
        <v>1</v>
      </c>
      <c r="Y470">
        <f>0.43</f>
        <v>0.43</v>
      </c>
      <c r="Z470">
        <f>0</f>
        <v>0</v>
      </c>
      <c r="AA470" t="s">
        <v>179</v>
      </c>
      <c r="AB470" t="s">
        <v>179</v>
      </c>
      <c r="AC470">
        <f>0</f>
        <v>0</v>
      </c>
      <c r="AD470">
        <f>0</f>
        <v>0</v>
      </c>
      <c r="AE470">
        <f>0</f>
        <v>0</v>
      </c>
      <c r="AG470" t="s">
        <v>180</v>
      </c>
      <c r="AH470" t="s">
        <v>193</v>
      </c>
      <c r="AK470" t="s">
        <v>181</v>
      </c>
      <c r="AL470" t="s">
        <v>182</v>
      </c>
      <c r="AM470">
        <f>3</f>
        <v>3</v>
      </c>
      <c r="AN470">
        <f>0.06</f>
        <v>0.06</v>
      </c>
      <c r="AO470">
        <f>11</f>
        <v>11</v>
      </c>
      <c r="AP470">
        <f>0.9</f>
        <v>0.9</v>
      </c>
      <c r="AQ470" t="s">
        <v>180</v>
      </c>
      <c r="CC470">
        <f>12</f>
        <v>12</v>
      </c>
    </row>
    <row r="471" spans="1:164" x14ac:dyDescent="0.25">
      <c r="A471" t="s">
        <v>1890</v>
      </c>
      <c r="B471" t="s">
        <v>170</v>
      </c>
      <c r="C471" s="1">
        <v>46132</v>
      </c>
      <c r="D471" t="s">
        <v>222</v>
      </c>
      <c r="E471" t="s">
        <v>223</v>
      </c>
      <c r="F471" t="s">
        <v>4533</v>
      </c>
      <c r="G471" t="s">
        <v>4036</v>
      </c>
      <c r="H471">
        <v>878</v>
      </c>
      <c r="I471" t="s">
        <v>4036</v>
      </c>
      <c r="J471">
        <v>110</v>
      </c>
      <c r="K471" t="s">
        <v>4492</v>
      </c>
      <c r="L471" t="s">
        <v>266</v>
      </c>
      <c r="M471" t="s">
        <v>4759</v>
      </c>
      <c r="N471" t="s">
        <v>4760</v>
      </c>
      <c r="O471" t="s">
        <v>1891</v>
      </c>
      <c r="R471">
        <f>1</f>
        <v>1</v>
      </c>
      <c r="S471">
        <f>11.4</f>
        <v>11.4</v>
      </c>
      <c r="T471">
        <f>7.6</f>
        <v>7.6</v>
      </c>
      <c r="U471">
        <f>474</f>
        <v>474</v>
      </c>
      <c r="V471">
        <f>0.09</f>
        <v>0.09</v>
      </c>
      <c r="X471">
        <f>1</f>
        <v>1</v>
      </c>
      <c r="Y471" t="s">
        <v>180</v>
      </c>
      <c r="Z471">
        <f>0</f>
        <v>0</v>
      </c>
      <c r="AA471" t="s">
        <v>179</v>
      </c>
      <c r="AB471" t="s">
        <v>179</v>
      </c>
      <c r="AD471">
        <f>0</f>
        <v>0</v>
      </c>
      <c r="AE471">
        <f>0</f>
        <v>0</v>
      </c>
      <c r="AG471" t="s">
        <v>180</v>
      </c>
      <c r="FB471">
        <f>0.35</f>
        <v>0.35</v>
      </c>
      <c r="FC471" t="s">
        <v>220</v>
      </c>
      <c r="FD471">
        <f>0.58</f>
        <v>0.57999999999999996</v>
      </c>
      <c r="FE471">
        <f>0.46</f>
        <v>0.46</v>
      </c>
      <c r="FH471">
        <f>1.4</f>
        <v>1.4</v>
      </c>
    </row>
    <row r="472" spans="1:164" x14ac:dyDescent="0.25">
      <c r="A472" t="s">
        <v>1892</v>
      </c>
      <c r="B472" t="s">
        <v>170</v>
      </c>
      <c r="C472" s="1">
        <v>46098</v>
      </c>
      <c r="D472" t="s">
        <v>184</v>
      </c>
      <c r="E472" t="s">
        <v>239</v>
      </c>
      <c r="F472" t="s">
        <v>1893</v>
      </c>
      <c r="G472" t="s">
        <v>1894</v>
      </c>
      <c r="H472">
        <v>1139</v>
      </c>
      <c r="I472" t="s">
        <v>1894</v>
      </c>
      <c r="J472">
        <v>110</v>
      </c>
      <c r="K472" t="s">
        <v>4494</v>
      </c>
      <c r="L472" t="s">
        <v>266</v>
      </c>
      <c r="M472" t="s">
        <v>1895</v>
      </c>
      <c r="N472" t="s">
        <v>3399</v>
      </c>
      <c r="O472" t="s">
        <v>1896</v>
      </c>
      <c r="R472">
        <f>1</f>
        <v>1</v>
      </c>
      <c r="S472">
        <f>9.9</f>
        <v>9.9</v>
      </c>
      <c r="T472">
        <f>8.1</f>
        <v>8.1</v>
      </c>
      <c r="U472">
        <f>411</f>
        <v>411</v>
      </c>
      <c r="X472">
        <f>0</f>
        <v>0</v>
      </c>
      <c r="Y472" t="s">
        <v>243</v>
      </c>
      <c r="Z472">
        <f>0</f>
        <v>0</v>
      </c>
      <c r="AA472" t="s">
        <v>179</v>
      </c>
      <c r="AB472" t="s">
        <v>179</v>
      </c>
      <c r="AC472">
        <f>0</f>
        <v>0</v>
      </c>
      <c r="AD472">
        <f>0</f>
        <v>0</v>
      </c>
      <c r="AE472">
        <f>0</f>
        <v>0</v>
      </c>
      <c r="AG472" t="s">
        <v>220</v>
      </c>
      <c r="CC472">
        <f>0.15</f>
        <v>0.15</v>
      </c>
    </row>
    <row r="473" spans="1:164" x14ac:dyDescent="0.25">
      <c r="A473" t="s">
        <v>1897</v>
      </c>
      <c r="B473" t="s">
        <v>170</v>
      </c>
      <c r="C473" s="1">
        <v>46100</v>
      </c>
      <c r="D473" t="s">
        <v>222</v>
      </c>
      <c r="E473" t="s">
        <v>223</v>
      </c>
      <c r="F473" t="s">
        <v>3685</v>
      </c>
      <c r="G473" t="s">
        <v>4037</v>
      </c>
      <c r="H473">
        <v>1170</v>
      </c>
      <c r="I473" t="s">
        <v>4037</v>
      </c>
      <c r="J473">
        <v>103</v>
      </c>
      <c r="K473" t="s">
        <v>4492</v>
      </c>
      <c r="L473" t="s">
        <v>291</v>
      </c>
      <c r="M473" t="s">
        <v>4761</v>
      </c>
      <c r="N473" t="s">
        <v>4762</v>
      </c>
      <c r="O473" t="s">
        <v>1898</v>
      </c>
      <c r="R473">
        <f>1</f>
        <v>1</v>
      </c>
      <c r="S473">
        <f>9.3</f>
        <v>9.3000000000000007</v>
      </c>
      <c r="T473">
        <f>7.9</f>
        <v>7.9</v>
      </c>
      <c r="U473">
        <f>319</f>
        <v>319</v>
      </c>
      <c r="X473">
        <f>0</f>
        <v>0</v>
      </c>
      <c r="Y473">
        <f>0.58</f>
        <v>0.57999999999999996</v>
      </c>
      <c r="Z473">
        <f>0</f>
        <v>0</v>
      </c>
      <c r="AA473" t="s">
        <v>179</v>
      </c>
      <c r="AB473" t="s">
        <v>179</v>
      </c>
      <c r="AD473">
        <f>0</f>
        <v>0</v>
      </c>
      <c r="AE473">
        <f>0</f>
        <v>0</v>
      </c>
      <c r="AG473" t="s">
        <v>180</v>
      </c>
    </row>
    <row r="474" spans="1:164" x14ac:dyDescent="0.25">
      <c r="A474" t="s">
        <v>1899</v>
      </c>
      <c r="B474" t="s">
        <v>170</v>
      </c>
      <c r="C474" s="1">
        <v>46097</v>
      </c>
      <c r="D474" t="s">
        <v>222</v>
      </c>
      <c r="E474" t="s">
        <v>223</v>
      </c>
      <c r="F474" t="s">
        <v>4731</v>
      </c>
      <c r="G474" t="s">
        <v>1900</v>
      </c>
      <c r="H474">
        <v>1173</v>
      </c>
      <c r="I474" t="s">
        <v>1900</v>
      </c>
      <c r="J474">
        <v>100</v>
      </c>
      <c r="K474" t="s">
        <v>4492</v>
      </c>
      <c r="L474" t="s">
        <v>1564</v>
      </c>
      <c r="M474" t="s">
        <v>3400</v>
      </c>
      <c r="N474" t="s">
        <v>3401</v>
      </c>
      <c r="O474" t="s">
        <v>1901</v>
      </c>
      <c r="R474">
        <f>1</f>
        <v>1</v>
      </c>
      <c r="S474">
        <f>9.4</f>
        <v>9.4</v>
      </c>
      <c r="T474">
        <f>6.8</f>
        <v>6.8</v>
      </c>
      <c r="U474">
        <f>104</f>
        <v>104</v>
      </c>
      <c r="V474">
        <f>0.2</f>
        <v>0.2</v>
      </c>
      <c r="X474">
        <f>0</f>
        <v>0</v>
      </c>
      <c r="Y474" t="s">
        <v>180</v>
      </c>
      <c r="Z474">
        <f>0</f>
        <v>0</v>
      </c>
      <c r="AA474" t="s">
        <v>179</v>
      </c>
      <c r="AB474" t="s">
        <v>179</v>
      </c>
      <c r="AD474">
        <f>0</f>
        <v>0</v>
      </c>
      <c r="AE474">
        <f>0</f>
        <v>0</v>
      </c>
      <c r="AG474" t="s">
        <v>180</v>
      </c>
      <c r="AH474" t="s">
        <v>193</v>
      </c>
      <c r="AI474" t="s">
        <v>286</v>
      </c>
      <c r="AJ474" t="s">
        <v>286</v>
      </c>
      <c r="AK474" t="s">
        <v>181</v>
      </c>
      <c r="AL474" t="s">
        <v>182</v>
      </c>
      <c r="AM474">
        <f>7.5</f>
        <v>7.5</v>
      </c>
      <c r="AN474">
        <f>0.15</f>
        <v>0.15</v>
      </c>
      <c r="AO474">
        <f>4.1</f>
        <v>4.0999999999999996</v>
      </c>
      <c r="AP474">
        <f>3.8</f>
        <v>3.8</v>
      </c>
      <c r="AQ474" t="s">
        <v>180</v>
      </c>
      <c r="FB474">
        <f>0.45</f>
        <v>0.45</v>
      </c>
      <c r="FC474">
        <f>0.2</f>
        <v>0.2</v>
      </c>
      <c r="FD474">
        <f>0.44</f>
        <v>0.44</v>
      </c>
      <c r="FE474">
        <f>0.54</f>
        <v>0.54</v>
      </c>
      <c r="FH474">
        <f>1.6</f>
        <v>1.6</v>
      </c>
    </row>
    <row r="475" spans="1:164" x14ac:dyDescent="0.25">
      <c r="A475" t="s">
        <v>1902</v>
      </c>
      <c r="B475" t="s">
        <v>170</v>
      </c>
      <c r="C475" s="1">
        <v>46129</v>
      </c>
      <c r="D475" t="s">
        <v>238</v>
      </c>
      <c r="E475" t="s">
        <v>239</v>
      </c>
      <c r="F475" t="s">
        <v>478</v>
      </c>
      <c r="G475" t="s">
        <v>1903</v>
      </c>
      <c r="H475">
        <v>485</v>
      </c>
      <c r="I475" t="s">
        <v>1903</v>
      </c>
      <c r="J475">
        <v>78</v>
      </c>
      <c r="K475" t="s">
        <v>4494</v>
      </c>
      <c r="L475" t="s">
        <v>266</v>
      </c>
      <c r="M475" t="s">
        <v>1904</v>
      </c>
      <c r="N475" t="s">
        <v>1905</v>
      </c>
      <c r="O475" t="s">
        <v>1906</v>
      </c>
      <c r="R475">
        <f>1</f>
        <v>1</v>
      </c>
      <c r="S475">
        <f>11.3</f>
        <v>11.3</v>
      </c>
      <c r="T475">
        <f>7.2</f>
        <v>7.2</v>
      </c>
      <c r="U475">
        <f>541</f>
        <v>541</v>
      </c>
      <c r="V475">
        <f>0.26</f>
        <v>0.26</v>
      </c>
      <c r="X475">
        <f>0</f>
        <v>0</v>
      </c>
      <c r="Y475">
        <f>0.48</f>
        <v>0.48</v>
      </c>
      <c r="Z475">
        <f>0</f>
        <v>0</v>
      </c>
      <c r="AA475" t="s">
        <v>179</v>
      </c>
      <c r="AB475" t="s">
        <v>179</v>
      </c>
      <c r="AC475">
        <f>0</f>
        <v>0</v>
      </c>
      <c r="AD475">
        <f>0</f>
        <v>0</v>
      </c>
      <c r="AE475">
        <f>0</f>
        <v>0</v>
      </c>
      <c r="AG475" t="s">
        <v>220</v>
      </c>
    </row>
    <row r="476" spans="1:164" x14ac:dyDescent="0.25">
      <c r="A476" t="s">
        <v>1907</v>
      </c>
      <c r="B476" t="s">
        <v>170</v>
      </c>
      <c r="C476" s="1">
        <v>46091</v>
      </c>
      <c r="D476" t="s">
        <v>238</v>
      </c>
      <c r="E476" t="s">
        <v>260</v>
      </c>
      <c r="F476" t="s">
        <v>4038</v>
      </c>
      <c r="G476" t="s">
        <v>4039</v>
      </c>
      <c r="H476">
        <v>496</v>
      </c>
      <c r="I476" t="s">
        <v>4039</v>
      </c>
      <c r="J476">
        <v>60</v>
      </c>
      <c r="K476" t="s">
        <v>4494</v>
      </c>
      <c r="L476" t="s">
        <v>271</v>
      </c>
      <c r="M476" t="s">
        <v>1908</v>
      </c>
      <c r="N476" t="s">
        <v>1909</v>
      </c>
      <c r="O476" t="s">
        <v>1910</v>
      </c>
      <c r="R476">
        <f>1</f>
        <v>1</v>
      </c>
      <c r="S476">
        <f>8.7</f>
        <v>8.6999999999999993</v>
      </c>
      <c r="T476">
        <f>7.6</f>
        <v>7.6</v>
      </c>
      <c r="U476">
        <f>520</f>
        <v>520</v>
      </c>
      <c r="X476">
        <f>1</f>
        <v>1</v>
      </c>
      <c r="Y476">
        <f>0.5</f>
        <v>0.5</v>
      </c>
      <c r="Z476">
        <f>0</f>
        <v>0</v>
      </c>
      <c r="AA476" t="s">
        <v>179</v>
      </c>
      <c r="AB476" t="s">
        <v>179</v>
      </c>
      <c r="AC476">
        <f>0</f>
        <v>0</v>
      </c>
      <c r="AD476">
        <f>0</f>
        <v>0</v>
      </c>
      <c r="AE476">
        <f>0</f>
        <v>0</v>
      </c>
      <c r="AG476" t="s">
        <v>220</v>
      </c>
      <c r="AH476">
        <f>0.48</f>
        <v>0.48</v>
      </c>
      <c r="AK476" t="s">
        <v>286</v>
      </c>
      <c r="AL476" t="s">
        <v>556</v>
      </c>
      <c r="AM476">
        <f>1.6</f>
        <v>1.6</v>
      </c>
      <c r="AN476">
        <f>0.032</f>
        <v>3.2000000000000001E-2</v>
      </c>
      <c r="AO476">
        <f>4.3</f>
        <v>4.3</v>
      </c>
      <c r="AP476">
        <f>2.7</f>
        <v>2.7</v>
      </c>
      <c r="AQ476" t="s">
        <v>192</v>
      </c>
      <c r="CC476">
        <f>0.23</f>
        <v>0.23</v>
      </c>
    </row>
    <row r="477" spans="1:164" x14ac:dyDescent="0.25">
      <c r="A477" t="s">
        <v>1911</v>
      </c>
      <c r="B477" t="s">
        <v>170</v>
      </c>
      <c r="C477" s="1">
        <v>46132</v>
      </c>
      <c r="D477" t="s">
        <v>238</v>
      </c>
      <c r="E477" t="s">
        <v>260</v>
      </c>
      <c r="F477" t="s">
        <v>1912</v>
      </c>
      <c r="G477" t="s">
        <v>1913</v>
      </c>
      <c r="H477">
        <v>517</v>
      </c>
      <c r="I477" t="s">
        <v>1914</v>
      </c>
      <c r="J477">
        <v>62</v>
      </c>
      <c r="K477" t="s">
        <v>4494</v>
      </c>
      <c r="L477" t="s">
        <v>266</v>
      </c>
      <c r="M477" t="s">
        <v>1915</v>
      </c>
      <c r="N477" t="s">
        <v>1916</v>
      </c>
      <c r="O477" t="s">
        <v>1917</v>
      </c>
      <c r="R477">
        <f>1</f>
        <v>1</v>
      </c>
      <c r="S477">
        <f>13.1</f>
        <v>13.1</v>
      </c>
      <c r="T477">
        <f>7.5</f>
        <v>7.5</v>
      </c>
      <c r="U477">
        <f>460</f>
        <v>460</v>
      </c>
      <c r="V477">
        <f>0.16</f>
        <v>0.16</v>
      </c>
      <c r="X477">
        <f>0</f>
        <v>0</v>
      </c>
      <c r="Y477">
        <f>0.87</f>
        <v>0.87</v>
      </c>
      <c r="Z477">
        <f>0</f>
        <v>0</v>
      </c>
      <c r="AA477" t="s">
        <v>179</v>
      </c>
      <c r="AB477">
        <f>10</f>
        <v>10</v>
      </c>
      <c r="AC477">
        <f>0</f>
        <v>0</v>
      </c>
      <c r="AD477">
        <f>0</f>
        <v>0</v>
      </c>
      <c r="AE477">
        <f>0</f>
        <v>0</v>
      </c>
      <c r="AG477" t="s">
        <v>220</v>
      </c>
      <c r="CC477">
        <f>0.23</f>
        <v>0.23</v>
      </c>
      <c r="FB477">
        <f>1.1</f>
        <v>1.1000000000000001</v>
      </c>
      <c r="FC477" t="s">
        <v>193</v>
      </c>
      <c r="FD477">
        <f>1.3</f>
        <v>1.3</v>
      </c>
      <c r="FE477">
        <f>1.1</f>
        <v>1.1000000000000001</v>
      </c>
      <c r="FH477">
        <f>3.5</f>
        <v>3.5</v>
      </c>
    </row>
    <row r="478" spans="1:164" x14ac:dyDescent="0.25">
      <c r="A478" t="s">
        <v>1918</v>
      </c>
      <c r="B478" t="s">
        <v>170</v>
      </c>
      <c r="C478" s="1">
        <v>46112</v>
      </c>
      <c r="D478" t="s">
        <v>222</v>
      </c>
      <c r="E478" t="s">
        <v>223</v>
      </c>
      <c r="F478" t="s">
        <v>3615</v>
      </c>
      <c r="G478" t="s">
        <v>1919</v>
      </c>
      <c r="H478">
        <v>1182</v>
      </c>
      <c r="I478" t="s">
        <v>1919</v>
      </c>
      <c r="J478">
        <v>100</v>
      </c>
      <c r="K478" t="s">
        <v>4492</v>
      </c>
      <c r="L478" t="s">
        <v>291</v>
      </c>
      <c r="M478" t="s">
        <v>4763</v>
      </c>
      <c r="N478" t="s">
        <v>4040</v>
      </c>
      <c r="O478" t="s">
        <v>1920</v>
      </c>
      <c r="Q478" t="s">
        <v>3487</v>
      </c>
      <c r="R478">
        <f>1</f>
        <v>1</v>
      </c>
      <c r="S478">
        <f>10.2</f>
        <v>10.199999999999999</v>
      </c>
      <c r="T478">
        <f>7.3</f>
        <v>7.3</v>
      </c>
      <c r="U478">
        <f>590</f>
        <v>590</v>
      </c>
      <c r="X478">
        <f>1</f>
        <v>1</v>
      </c>
      <c r="Y478">
        <f>0.18</f>
        <v>0.18</v>
      </c>
      <c r="Z478">
        <f>0</f>
        <v>0</v>
      </c>
      <c r="AA478" t="s">
        <v>179</v>
      </c>
      <c r="AB478" t="s">
        <v>179</v>
      </c>
      <c r="AD478">
        <f>0</f>
        <v>0</v>
      </c>
      <c r="AE478">
        <f>0</f>
        <v>0</v>
      </c>
      <c r="AG478" t="s">
        <v>180</v>
      </c>
      <c r="AH478" t="s">
        <v>193</v>
      </c>
      <c r="AK478" t="s">
        <v>181</v>
      </c>
      <c r="AL478" t="s">
        <v>182</v>
      </c>
      <c r="AM478">
        <f>8</f>
        <v>8</v>
      </c>
      <c r="AN478">
        <f>0.16</f>
        <v>0.16</v>
      </c>
      <c r="AO478">
        <f>26</f>
        <v>26</v>
      </c>
      <c r="AP478">
        <f>6.3</f>
        <v>6.3</v>
      </c>
      <c r="AQ478">
        <f>0.1</f>
        <v>0.1</v>
      </c>
      <c r="CC478">
        <f>0.9</f>
        <v>0.9</v>
      </c>
    </row>
    <row r="479" spans="1:164" x14ac:dyDescent="0.25">
      <c r="A479" t="s">
        <v>1921</v>
      </c>
      <c r="B479" t="s">
        <v>170</v>
      </c>
      <c r="C479" s="1">
        <v>46100</v>
      </c>
      <c r="D479" t="s">
        <v>222</v>
      </c>
      <c r="E479" t="s">
        <v>223</v>
      </c>
      <c r="F479" t="s">
        <v>1922</v>
      </c>
      <c r="G479" t="s">
        <v>1923</v>
      </c>
      <c r="H479">
        <v>1334</v>
      </c>
      <c r="I479" t="s">
        <v>1923</v>
      </c>
      <c r="J479">
        <v>90</v>
      </c>
      <c r="K479" t="s">
        <v>4492</v>
      </c>
      <c r="L479" t="s">
        <v>271</v>
      </c>
      <c r="M479" t="s">
        <v>4543</v>
      </c>
      <c r="N479" t="s">
        <v>3616</v>
      </c>
      <c r="O479" t="s">
        <v>1924</v>
      </c>
      <c r="R479">
        <f>1</f>
        <v>1</v>
      </c>
      <c r="S479">
        <f>9.6</f>
        <v>9.6</v>
      </c>
      <c r="T479">
        <f>8.1</f>
        <v>8.1</v>
      </c>
      <c r="U479">
        <f>270</f>
        <v>270</v>
      </c>
      <c r="X479">
        <f>0</f>
        <v>0</v>
      </c>
      <c r="Y479">
        <f>1.04</f>
        <v>1.04</v>
      </c>
      <c r="Z479">
        <f>0</f>
        <v>0</v>
      </c>
      <c r="AA479" t="s">
        <v>179</v>
      </c>
      <c r="AB479" t="s">
        <v>179</v>
      </c>
      <c r="AD479">
        <f>0</f>
        <v>0</v>
      </c>
      <c r="AE479">
        <f>0</f>
        <v>0</v>
      </c>
      <c r="AG479" t="s">
        <v>180</v>
      </c>
      <c r="CC479">
        <f>0.34</f>
        <v>0.34</v>
      </c>
    </row>
    <row r="480" spans="1:164" x14ac:dyDescent="0.25">
      <c r="A480" t="s">
        <v>1925</v>
      </c>
      <c r="B480" t="s">
        <v>170</v>
      </c>
      <c r="C480" s="1">
        <v>46114</v>
      </c>
      <c r="D480" t="s">
        <v>216</v>
      </c>
      <c r="E480" t="s">
        <v>217</v>
      </c>
      <c r="F480" t="s">
        <v>4764</v>
      </c>
      <c r="G480" t="s">
        <v>1926</v>
      </c>
      <c r="H480">
        <v>1368</v>
      </c>
      <c r="I480" t="s">
        <v>1926</v>
      </c>
      <c r="J480">
        <v>85</v>
      </c>
      <c r="K480" t="s">
        <v>4494</v>
      </c>
      <c r="L480" t="s">
        <v>271</v>
      </c>
      <c r="M480" t="s">
        <v>4543</v>
      </c>
      <c r="N480" t="s">
        <v>4765</v>
      </c>
      <c r="O480" t="s">
        <v>1927</v>
      </c>
      <c r="Q480" t="s">
        <v>3468</v>
      </c>
      <c r="R480">
        <f>1</f>
        <v>1</v>
      </c>
      <c r="S480">
        <f>12</f>
        <v>12</v>
      </c>
      <c r="T480">
        <f>8.1</f>
        <v>8.1</v>
      </c>
      <c r="U480">
        <f>301</f>
        <v>301</v>
      </c>
      <c r="X480">
        <f>1</f>
        <v>1</v>
      </c>
      <c r="Y480">
        <f>0.29</f>
        <v>0.28999999999999998</v>
      </c>
      <c r="Z480">
        <f>0</f>
        <v>0</v>
      </c>
      <c r="AA480">
        <f>2</f>
        <v>2</v>
      </c>
      <c r="AB480">
        <f>1</f>
        <v>1</v>
      </c>
      <c r="AC480">
        <f>0</f>
        <v>0</v>
      </c>
      <c r="AD480">
        <f>0</f>
        <v>0</v>
      </c>
      <c r="AE480">
        <f>0</f>
        <v>0</v>
      </c>
      <c r="AG480" t="s">
        <v>220</v>
      </c>
      <c r="AH480">
        <f>0.38</f>
        <v>0.38</v>
      </c>
      <c r="AK480" t="s">
        <v>285</v>
      </c>
      <c r="AL480" t="s">
        <v>181</v>
      </c>
      <c r="AM480">
        <f>6.7</f>
        <v>6.7</v>
      </c>
      <c r="AN480">
        <f>0.13</f>
        <v>0.13</v>
      </c>
      <c r="AO480">
        <f>4.1</f>
        <v>4.0999999999999996</v>
      </c>
      <c r="AP480">
        <f>3.8</f>
        <v>3.8</v>
      </c>
      <c r="AQ480" t="s">
        <v>284</v>
      </c>
      <c r="CC480">
        <f>0.28</f>
        <v>0.28000000000000003</v>
      </c>
    </row>
    <row r="481" spans="1:164" x14ac:dyDescent="0.25">
      <c r="A481" t="s">
        <v>1928</v>
      </c>
      <c r="B481" t="s">
        <v>170</v>
      </c>
      <c r="C481" s="1">
        <v>46090</v>
      </c>
      <c r="D481" t="s">
        <v>222</v>
      </c>
      <c r="E481" t="s">
        <v>223</v>
      </c>
      <c r="F481" t="s">
        <v>1929</v>
      </c>
      <c r="G481" t="s">
        <v>1930</v>
      </c>
      <c r="H481">
        <v>1026</v>
      </c>
      <c r="I481" t="s">
        <v>1930</v>
      </c>
      <c r="J481">
        <v>100</v>
      </c>
      <c r="K481" t="s">
        <v>4492</v>
      </c>
      <c r="L481" t="s">
        <v>271</v>
      </c>
      <c r="M481" t="s">
        <v>1931</v>
      </c>
      <c r="N481" t="s">
        <v>1932</v>
      </c>
      <c r="O481" t="s">
        <v>1933</v>
      </c>
      <c r="R481">
        <f>1</f>
        <v>1</v>
      </c>
      <c r="S481">
        <f>8.3</f>
        <v>8.3000000000000007</v>
      </c>
      <c r="T481">
        <f>7.8</f>
        <v>7.8</v>
      </c>
      <c r="U481">
        <f>435</f>
        <v>435</v>
      </c>
      <c r="X481">
        <f>0</f>
        <v>0</v>
      </c>
      <c r="Y481" t="s">
        <v>180</v>
      </c>
      <c r="Z481">
        <f>0</f>
        <v>0</v>
      </c>
      <c r="AA481" t="s">
        <v>179</v>
      </c>
      <c r="AB481" t="s">
        <v>179</v>
      </c>
      <c r="AD481">
        <f>0</f>
        <v>0</v>
      </c>
      <c r="AE481">
        <f>0</f>
        <v>0</v>
      </c>
      <c r="AG481" t="s">
        <v>180</v>
      </c>
      <c r="CC481">
        <f>0.15</f>
        <v>0.15</v>
      </c>
    </row>
    <row r="482" spans="1:164" x14ac:dyDescent="0.25">
      <c r="A482" t="s">
        <v>1934</v>
      </c>
      <c r="B482" t="s">
        <v>170</v>
      </c>
      <c r="C482" s="1">
        <v>46119</v>
      </c>
      <c r="D482" t="s">
        <v>216</v>
      </c>
      <c r="E482" t="s">
        <v>217</v>
      </c>
      <c r="F482" t="s">
        <v>3312</v>
      </c>
      <c r="G482" t="s">
        <v>4041</v>
      </c>
      <c r="H482">
        <v>396</v>
      </c>
      <c r="I482" t="s">
        <v>4041</v>
      </c>
      <c r="J482">
        <v>60</v>
      </c>
      <c r="K482" t="s">
        <v>4494</v>
      </c>
      <c r="L482" t="s">
        <v>3617</v>
      </c>
      <c r="M482" t="s">
        <v>4568</v>
      </c>
      <c r="N482" t="s">
        <v>4766</v>
      </c>
      <c r="O482" t="s">
        <v>1935</v>
      </c>
      <c r="R482">
        <f>1</f>
        <v>1</v>
      </c>
      <c r="S482">
        <f>11.1</f>
        <v>11.1</v>
      </c>
      <c r="T482">
        <f>8.4</f>
        <v>8.4</v>
      </c>
      <c r="U482">
        <f>274</f>
        <v>274</v>
      </c>
      <c r="V482">
        <f>0.19</f>
        <v>0.19</v>
      </c>
      <c r="X482">
        <f>1</f>
        <v>1</v>
      </c>
      <c r="Y482">
        <f>0.26</f>
        <v>0.26</v>
      </c>
      <c r="Z482">
        <f>0</f>
        <v>0</v>
      </c>
      <c r="AA482">
        <f>0</f>
        <v>0</v>
      </c>
      <c r="AB482">
        <f>0</f>
        <v>0</v>
      </c>
      <c r="AC482">
        <f>0</f>
        <v>0</v>
      </c>
      <c r="AD482">
        <f>0</f>
        <v>0</v>
      </c>
      <c r="AE482">
        <f>0</f>
        <v>0</v>
      </c>
      <c r="AG482" t="s">
        <v>220</v>
      </c>
      <c r="AH482" t="s">
        <v>411</v>
      </c>
      <c r="AK482" t="s">
        <v>285</v>
      </c>
      <c r="AL482" t="s">
        <v>181</v>
      </c>
      <c r="AM482">
        <f>4.4</f>
        <v>4.4000000000000004</v>
      </c>
      <c r="AN482">
        <f>0.09</f>
        <v>0.09</v>
      </c>
      <c r="AO482">
        <f>5.2</f>
        <v>5.2</v>
      </c>
      <c r="AP482">
        <f>1.9</f>
        <v>1.9</v>
      </c>
      <c r="AQ482" t="s">
        <v>284</v>
      </c>
      <c r="FB482">
        <f>1</f>
        <v>1</v>
      </c>
      <c r="FC482" t="s">
        <v>193</v>
      </c>
      <c r="FD482">
        <f>1.2</f>
        <v>1.2</v>
      </c>
      <c r="FE482">
        <f>1</f>
        <v>1</v>
      </c>
      <c r="FH482">
        <f>3.2</f>
        <v>3.2</v>
      </c>
    </row>
    <row r="483" spans="1:164" x14ac:dyDescent="0.25">
      <c r="A483" t="s">
        <v>1936</v>
      </c>
      <c r="B483" t="s">
        <v>170</v>
      </c>
      <c r="C483" s="1">
        <v>46097</v>
      </c>
      <c r="D483" t="s">
        <v>251</v>
      </c>
      <c r="E483" t="s">
        <v>252</v>
      </c>
      <c r="F483" t="s">
        <v>1937</v>
      </c>
      <c r="G483" t="s">
        <v>4382</v>
      </c>
      <c r="H483">
        <v>1477</v>
      </c>
      <c r="I483" t="s">
        <v>4382</v>
      </c>
      <c r="J483">
        <v>90</v>
      </c>
      <c r="K483" t="s">
        <v>4492</v>
      </c>
      <c r="M483" t="s">
        <v>1938</v>
      </c>
      <c r="N483" t="s">
        <v>4042</v>
      </c>
      <c r="O483" t="s">
        <v>1939</v>
      </c>
      <c r="Q483" t="s">
        <v>274</v>
      </c>
      <c r="R483">
        <f>1</f>
        <v>1</v>
      </c>
      <c r="S483">
        <f>7.9</f>
        <v>7.9</v>
      </c>
      <c r="T483">
        <f>7.3</f>
        <v>7.3</v>
      </c>
      <c r="U483">
        <f>70</f>
        <v>70</v>
      </c>
      <c r="X483">
        <f>0</f>
        <v>0</v>
      </c>
      <c r="Y483" t="s">
        <v>180</v>
      </c>
      <c r="Z483">
        <f>0</f>
        <v>0</v>
      </c>
      <c r="AA483">
        <f>0</f>
        <v>0</v>
      </c>
      <c r="AB483">
        <f>0</f>
        <v>0</v>
      </c>
      <c r="AD483">
        <f>0</f>
        <v>0</v>
      </c>
      <c r="AE483">
        <f>0</f>
        <v>0</v>
      </c>
      <c r="AG483" t="s">
        <v>180</v>
      </c>
    </row>
    <row r="484" spans="1:164" x14ac:dyDescent="0.25">
      <c r="A484" t="s">
        <v>1940</v>
      </c>
      <c r="B484" t="s">
        <v>170</v>
      </c>
      <c r="C484" s="1">
        <v>46093</v>
      </c>
      <c r="D484" t="s">
        <v>184</v>
      </c>
      <c r="E484" t="s">
        <v>185</v>
      </c>
      <c r="F484" t="s">
        <v>1941</v>
      </c>
      <c r="G484" t="s">
        <v>1942</v>
      </c>
      <c r="H484">
        <v>1518</v>
      </c>
      <c r="I484" t="s">
        <v>1943</v>
      </c>
      <c r="J484">
        <v>150</v>
      </c>
      <c r="K484" t="s">
        <v>4492</v>
      </c>
      <c r="M484" t="s">
        <v>1944</v>
      </c>
      <c r="N484" t="s">
        <v>1945</v>
      </c>
      <c r="O484" t="s">
        <v>1946</v>
      </c>
      <c r="Q484" t="s">
        <v>3512</v>
      </c>
      <c r="R484">
        <f>1</f>
        <v>1</v>
      </c>
      <c r="S484">
        <f>8.7</f>
        <v>8.6999999999999993</v>
      </c>
      <c r="T484">
        <f>7.6</f>
        <v>7.6</v>
      </c>
      <c r="U484">
        <f>554</f>
        <v>554</v>
      </c>
      <c r="X484">
        <f>0</f>
        <v>0</v>
      </c>
      <c r="Y484" t="s">
        <v>180</v>
      </c>
      <c r="Z484">
        <f>0</f>
        <v>0</v>
      </c>
      <c r="AA484">
        <f>13</f>
        <v>13</v>
      </c>
      <c r="AB484" t="s">
        <v>179</v>
      </c>
      <c r="AD484">
        <f>0</f>
        <v>0</v>
      </c>
      <c r="AE484">
        <f>0</f>
        <v>0</v>
      </c>
      <c r="AG484" t="s">
        <v>180</v>
      </c>
      <c r="AH484" t="s">
        <v>193</v>
      </c>
      <c r="AK484" t="s">
        <v>181</v>
      </c>
      <c r="AL484" t="s">
        <v>182</v>
      </c>
      <c r="AM484">
        <f>8.4</f>
        <v>8.4</v>
      </c>
      <c r="AN484">
        <f>0.17</f>
        <v>0.17</v>
      </c>
      <c r="AO484">
        <f>7.6</f>
        <v>7.6</v>
      </c>
      <c r="AP484">
        <f>8</f>
        <v>8</v>
      </c>
      <c r="AQ484" t="s">
        <v>180</v>
      </c>
      <c r="CC484">
        <f>1.7</f>
        <v>1.7</v>
      </c>
    </row>
    <row r="485" spans="1:164" x14ac:dyDescent="0.25">
      <c r="A485" t="s">
        <v>1947</v>
      </c>
      <c r="B485" t="s">
        <v>170</v>
      </c>
      <c r="C485" s="1">
        <v>46134</v>
      </c>
      <c r="D485" t="s">
        <v>216</v>
      </c>
      <c r="E485" t="s">
        <v>217</v>
      </c>
      <c r="F485" t="s">
        <v>368</v>
      </c>
      <c r="G485" t="s">
        <v>1948</v>
      </c>
      <c r="H485">
        <v>279</v>
      </c>
      <c r="I485" t="s">
        <v>1948</v>
      </c>
      <c r="J485">
        <v>85</v>
      </c>
      <c r="K485" t="s">
        <v>4494</v>
      </c>
      <c r="L485" t="s">
        <v>266</v>
      </c>
      <c r="M485" t="s">
        <v>4767</v>
      </c>
      <c r="N485" t="s">
        <v>1949</v>
      </c>
      <c r="O485" t="s">
        <v>1950</v>
      </c>
      <c r="R485">
        <f>1</f>
        <v>1</v>
      </c>
      <c r="S485">
        <f>11.9</f>
        <v>11.9</v>
      </c>
      <c r="T485">
        <f>8</f>
        <v>8</v>
      </c>
      <c r="U485">
        <f>203</f>
        <v>203</v>
      </c>
      <c r="V485">
        <f>0.32</f>
        <v>0.32</v>
      </c>
      <c r="X485">
        <f>1</f>
        <v>1</v>
      </c>
      <c r="Y485">
        <f>0.02</f>
        <v>0.02</v>
      </c>
      <c r="Z485">
        <f>0</f>
        <v>0</v>
      </c>
      <c r="AA485">
        <f>0</f>
        <v>0</v>
      </c>
      <c r="AB485">
        <f>0</f>
        <v>0</v>
      </c>
      <c r="AC485">
        <f>0</f>
        <v>0</v>
      </c>
      <c r="AD485">
        <f>0</f>
        <v>0</v>
      </c>
      <c r="AE485">
        <f>0</f>
        <v>0</v>
      </c>
      <c r="AG485" t="s">
        <v>220</v>
      </c>
      <c r="AH485" t="s">
        <v>411</v>
      </c>
      <c r="AK485" t="s">
        <v>285</v>
      </c>
      <c r="AL485" t="s">
        <v>181</v>
      </c>
      <c r="AM485">
        <f>1.5</f>
        <v>1.5</v>
      </c>
      <c r="AN485">
        <f>0.03</f>
        <v>0.03</v>
      </c>
      <c r="AO485">
        <f>4</f>
        <v>4</v>
      </c>
      <c r="AP485">
        <f>1.1</f>
        <v>1.1000000000000001</v>
      </c>
      <c r="AQ485" t="s">
        <v>284</v>
      </c>
      <c r="FB485" t="s">
        <v>193</v>
      </c>
      <c r="FC485" t="s">
        <v>193</v>
      </c>
      <c r="FD485" t="s">
        <v>193</v>
      </c>
      <c r="FE485" t="s">
        <v>193</v>
      </c>
      <c r="FH485" t="s">
        <v>193</v>
      </c>
    </row>
    <row r="486" spans="1:164" x14ac:dyDescent="0.25">
      <c r="A486" t="s">
        <v>1951</v>
      </c>
      <c r="B486" t="s">
        <v>170</v>
      </c>
      <c r="C486" s="1">
        <v>46119</v>
      </c>
      <c r="D486" t="s">
        <v>216</v>
      </c>
      <c r="E486" t="s">
        <v>217</v>
      </c>
      <c r="F486" t="s">
        <v>368</v>
      </c>
      <c r="G486" t="s">
        <v>1952</v>
      </c>
      <c r="H486">
        <v>435</v>
      </c>
      <c r="I486" t="s">
        <v>1952</v>
      </c>
      <c r="J486">
        <v>80</v>
      </c>
      <c r="K486" t="s">
        <v>4494</v>
      </c>
      <c r="L486" t="s">
        <v>266</v>
      </c>
      <c r="M486" t="s">
        <v>4768</v>
      </c>
      <c r="N486" t="s">
        <v>3402</v>
      </c>
      <c r="O486" t="s">
        <v>1953</v>
      </c>
      <c r="R486">
        <f>1</f>
        <v>1</v>
      </c>
      <c r="S486">
        <f>8.4</f>
        <v>8.4</v>
      </c>
      <c r="T486">
        <f>8.7</f>
        <v>8.6999999999999993</v>
      </c>
      <c r="U486">
        <f>183</f>
        <v>183</v>
      </c>
      <c r="V486" t="s">
        <v>192</v>
      </c>
      <c r="X486">
        <f>1</f>
        <v>1</v>
      </c>
      <c r="Y486">
        <f>0.15</f>
        <v>0.15</v>
      </c>
      <c r="Z486">
        <f>0</f>
        <v>0</v>
      </c>
      <c r="AA486">
        <f>1</f>
        <v>1</v>
      </c>
      <c r="AB486">
        <f>0</f>
        <v>0</v>
      </c>
      <c r="AC486">
        <f>0</f>
        <v>0</v>
      </c>
      <c r="AD486">
        <f>0</f>
        <v>0</v>
      </c>
      <c r="AE486">
        <f>0</f>
        <v>0</v>
      </c>
      <c r="AG486" t="s">
        <v>220</v>
      </c>
      <c r="AH486">
        <f>0.32</f>
        <v>0.32</v>
      </c>
      <c r="AK486" t="s">
        <v>285</v>
      </c>
      <c r="AL486" t="s">
        <v>181</v>
      </c>
      <c r="AM486">
        <f>1.7</f>
        <v>1.7</v>
      </c>
      <c r="AN486">
        <f>0.03</f>
        <v>0.03</v>
      </c>
      <c r="AO486">
        <f>1.9</f>
        <v>1.9</v>
      </c>
      <c r="AP486" t="s">
        <v>284</v>
      </c>
      <c r="AQ486" t="s">
        <v>284</v>
      </c>
      <c r="FB486">
        <f>6.4</f>
        <v>6.4</v>
      </c>
      <c r="FC486" t="s">
        <v>193</v>
      </c>
      <c r="FD486">
        <f>0.9</f>
        <v>0.9</v>
      </c>
      <c r="FE486" t="s">
        <v>193</v>
      </c>
      <c r="FH486">
        <f>7.3</f>
        <v>7.3</v>
      </c>
    </row>
    <row r="487" spans="1:164" x14ac:dyDescent="0.25">
      <c r="A487" t="s">
        <v>1954</v>
      </c>
      <c r="B487" t="s">
        <v>170</v>
      </c>
      <c r="C487" s="1">
        <v>46104</v>
      </c>
      <c r="D487" t="s">
        <v>251</v>
      </c>
      <c r="E487" t="s">
        <v>252</v>
      </c>
      <c r="F487" t="s">
        <v>3618</v>
      </c>
      <c r="G487" t="s">
        <v>4383</v>
      </c>
      <c r="H487">
        <v>1105</v>
      </c>
      <c r="I487" t="s">
        <v>4383</v>
      </c>
      <c r="J487">
        <v>78</v>
      </c>
      <c r="K487" t="s">
        <v>4492</v>
      </c>
      <c r="L487" t="s">
        <v>271</v>
      </c>
      <c r="M487" t="s">
        <v>4769</v>
      </c>
      <c r="N487" t="s">
        <v>3619</v>
      </c>
      <c r="O487" t="s">
        <v>1955</v>
      </c>
      <c r="R487">
        <f>1</f>
        <v>1</v>
      </c>
      <c r="S487">
        <f>8.3</f>
        <v>8.3000000000000007</v>
      </c>
      <c r="T487">
        <f>7.9</f>
        <v>7.9</v>
      </c>
      <c r="U487">
        <f>357</f>
        <v>357</v>
      </c>
      <c r="X487">
        <f>0</f>
        <v>0</v>
      </c>
      <c r="Y487">
        <f>0.17</f>
        <v>0.17</v>
      </c>
      <c r="Z487">
        <f>0</f>
        <v>0</v>
      </c>
      <c r="AA487">
        <f>0</f>
        <v>0</v>
      </c>
      <c r="AB487">
        <f>0</f>
        <v>0</v>
      </c>
      <c r="AD487">
        <f>0</f>
        <v>0</v>
      </c>
      <c r="AE487">
        <f>0</f>
        <v>0</v>
      </c>
      <c r="AG487" t="s">
        <v>180</v>
      </c>
      <c r="CC487" t="s">
        <v>284</v>
      </c>
    </row>
    <row r="488" spans="1:164" x14ac:dyDescent="0.25">
      <c r="A488" t="s">
        <v>1956</v>
      </c>
      <c r="B488" t="s">
        <v>170</v>
      </c>
      <c r="C488" s="1">
        <v>46132</v>
      </c>
      <c r="D488" t="s">
        <v>222</v>
      </c>
      <c r="E488" t="s">
        <v>260</v>
      </c>
      <c r="F488" t="s">
        <v>518</v>
      </c>
      <c r="G488" t="s">
        <v>1957</v>
      </c>
      <c r="H488">
        <v>1545</v>
      </c>
      <c r="I488" t="s">
        <v>1958</v>
      </c>
      <c r="J488">
        <v>101</v>
      </c>
      <c r="K488" t="s">
        <v>4494</v>
      </c>
      <c r="L488" t="s">
        <v>369</v>
      </c>
      <c r="M488" t="s">
        <v>1959</v>
      </c>
      <c r="N488" t="s">
        <v>1960</v>
      </c>
      <c r="O488" t="s">
        <v>1961</v>
      </c>
      <c r="R488">
        <f>1</f>
        <v>1</v>
      </c>
      <c r="S488">
        <f>12.1</f>
        <v>12.1</v>
      </c>
      <c r="T488">
        <f>8.1</f>
        <v>8.1</v>
      </c>
      <c r="U488">
        <f>433</f>
        <v>433</v>
      </c>
      <c r="V488" t="s">
        <v>192</v>
      </c>
      <c r="X488">
        <f>0</f>
        <v>0</v>
      </c>
      <c r="Y488">
        <f>0.19</f>
        <v>0.19</v>
      </c>
      <c r="Z488">
        <f>0</f>
        <v>0</v>
      </c>
      <c r="AA488" t="s">
        <v>179</v>
      </c>
      <c r="AB488" t="s">
        <v>179</v>
      </c>
      <c r="AC488">
        <f>0</f>
        <v>0</v>
      </c>
      <c r="AD488">
        <f>0</f>
        <v>0</v>
      </c>
      <c r="AE488">
        <f>0</f>
        <v>0</v>
      </c>
      <c r="AG488" t="s">
        <v>180</v>
      </c>
      <c r="AH488" t="s">
        <v>193</v>
      </c>
      <c r="AK488" t="s">
        <v>181</v>
      </c>
      <c r="AL488" t="s">
        <v>182</v>
      </c>
      <c r="AM488">
        <f>2.8</f>
        <v>2.8</v>
      </c>
      <c r="AN488">
        <f>0.06</f>
        <v>0.06</v>
      </c>
      <c r="AO488">
        <f>9.4</f>
        <v>9.4</v>
      </c>
      <c r="AP488">
        <f>2.2</f>
        <v>2.2000000000000002</v>
      </c>
      <c r="AQ488" t="s">
        <v>180</v>
      </c>
      <c r="FB488">
        <f>4</f>
        <v>4</v>
      </c>
      <c r="FC488" t="s">
        <v>220</v>
      </c>
      <c r="FD488">
        <f>1.5</f>
        <v>1.5</v>
      </c>
      <c r="FE488">
        <f>0.42</f>
        <v>0.42</v>
      </c>
      <c r="FH488">
        <f>5.9</f>
        <v>5.9</v>
      </c>
    </row>
    <row r="489" spans="1:164" x14ac:dyDescent="0.25">
      <c r="A489" t="s">
        <v>1962</v>
      </c>
      <c r="B489" t="s">
        <v>766</v>
      </c>
      <c r="C489" s="1">
        <v>46100</v>
      </c>
      <c r="D489" t="s">
        <v>222</v>
      </c>
      <c r="E489" t="s">
        <v>223</v>
      </c>
      <c r="F489" t="s">
        <v>1963</v>
      </c>
      <c r="G489" t="s">
        <v>1964</v>
      </c>
      <c r="H489">
        <v>1186</v>
      </c>
      <c r="I489" t="s">
        <v>1964</v>
      </c>
      <c r="J489">
        <v>90</v>
      </c>
      <c r="K489" t="s">
        <v>4492</v>
      </c>
      <c r="L489" t="s">
        <v>271</v>
      </c>
      <c r="M489" t="s">
        <v>4770</v>
      </c>
      <c r="N489" t="s">
        <v>1965</v>
      </c>
      <c r="O489" t="s">
        <v>1966</v>
      </c>
      <c r="R489">
        <f>1</f>
        <v>1</v>
      </c>
      <c r="S489">
        <f>8.3</f>
        <v>8.3000000000000007</v>
      </c>
      <c r="T489">
        <f>8.1</f>
        <v>8.1</v>
      </c>
      <c r="U489">
        <f>271</f>
        <v>271</v>
      </c>
      <c r="X489">
        <f>0</f>
        <v>0</v>
      </c>
      <c r="Y489">
        <f>0.53</f>
        <v>0.53</v>
      </c>
      <c r="Z489">
        <f>0</f>
        <v>0</v>
      </c>
      <c r="AA489" t="s">
        <v>179</v>
      </c>
      <c r="AB489" t="s">
        <v>179</v>
      </c>
      <c r="AD489">
        <f>0</f>
        <v>0</v>
      </c>
      <c r="AE489">
        <f>3</f>
        <v>3</v>
      </c>
      <c r="AG489" t="s">
        <v>180</v>
      </c>
      <c r="CC489" t="s">
        <v>701</v>
      </c>
    </row>
    <row r="490" spans="1:164" x14ac:dyDescent="0.25">
      <c r="A490" t="s">
        <v>1967</v>
      </c>
      <c r="B490" t="s">
        <v>170</v>
      </c>
      <c r="C490" s="1">
        <v>46093</v>
      </c>
      <c r="D490" t="s">
        <v>184</v>
      </c>
      <c r="E490" t="s">
        <v>546</v>
      </c>
      <c r="F490" t="s">
        <v>660</v>
      </c>
      <c r="G490" t="s">
        <v>4771</v>
      </c>
      <c r="H490">
        <v>1550</v>
      </c>
      <c r="I490" t="s">
        <v>4771</v>
      </c>
      <c r="J490">
        <v>111</v>
      </c>
      <c r="K490" t="s">
        <v>4492</v>
      </c>
      <c r="L490" t="s">
        <v>176</v>
      </c>
      <c r="M490" t="s">
        <v>4573</v>
      </c>
      <c r="N490" t="s">
        <v>4772</v>
      </c>
      <c r="O490" t="s">
        <v>1968</v>
      </c>
      <c r="R490">
        <f>1</f>
        <v>1</v>
      </c>
      <c r="S490">
        <f>8.5</f>
        <v>8.5</v>
      </c>
      <c r="T490">
        <f>7.8</f>
        <v>7.8</v>
      </c>
      <c r="U490">
        <f>359</f>
        <v>359</v>
      </c>
      <c r="X490">
        <f>0</f>
        <v>0</v>
      </c>
      <c r="Y490">
        <f>0.4</f>
        <v>0.4</v>
      </c>
      <c r="Z490">
        <f>0</f>
        <v>0</v>
      </c>
      <c r="AA490">
        <f>16</f>
        <v>16</v>
      </c>
      <c r="AB490" t="s">
        <v>179</v>
      </c>
      <c r="AD490">
        <f>0</f>
        <v>0</v>
      </c>
      <c r="AE490">
        <f>0</f>
        <v>0</v>
      </c>
      <c r="AG490" t="s">
        <v>180</v>
      </c>
    </row>
    <row r="491" spans="1:164" x14ac:dyDescent="0.25">
      <c r="A491" t="s">
        <v>1969</v>
      </c>
      <c r="B491" t="s">
        <v>170</v>
      </c>
      <c r="C491" s="1">
        <v>46135</v>
      </c>
      <c r="D491" t="s">
        <v>238</v>
      </c>
      <c r="E491" t="s">
        <v>239</v>
      </c>
      <c r="F491" t="s">
        <v>4224</v>
      </c>
      <c r="G491" t="s">
        <v>1970</v>
      </c>
      <c r="H491">
        <v>1582</v>
      </c>
      <c r="I491" t="s">
        <v>1970</v>
      </c>
      <c r="J491">
        <v>80</v>
      </c>
      <c r="K491" t="s">
        <v>4492</v>
      </c>
      <c r="L491" t="s">
        <v>1971</v>
      </c>
      <c r="M491" t="s">
        <v>4043</v>
      </c>
      <c r="N491" t="s">
        <v>1972</v>
      </c>
      <c r="O491" t="s">
        <v>1973</v>
      </c>
      <c r="R491">
        <f>1</f>
        <v>1</v>
      </c>
      <c r="S491">
        <f>13</f>
        <v>13</v>
      </c>
      <c r="T491">
        <f>8</f>
        <v>8</v>
      </c>
      <c r="U491">
        <f>412</f>
        <v>412</v>
      </c>
      <c r="V491">
        <f>0.1</f>
        <v>0.1</v>
      </c>
      <c r="X491">
        <f>0</f>
        <v>0</v>
      </c>
      <c r="Y491" t="s">
        <v>180</v>
      </c>
      <c r="Z491">
        <f>0</f>
        <v>0</v>
      </c>
      <c r="AA491" t="s">
        <v>179</v>
      </c>
      <c r="AB491" t="s">
        <v>179</v>
      </c>
      <c r="AD491">
        <f>0</f>
        <v>0</v>
      </c>
      <c r="AE491">
        <f>0</f>
        <v>0</v>
      </c>
      <c r="AG491" t="s">
        <v>220</v>
      </c>
      <c r="AH491">
        <f>0.42</f>
        <v>0.42</v>
      </c>
      <c r="AK491" t="s">
        <v>286</v>
      </c>
      <c r="AL491" t="s">
        <v>556</v>
      </c>
      <c r="AM491">
        <f>2.2</f>
        <v>2.2000000000000002</v>
      </c>
      <c r="AN491">
        <f>0.044</f>
        <v>4.3999999999999997E-2</v>
      </c>
      <c r="AO491">
        <f>2.4</f>
        <v>2.4</v>
      </c>
      <c r="AP491">
        <f>1.9</f>
        <v>1.9</v>
      </c>
      <c r="AQ491" t="s">
        <v>192</v>
      </c>
      <c r="BU491">
        <f>33</f>
        <v>33</v>
      </c>
      <c r="FB491">
        <f>8.7</f>
        <v>8.6999999999999993</v>
      </c>
      <c r="FC491" t="s">
        <v>193</v>
      </c>
      <c r="FD491">
        <f>1.9</f>
        <v>1.9</v>
      </c>
      <c r="FE491">
        <f>0.4</f>
        <v>0.4</v>
      </c>
      <c r="FH491">
        <f>11</f>
        <v>11</v>
      </c>
    </row>
    <row r="492" spans="1:164" x14ac:dyDescent="0.25">
      <c r="A492" t="s">
        <v>1974</v>
      </c>
      <c r="B492" t="s">
        <v>170</v>
      </c>
      <c r="C492" s="1">
        <v>46128</v>
      </c>
      <c r="D492" t="s">
        <v>222</v>
      </c>
      <c r="E492" t="s">
        <v>260</v>
      </c>
      <c r="F492" t="s">
        <v>1655</v>
      </c>
      <c r="G492" t="s">
        <v>1975</v>
      </c>
      <c r="H492">
        <v>1598</v>
      </c>
      <c r="I492" t="s">
        <v>1975</v>
      </c>
      <c r="J492">
        <v>111</v>
      </c>
      <c r="K492" t="s">
        <v>4494</v>
      </c>
      <c r="L492" t="s">
        <v>266</v>
      </c>
      <c r="M492" t="s">
        <v>4773</v>
      </c>
      <c r="N492" t="s">
        <v>1976</v>
      </c>
      <c r="O492" t="s">
        <v>1977</v>
      </c>
      <c r="R492">
        <f>1</f>
        <v>1</v>
      </c>
      <c r="S492">
        <f>11.4</f>
        <v>11.4</v>
      </c>
      <c r="T492">
        <f>7.6</f>
        <v>7.6</v>
      </c>
      <c r="U492">
        <f>433</f>
        <v>433</v>
      </c>
      <c r="V492">
        <f>0.31</f>
        <v>0.31</v>
      </c>
      <c r="X492">
        <f>0</f>
        <v>0</v>
      </c>
      <c r="Y492" t="s">
        <v>180</v>
      </c>
      <c r="Z492">
        <f>0</f>
        <v>0</v>
      </c>
      <c r="AA492" t="s">
        <v>179</v>
      </c>
      <c r="AB492" t="s">
        <v>179</v>
      </c>
      <c r="AC492">
        <f>0</f>
        <v>0</v>
      </c>
      <c r="AD492">
        <f>0</f>
        <v>0</v>
      </c>
      <c r="AE492">
        <f>0</f>
        <v>0</v>
      </c>
      <c r="AG492" t="s">
        <v>220</v>
      </c>
      <c r="AH492">
        <f>0.4</f>
        <v>0.4</v>
      </c>
      <c r="AK492" t="s">
        <v>286</v>
      </c>
      <c r="AL492" t="s">
        <v>556</v>
      </c>
      <c r="AM492">
        <f>3.5</f>
        <v>3.5</v>
      </c>
      <c r="AN492">
        <f>0.07</f>
        <v>7.0000000000000007E-2</v>
      </c>
      <c r="AO492">
        <f>2.7</f>
        <v>2.7</v>
      </c>
      <c r="AP492">
        <f>3.6</f>
        <v>3.6</v>
      </c>
      <c r="AQ492" t="s">
        <v>192</v>
      </c>
      <c r="FB492">
        <f>0.6</f>
        <v>0.6</v>
      </c>
      <c r="FC492" t="s">
        <v>193</v>
      </c>
      <c r="FD492">
        <f>0.9</f>
        <v>0.9</v>
      </c>
      <c r="FE492">
        <f>0.9</f>
        <v>0.9</v>
      </c>
      <c r="FH492">
        <f>2.4</f>
        <v>2.4</v>
      </c>
    </row>
    <row r="493" spans="1:164" x14ac:dyDescent="0.25">
      <c r="A493" t="s">
        <v>1978</v>
      </c>
      <c r="B493" t="s">
        <v>170</v>
      </c>
      <c r="C493" s="1">
        <v>46119</v>
      </c>
      <c r="D493" t="s">
        <v>238</v>
      </c>
      <c r="E493" t="s">
        <v>260</v>
      </c>
      <c r="F493" t="s">
        <v>3620</v>
      </c>
      <c r="G493" t="s">
        <v>3753</v>
      </c>
      <c r="H493">
        <v>491</v>
      </c>
      <c r="I493" t="s">
        <v>3753</v>
      </c>
      <c r="J493">
        <v>68</v>
      </c>
      <c r="K493" t="s">
        <v>4494</v>
      </c>
      <c r="L493" t="s">
        <v>266</v>
      </c>
      <c r="M493" t="s">
        <v>3621</v>
      </c>
      <c r="N493" t="s">
        <v>3622</v>
      </c>
      <c r="O493" t="s">
        <v>1979</v>
      </c>
      <c r="Q493" t="s">
        <v>3623</v>
      </c>
      <c r="R493">
        <f>1</f>
        <v>1</v>
      </c>
      <c r="S493">
        <f>10.6</f>
        <v>10.6</v>
      </c>
      <c r="T493">
        <f>7.1</f>
        <v>7.1</v>
      </c>
      <c r="U493">
        <f>180</f>
        <v>180</v>
      </c>
      <c r="V493">
        <f>0.15</f>
        <v>0.15</v>
      </c>
      <c r="X493">
        <f>0</f>
        <v>0</v>
      </c>
      <c r="Y493">
        <f>0.23</f>
        <v>0.23</v>
      </c>
      <c r="Z493">
        <f>0</f>
        <v>0</v>
      </c>
      <c r="AA493" t="s">
        <v>179</v>
      </c>
      <c r="AB493" t="s">
        <v>179</v>
      </c>
      <c r="AC493">
        <f>0</f>
        <v>0</v>
      </c>
      <c r="AD493">
        <f>0</f>
        <v>0</v>
      </c>
      <c r="AE493">
        <f>0</f>
        <v>0</v>
      </c>
      <c r="AG493" t="s">
        <v>220</v>
      </c>
      <c r="AH493" t="s">
        <v>411</v>
      </c>
      <c r="AK493" t="s">
        <v>286</v>
      </c>
      <c r="AL493">
        <f>0.011</f>
        <v>1.0999999999999999E-2</v>
      </c>
      <c r="AM493">
        <f>3.8</f>
        <v>3.8</v>
      </c>
      <c r="AN493">
        <f>0.08</f>
        <v>0.08</v>
      </c>
      <c r="AO493">
        <f>9.8</f>
        <v>9.8000000000000007</v>
      </c>
      <c r="AP493">
        <f>4.6</f>
        <v>4.5999999999999996</v>
      </c>
      <c r="AQ493">
        <f>0.082</f>
        <v>8.2000000000000003E-2</v>
      </c>
      <c r="CC493" t="s">
        <v>180</v>
      </c>
      <c r="FB493" t="s">
        <v>338</v>
      </c>
      <c r="FC493" t="s">
        <v>193</v>
      </c>
      <c r="FD493" t="s">
        <v>411</v>
      </c>
      <c r="FE493" t="s">
        <v>411</v>
      </c>
      <c r="FH493" t="s">
        <v>193</v>
      </c>
    </row>
    <row r="494" spans="1:164" x14ac:dyDescent="0.25">
      <c r="A494" t="s">
        <v>1980</v>
      </c>
      <c r="B494" t="s">
        <v>766</v>
      </c>
      <c r="C494" s="1">
        <v>46093</v>
      </c>
      <c r="D494" t="s">
        <v>184</v>
      </c>
      <c r="E494" t="s">
        <v>546</v>
      </c>
      <c r="F494" t="s">
        <v>1855</v>
      </c>
      <c r="G494" t="s">
        <v>1981</v>
      </c>
      <c r="H494">
        <v>1615</v>
      </c>
      <c r="I494" t="s">
        <v>1982</v>
      </c>
      <c r="J494">
        <v>132</v>
      </c>
      <c r="K494" t="s">
        <v>4494</v>
      </c>
      <c r="M494" t="s">
        <v>1983</v>
      </c>
      <c r="N494" t="s">
        <v>1984</v>
      </c>
      <c r="O494" t="s">
        <v>1985</v>
      </c>
      <c r="R494">
        <f>1</f>
        <v>1</v>
      </c>
      <c r="S494">
        <f>9</f>
        <v>9</v>
      </c>
      <c r="T494">
        <f>7.9</f>
        <v>7.9</v>
      </c>
      <c r="U494">
        <f>258</f>
        <v>258</v>
      </c>
      <c r="X494">
        <f>0</f>
        <v>0</v>
      </c>
      <c r="Y494">
        <f>0.2</f>
        <v>0.2</v>
      </c>
      <c r="Z494">
        <f>0</f>
        <v>0</v>
      </c>
      <c r="AA494">
        <f>18</f>
        <v>18</v>
      </c>
      <c r="AB494" t="s">
        <v>179</v>
      </c>
      <c r="AC494">
        <f>0</f>
        <v>0</v>
      </c>
      <c r="AD494">
        <f>0</f>
        <v>0</v>
      </c>
      <c r="AE494" t="s">
        <v>1110</v>
      </c>
      <c r="AG494" t="s">
        <v>180</v>
      </c>
    </row>
    <row r="495" spans="1:164" x14ac:dyDescent="0.25">
      <c r="A495" t="s">
        <v>1986</v>
      </c>
      <c r="B495" t="s">
        <v>170</v>
      </c>
      <c r="C495" s="1">
        <v>46100</v>
      </c>
      <c r="D495" t="s">
        <v>222</v>
      </c>
      <c r="E495" t="s">
        <v>223</v>
      </c>
      <c r="F495" t="s">
        <v>3403</v>
      </c>
      <c r="G495" t="s">
        <v>4774</v>
      </c>
      <c r="H495">
        <v>1621</v>
      </c>
      <c r="I495" t="s">
        <v>4774</v>
      </c>
      <c r="J495">
        <v>110</v>
      </c>
      <c r="K495" t="s">
        <v>4494</v>
      </c>
      <c r="M495" t="s">
        <v>4774</v>
      </c>
      <c r="N495" t="s">
        <v>1987</v>
      </c>
      <c r="O495" t="s">
        <v>1988</v>
      </c>
      <c r="Q495" t="s">
        <v>3476</v>
      </c>
      <c r="R495">
        <f>1</f>
        <v>1</v>
      </c>
      <c r="S495">
        <f>9.4</f>
        <v>9.4</v>
      </c>
      <c r="T495">
        <f>7.9</f>
        <v>7.9</v>
      </c>
      <c r="U495">
        <f>292</f>
        <v>292</v>
      </c>
      <c r="X495">
        <f>0</f>
        <v>0</v>
      </c>
      <c r="Y495">
        <f>0.5</f>
        <v>0.5</v>
      </c>
      <c r="Z495">
        <f>0</f>
        <v>0</v>
      </c>
      <c r="AA495" t="s">
        <v>179</v>
      </c>
      <c r="AB495" t="s">
        <v>179</v>
      </c>
      <c r="AC495">
        <f>0</f>
        <v>0</v>
      </c>
      <c r="AD495">
        <f>0</f>
        <v>0</v>
      </c>
      <c r="AE495">
        <f>0</f>
        <v>0</v>
      </c>
      <c r="AG495" t="s">
        <v>180</v>
      </c>
      <c r="CC495">
        <f>0.16</f>
        <v>0.16</v>
      </c>
    </row>
    <row r="496" spans="1:164" x14ac:dyDescent="0.25">
      <c r="A496" t="s">
        <v>1989</v>
      </c>
      <c r="B496" t="s">
        <v>170</v>
      </c>
      <c r="C496" s="1">
        <v>46091</v>
      </c>
      <c r="D496" t="s">
        <v>222</v>
      </c>
      <c r="E496" t="s">
        <v>223</v>
      </c>
      <c r="F496" t="s">
        <v>1680</v>
      </c>
      <c r="G496" t="s">
        <v>1681</v>
      </c>
      <c r="H496">
        <v>1625</v>
      </c>
      <c r="I496" t="s">
        <v>1990</v>
      </c>
      <c r="J496">
        <v>70</v>
      </c>
      <c r="K496" t="s">
        <v>4492</v>
      </c>
      <c r="M496" t="s">
        <v>1991</v>
      </c>
      <c r="N496" t="s">
        <v>4775</v>
      </c>
      <c r="O496" t="s">
        <v>1992</v>
      </c>
      <c r="Q496" t="s">
        <v>3476</v>
      </c>
      <c r="R496">
        <f>1</f>
        <v>1</v>
      </c>
      <c r="S496">
        <f>7.3</f>
        <v>7.3</v>
      </c>
      <c r="T496">
        <f>7.4</f>
        <v>7.4</v>
      </c>
      <c r="U496">
        <f>210</f>
        <v>210</v>
      </c>
      <c r="X496">
        <f>1</f>
        <v>1</v>
      </c>
      <c r="Y496" t="s">
        <v>180</v>
      </c>
      <c r="Z496">
        <f>0</f>
        <v>0</v>
      </c>
      <c r="AA496" t="s">
        <v>179</v>
      </c>
      <c r="AB496" t="s">
        <v>179</v>
      </c>
      <c r="AD496">
        <f>0</f>
        <v>0</v>
      </c>
      <c r="AE496">
        <f>0</f>
        <v>0</v>
      </c>
      <c r="AG496" t="s">
        <v>180</v>
      </c>
      <c r="CC496" t="s">
        <v>701</v>
      </c>
    </row>
    <row r="497" spans="1:164" x14ac:dyDescent="0.25">
      <c r="A497" t="s">
        <v>1993</v>
      </c>
      <c r="B497" t="s">
        <v>170</v>
      </c>
      <c r="C497" s="1">
        <v>46122</v>
      </c>
      <c r="D497" t="s">
        <v>251</v>
      </c>
      <c r="E497" t="s">
        <v>252</v>
      </c>
      <c r="F497" t="s">
        <v>3404</v>
      </c>
      <c r="G497" t="s">
        <v>1994</v>
      </c>
      <c r="H497">
        <v>1611</v>
      </c>
      <c r="I497" t="s">
        <v>1994</v>
      </c>
      <c r="J497">
        <v>100</v>
      </c>
      <c r="K497" t="s">
        <v>4494</v>
      </c>
      <c r="L497" t="s">
        <v>266</v>
      </c>
      <c r="M497" t="s">
        <v>3405</v>
      </c>
      <c r="N497" t="s">
        <v>1995</v>
      </c>
      <c r="O497" t="s">
        <v>1996</v>
      </c>
      <c r="Q497" t="s">
        <v>3513</v>
      </c>
      <c r="R497">
        <f>1</f>
        <v>1</v>
      </c>
      <c r="S497">
        <f>9.2</f>
        <v>9.1999999999999993</v>
      </c>
      <c r="T497">
        <f>7.4</f>
        <v>7.4</v>
      </c>
      <c r="U497">
        <f>434</f>
        <v>434</v>
      </c>
      <c r="V497" t="s">
        <v>258</v>
      </c>
      <c r="X497">
        <f>0</f>
        <v>0</v>
      </c>
      <c r="Y497">
        <f>0.17</f>
        <v>0.17</v>
      </c>
      <c r="Z497">
        <f>0</f>
        <v>0</v>
      </c>
      <c r="AA497">
        <f>0</f>
        <v>0</v>
      </c>
      <c r="AB497">
        <f>0</f>
        <v>0</v>
      </c>
      <c r="AC497">
        <f>0</f>
        <v>0</v>
      </c>
      <c r="AD497">
        <f>0</f>
        <v>0</v>
      </c>
      <c r="AE497">
        <f>0</f>
        <v>0</v>
      </c>
      <c r="AG497" t="s">
        <v>180</v>
      </c>
      <c r="AH497" t="s">
        <v>284</v>
      </c>
      <c r="AK497" t="s">
        <v>285</v>
      </c>
      <c r="AL497" t="s">
        <v>286</v>
      </c>
      <c r="AM497">
        <f>2.5</f>
        <v>2.5</v>
      </c>
      <c r="AN497">
        <f>0.05</f>
        <v>0.05</v>
      </c>
      <c r="AO497">
        <f>2.7</f>
        <v>2.7</v>
      </c>
      <c r="AP497">
        <f>1.2</f>
        <v>1.2</v>
      </c>
      <c r="AQ497" t="s">
        <v>284</v>
      </c>
      <c r="CC497" t="s">
        <v>284</v>
      </c>
      <c r="FB497" t="s">
        <v>646</v>
      </c>
      <c r="FC497" t="s">
        <v>646</v>
      </c>
      <c r="FD497" t="s">
        <v>646</v>
      </c>
      <c r="FE497" t="s">
        <v>646</v>
      </c>
      <c r="FH497" t="s">
        <v>646</v>
      </c>
    </row>
    <row r="498" spans="1:164" x14ac:dyDescent="0.25">
      <c r="A498" t="s">
        <v>1997</v>
      </c>
      <c r="B498" t="s">
        <v>170</v>
      </c>
      <c r="C498" s="1">
        <v>46090</v>
      </c>
      <c r="D498" t="s">
        <v>184</v>
      </c>
      <c r="E498" t="s">
        <v>546</v>
      </c>
      <c r="F498" t="s">
        <v>547</v>
      </c>
      <c r="G498" t="s">
        <v>4776</v>
      </c>
      <c r="H498">
        <v>1639</v>
      </c>
      <c r="I498" t="s">
        <v>4776</v>
      </c>
      <c r="J498">
        <v>130</v>
      </c>
      <c r="K498" t="s">
        <v>4492</v>
      </c>
      <c r="L498" t="s">
        <v>266</v>
      </c>
      <c r="M498" t="s">
        <v>1998</v>
      </c>
      <c r="N498" t="s">
        <v>4777</v>
      </c>
      <c r="O498" t="s">
        <v>1999</v>
      </c>
      <c r="R498">
        <f>1</f>
        <v>1</v>
      </c>
      <c r="S498">
        <f>7.7</f>
        <v>7.7</v>
      </c>
      <c r="T498">
        <f>7.4</f>
        <v>7.4</v>
      </c>
      <c r="U498">
        <f>205</f>
        <v>205</v>
      </c>
      <c r="V498">
        <f>0.12</f>
        <v>0.12</v>
      </c>
      <c r="X498">
        <f>0</f>
        <v>0</v>
      </c>
      <c r="Y498" t="s">
        <v>180</v>
      </c>
      <c r="Z498">
        <f>0</f>
        <v>0</v>
      </c>
      <c r="AA498" t="s">
        <v>179</v>
      </c>
      <c r="AB498" t="s">
        <v>179</v>
      </c>
      <c r="AD498">
        <f>0</f>
        <v>0</v>
      </c>
      <c r="AE498">
        <f>0</f>
        <v>0</v>
      </c>
      <c r="AG498" t="s">
        <v>180</v>
      </c>
      <c r="AH498">
        <f>1</f>
        <v>1</v>
      </c>
      <c r="AI498">
        <f>0.04</f>
        <v>0.04</v>
      </c>
      <c r="AJ498" t="s">
        <v>286</v>
      </c>
      <c r="AK498" t="s">
        <v>181</v>
      </c>
      <c r="AL498" t="s">
        <v>182</v>
      </c>
      <c r="AM498">
        <f>4</f>
        <v>4</v>
      </c>
      <c r="AN498">
        <f>0.08</f>
        <v>0.08</v>
      </c>
      <c r="AO498">
        <f>4.5</f>
        <v>4.5</v>
      </c>
      <c r="AP498">
        <f>4.6</f>
        <v>4.5999999999999996</v>
      </c>
      <c r="AQ498" t="s">
        <v>180</v>
      </c>
      <c r="FB498">
        <f>2</f>
        <v>2</v>
      </c>
      <c r="FC498" t="s">
        <v>220</v>
      </c>
      <c r="FD498">
        <f>1.1</f>
        <v>1.1000000000000001</v>
      </c>
      <c r="FE498">
        <f>0.23</f>
        <v>0.23</v>
      </c>
      <c r="FH498">
        <f>3.3</f>
        <v>3.3</v>
      </c>
    </row>
    <row r="499" spans="1:164" x14ac:dyDescent="0.25">
      <c r="A499" t="s">
        <v>2000</v>
      </c>
      <c r="B499" t="s">
        <v>170</v>
      </c>
      <c r="C499" s="1">
        <v>46135</v>
      </c>
      <c r="D499" t="s">
        <v>184</v>
      </c>
      <c r="E499" t="s">
        <v>546</v>
      </c>
      <c r="F499" t="s">
        <v>547</v>
      </c>
      <c r="G499" t="s">
        <v>4044</v>
      </c>
      <c r="H499">
        <v>1528</v>
      </c>
      <c r="I499" t="s">
        <v>4044</v>
      </c>
      <c r="J499">
        <v>139</v>
      </c>
      <c r="K499" t="s">
        <v>4494</v>
      </c>
      <c r="L499" t="s">
        <v>266</v>
      </c>
      <c r="M499" t="s">
        <v>2001</v>
      </c>
      <c r="N499" t="s">
        <v>4045</v>
      </c>
      <c r="O499" t="s">
        <v>2002</v>
      </c>
      <c r="Q499" t="s">
        <v>4046</v>
      </c>
      <c r="R499">
        <f>1</f>
        <v>1</v>
      </c>
      <c r="S499">
        <f>13</f>
        <v>13</v>
      </c>
      <c r="T499">
        <f>7.1</f>
        <v>7.1</v>
      </c>
      <c r="U499">
        <f>155</f>
        <v>155</v>
      </c>
      <c r="V499">
        <f>0.29</f>
        <v>0.28999999999999998</v>
      </c>
      <c r="X499">
        <f>0</f>
        <v>0</v>
      </c>
      <c r="Y499">
        <f>0.1</f>
        <v>0.1</v>
      </c>
      <c r="Z499">
        <f>0</f>
        <v>0</v>
      </c>
      <c r="AA499" t="s">
        <v>179</v>
      </c>
      <c r="AB499" t="s">
        <v>179</v>
      </c>
      <c r="AC499">
        <f>0</f>
        <v>0</v>
      </c>
      <c r="AD499">
        <f>0</f>
        <v>0</v>
      </c>
      <c r="AE499">
        <f>0</f>
        <v>0</v>
      </c>
      <c r="AG499" t="s">
        <v>180</v>
      </c>
      <c r="AH499" t="s">
        <v>193</v>
      </c>
      <c r="AK499" t="s">
        <v>181</v>
      </c>
      <c r="AL499" t="s">
        <v>182</v>
      </c>
      <c r="AM499">
        <f>2</f>
        <v>2</v>
      </c>
      <c r="AN499">
        <f>0.04</f>
        <v>0.04</v>
      </c>
      <c r="AO499">
        <f>7.6</f>
        <v>7.6</v>
      </c>
      <c r="AP499">
        <f>4.5</f>
        <v>4.5</v>
      </c>
      <c r="AQ499" t="s">
        <v>180</v>
      </c>
      <c r="FB499">
        <f>0.82</f>
        <v>0.82</v>
      </c>
      <c r="FC499" t="s">
        <v>220</v>
      </c>
      <c r="FD499">
        <f>0.9</f>
        <v>0.9</v>
      </c>
      <c r="FE499">
        <f>0.62</f>
        <v>0.62</v>
      </c>
      <c r="FH499">
        <f>2.3</f>
        <v>2.2999999999999998</v>
      </c>
    </row>
    <row r="500" spans="1:164" x14ac:dyDescent="0.25">
      <c r="A500" t="s">
        <v>2003</v>
      </c>
      <c r="B500" t="s">
        <v>170</v>
      </c>
      <c r="C500" s="1">
        <v>46097</v>
      </c>
      <c r="D500" t="s">
        <v>222</v>
      </c>
      <c r="E500" t="s">
        <v>223</v>
      </c>
      <c r="F500" t="s">
        <v>509</v>
      </c>
      <c r="G500" t="s">
        <v>4247</v>
      </c>
      <c r="H500">
        <v>1653</v>
      </c>
      <c r="I500" t="s">
        <v>3754</v>
      </c>
      <c r="J500">
        <v>92</v>
      </c>
      <c r="K500" t="s">
        <v>4492</v>
      </c>
      <c r="L500" t="s">
        <v>369</v>
      </c>
      <c r="M500" t="s">
        <v>3406</v>
      </c>
      <c r="N500" t="s">
        <v>3407</v>
      </c>
      <c r="O500" t="s">
        <v>2004</v>
      </c>
      <c r="Q500" t="s">
        <v>3514</v>
      </c>
      <c r="R500">
        <f>1</f>
        <v>1</v>
      </c>
      <c r="S500">
        <f>13.6</f>
        <v>13.6</v>
      </c>
      <c r="T500">
        <f>8</f>
        <v>8</v>
      </c>
      <c r="U500">
        <f>269</f>
        <v>269</v>
      </c>
      <c r="V500">
        <f>0.21</f>
        <v>0.21</v>
      </c>
      <c r="X500">
        <f>1</f>
        <v>1</v>
      </c>
      <c r="Y500" t="s">
        <v>180</v>
      </c>
      <c r="Z500">
        <f>0</f>
        <v>0</v>
      </c>
      <c r="AA500" t="s">
        <v>179</v>
      </c>
      <c r="AB500" t="s">
        <v>179</v>
      </c>
      <c r="AD500">
        <f>0</f>
        <v>0</v>
      </c>
      <c r="AE500">
        <f>0</f>
        <v>0</v>
      </c>
      <c r="AG500" t="s">
        <v>180</v>
      </c>
      <c r="AI500" t="s">
        <v>286</v>
      </c>
      <c r="AJ500" t="s">
        <v>286</v>
      </c>
      <c r="FB500">
        <f>0.15</f>
        <v>0.15</v>
      </c>
      <c r="FC500" t="s">
        <v>220</v>
      </c>
      <c r="FD500">
        <f>0.36</f>
        <v>0.36</v>
      </c>
      <c r="FE500">
        <f>0.46</f>
        <v>0.46</v>
      </c>
      <c r="FH500">
        <f>0.97</f>
        <v>0.97</v>
      </c>
    </row>
    <row r="501" spans="1:164" x14ac:dyDescent="0.25">
      <c r="A501" t="s">
        <v>2005</v>
      </c>
      <c r="B501" t="s">
        <v>170</v>
      </c>
      <c r="C501" s="1">
        <v>46092</v>
      </c>
      <c r="D501" t="s">
        <v>238</v>
      </c>
      <c r="E501" t="s">
        <v>239</v>
      </c>
      <c r="F501" t="s">
        <v>478</v>
      </c>
      <c r="G501" t="s">
        <v>2006</v>
      </c>
      <c r="H501">
        <v>1645</v>
      </c>
      <c r="I501" t="s">
        <v>2006</v>
      </c>
      <c r="J501">
        <v>60</v>
      </c>
      <c r="K501" t="s">
        <v>4492</v>
      </c>
      <c r="L501" t="s">
        <v>266</v>
      </c>
      <c r="M501" t="s">
        <v>4778</v>
      </c>
      <c r="N501" t="s">
        <v>2007</v>
      </c>
      <c r="O501" t="s">
        <v>2008</v>
      </c>
      <c r="Q501" t="s">
        <v>2009</v>
      </c>
      <c r="R501">
        <f>1</f>
        <v>1</v>
      </c>
      <c r="S501">
        <f>8.6</f>
        <v>8.6</v>
      </c>
      <c r="T501">
        <f>7.5</f>
        <v>7.5</v>
      </c>
      <c r="U501">
        <f>572</f>
        <v>572</v>
      </c>
      <c r="V501">
        <f>0.07</f>
        <v>7.0000000000000007E-2</v>
      </c>
      <c r="X501">
        <f>0</f>
        <v>0</v>
      </c>
      <c r="Y501">
        <f>0.05</f>
        <v>0.05</v>
      </c>
      <c r="Z501">
        <f>0</f>
        <v>0</v>
      </c>
      <c r="AA501" t="s">
        <v>179</v>
      </c>
      <c r="AB501" t="s">
        <v>179</v>
      </c>
      <c r="AD501">
        <f>0</f>
        <v>0</v>
      </c>
      <c r="AE501">
        <f>0</f>
        <v>0</v>
      </c>
      <c r="AG501" t="s">
        <v>220</v>
      </c>
      <c r="AH501" t="s">
        <v>411</v>
      </c>
      <c r="AI501" t="s">
        <v>192</v>
      </c>
      <c r="AJ501" t="s">
        <v>192</v>
      </c>
      <c r="AK501">
        <f>0.01</f>
        <v>0.01</v>
      </c>
      <c r="AL501" t="s">
        <v>556</v>
      </c>
      <c r="AM501">
        <f>2.7</f>
        <v>2.7</v>
      </c>
      <c r="AN501">
        <f>0.054</f>
        <v>5.3999999999999999E-2</v>
      </c>
      <c r="AO501">
        <f>7.1</f>
        <v>7.1</v>
      </c>
      <c r="AP501">
        <f>3.1</f>
        <v>3.1</v>
      </c>
      <c r="AQ501">
        <f>0.055</f>
        <v>5.5E-2</v>
      </c>
      <c r="FB501">
        <f>0.4</f>
        <v>0.4</v>
      </c>
      <c r="FC501">
        <f>0.5</f>
        <v>0.5</v>
      </c>
      <c r="FD501">
        <f>0.7</f>
        <v>0.7</v>
      </c>
      <c r="FE501">
        <f>1.2</f>
        <v>1.2</v>
      </c>
      <c r="FH501">
        <f>2.8</f>
        <v>2.8</v>
      </c>
    </row>
    <row r="502" spans="1:164" x14ac:dyDescent="0.25">
      <c r="A502" t="s">
        <v>2010</v>
      </c>
      <c r="B502" t="s">
        <v>766</v>
      </c>
      <c r="C502" s="1">
        <v>46132</v>
      </c>
      <c r="D502" t="s">
        <v>251</v>
      </c>
      <c r="E502" t="s">
        <v>252</v>
      </c>
      <c r="F502" t="s">
        <v>3691</v>
      </c>
      <c r="G502" t="s">
        <v>2011</v>
      </c>
      <c r="H502">
        <v>116</v>
      </c>
      <c r="I502" t="s">
        <v>2011</v>
      </c>
      <c r="J502">
        <v>90</v>
      </c>
      <c r="K502" t="s">
        <v>4492</v>
      </c>
      <c r="L502" t="s">
        <v>271</v>
      </c>
      <c r="M502" t="s">
        <v>2012</v>
      </c>
      <c r="N502" t="s">
        <v>3755</v>
      </c>
      <c r="O502" t="s">
        <v>2013</v>
      </c>
      <c r="Q502" t="s">
        <v>257</v>
      </c>
      <c r="R502">
        <f>1</f>
        <v>1</v>
      </c>
      <c r="S502">
        <f>10.3</f>
        <v>10.3</v>
      </c>
      <c r="T502">
        <f>7.9</f>
        <v>7.9</v>
      </c>
      <c r="U502">
        <f>236</f>
        <v>236</v>
      </c>
      <c r="X502">
        <f>0</f>
        <v>0</v>
      </c>
      <c r="Y502" t="s">
        <v>180</v>
      </c>
      <c r="Z502">
        <f>0</f>
        <v>0</v>
      </c>
      <c r="AA502">
        <f>0</f>
        <v>0</v>
      </c>
      <c r="AB502">
        <f>0</f>
        <v>0</v>
      </c>
      <c r="AD502">
        <f>0</f>
        <v>0</v>
      </c>
      <c r="AE502">
        <f>4</f>
        <v>4</v>
      </c>
      <c r="AG502" t="s">
        <v>180</v>
      </c>
    </row>
    <row r="503" spans="1:164" x14ac:dyDescent="0.25">
      <c r="A503" t="s">
        <v>2014</v>
      </c>
      <c r="B503" t="s">
        <v>170</v>
      </c>
      <c r="C503" s="1">
        <v>46098</v>
      </c>
      <c r="D503" t="s">
        <v>251</v>
      </c>
      <c r="E503" t="s">
        <v>252</v>
      </c>
      <c r="F503" t="s">
        <v>4244</v>
      </c>
      <c r="G503" t="s">
        <v>3756</v>
      </c>
      <c r="H503">
        <v>627</v>
      </c>
      <c r="I503" t="s">
        <v>3756</v>
      </c>
      <c r="J503">
        <v>100</v>
      </c>
      <c r="K503" t="s">
        <v>4492</v>
      </c>
      <c r="L503" t="s">
        <v>3567</v>
      </c>
      <c r="M503" t="s">
        <v>4543</v>
      </c>
      <c r="N503" t="s">
        <v>3757</v>
      </c>
      <c r="O503" t="s">
        <v>2015</v>
      </c>
      <c r="Q503" t="s">
        <v>3515</v>
      </c>
      <c r="R503">
        <f>1</f>
        <v>1</v>
      </c>
      <c r="S503">
        <f>9.9</f>
        <v>9.9</v>
      </c>
      <c r="T503">
        <f>7.4</f>
        <v>7.4</v>
      </c>
      <c r="U503">
        <f>32</f>
        <v>32</v>
      </c>
      <c r="X503">
        <f>0</f>
        <v>0</v>
      </c>
      <c r="Y503" t="s">
        <v>180</v>
      </c>
      <c r="Z503">
        <f>0</f>
        <v>0</v>
      </c>
      <c r="AA503">
        <f>3</f>
        <v>3</v>
      </c>
      <c r="AB503">
        <f>0</f>
        <v>0</v>
      </c>
      <c r="AD503">
        <f>0</f>
        <v>0</v>
      </c>
      <c r="AE503">
        <f>0</f>
        <v>0</v>
      </c>
      <c r="AG503" t="s">
        <v>180</v>
      </c>
      <c r="AH503" t="s">
        <v>284</v>
      </c>
      <c r="AK503" t="s">
        <v>285</v>
      </c>
      <c r="AL503" t="s">
        <v>286</v>
      </c>
      <c r="AM503" t="s">
        <v>284</v>
      </c>
      <c r="AN503" t="s">
        <v>285</v>
      </c>
      <c r="AO503" t="s">
        <v>284</v>
      </c>
      <c r="AP503">
        <f>1.1</f>
        <v>1.1000000000000001</v>
      </c>
      <c r="AQ503" t="s">
        <v>284</v>
      </c>
    </row>
    <row r="504" spans="1:164" x14ac:dyDescent="0.25">
      <c r="A504" t="s">
        <v>2016</v>
      </c>
      <c r="B504" t="s">
        <v>766</v>
      </c>
      <c r="C504" s="1">
        <v>46094</v>
      </c>
      <c r="D504" t="s">
        <v>251</v>
      </c>
      <c r="E504" t="s">
        <v>252</v>
      </c>
      <c r="F504" t="s">
        <v>2017</v>
      </c>
      <c r="G504" t="s">
        <v>4779</v>
      </c>
      <c r="H504">
        <v>1675</v>
      </c>
      <c r="I504" t="s">
        <v>4780</v>
      </c>
      <c r="J504">
        <v>80</v>
      </c>
      <c r="K504" t="s">
        <v>4494</v>
      </c>
      <c r="L504" t="s">
        <v>3567</v>
      </c>
      <c r="M504" t="s">
        <v>2018</v>
      </c>
      <c r="N504" t="s">
        <v>2019</v>
      </c>
      <c r="O504" t="s">
        <v>2020</v>
      </c>
      <c r="R504">
        <f>1</f>
        <v>1</v>
      </c>
      <c r="S504">
        <f>4.7</f>
        <v>4.7</v>
      </c>
      <c r="T504">
        <f>8.1</f>
        <v>8.1</v>
      </c>
      <c r="U504">
        <f>256</f>
        <v>256</v>
      </c>
      <c r="X504">
        <f>0</f>
        <v>0</v>
      </c>
      <c r="Y504">
        <f>0.2</f>
        <v>0.2</v>
      </c>
      <c r="Z504">
        <f>0</f>
        <v>0</v>
      </c>
      <c r="AA504">
        <f>8</f>
        <v>8</v>
      </c>
      <c r="AB504">
        <f>3</f>
        <v>3</v>
      </c>
      <c r="AC504">
        <f>0</f>
        <v>0</v>
      </c>
      <c r="AD504">
        <f>0</f>
        <v>0</v>
      </c>
      <c r="AE504">
        <f>4</f>
        <v>4</v>
      </c>
      <c r="AG504" t="s">
        <v>180</v>
      </c>
      <c r="CC504" t="s">
        <v>284</v>
      </c>
    </row>
    <row r="505" spans="1:164" x14ac:dyDescent="0.25">
      <c r="A505" t="s">
        <v>2021</v>
      </c>
      <c r="B505" t="s">
        <v>170</v>
      </c>
      <c r="C505" s="1">
        <v>46097</v>
      </c>
      <c r="D505" t="s">
        <v>251</v>
      </c>
      <c r="E505" t="s">
        <v>252</v>
      </c>
      <c r="F505" t="s">
        <v>4280</v>
      </c>
      <c r="G505" t="s">
        <v>2022</v>
      </c>
      <c r="H505">
        <v>1093</v>
      </c>
      <c r="I505" t="s">
        <v>2022</v>
      </c>
      <c r="J505">
        <v>95</v>
      </c>
      <c r="K505" t="s">
        <v>4492</v>
      </c>
      <c r="L505" t="s">
        <v>271</v>
      </c>
      <c r="M505" t="s">
        <v>3624</v>
      </c>
      <c r="N505" t="s">
        <v>4047</v>
      </c>
      <c r="O505" t="s">
        <v>2023</v>
      </c>
      <c r="Q505" t="s">
        <v>2024</v>
      </c>
      <c r="R505">
        <f>1</f>
        <v>1</v>
      </c>
      <c r="S505">
        <f>8.6</f>
        <v>8.6</v>
      </c>
      <c r="T505">
        <f>7.6</f>
        <v>7.6</v>
      </c>
      <c r="U505">
        <f>39</f>
        <v>39</v>
      </c>
      <c r="X505">
        <f>0</f>
        <v>0</v>
      </c>
      <c r="Y505">
        <f>0.26</f>
        <v>0.26</v>
      </c>
      <c r="Z505">
        <f>0</f>
        <v>0</v>
      </c>
      <c r="AA505">
        <f>0</f>
        <v>0</v>
      </c>
      <c r="AB505">
        <f>0</f>
        <v>0</v>
      </c>
      <c r="AD505">
        <f>0</f>
        <v>0</v>
      </c>
      <c r="AE505">
        <f>0</f>
        <v>0</v>
      </c>
      <c r="AG505" t="s">
        <v>180</v>
      </c>
    </row>
    <row r="506" spans="1:164" x14ac:dyDescent="0.25">
      <c r="A506" t="s">
        <v>2025</v>
      </c>
      <c r="B506" t="s">
        <v>170</v>
      </c>
      <c r="C506" s="1">
        <v>46080</v>
      </c>
      <c r="D506" t="s">
        <v>251</v>
      </c>
      <c r="E506" t="s">
        <v>252</v>
      </c>
      <c r="F506" t="s">
        <v>3590</v>
      </c>
      <c r="G506" t="s">
        <v>3408</v>
      </c>
      <c r="H506">
        <v>1650</v>
      </c>
      <c r="I506" t="s">
        <v>3409</v>
      </c>
      <c r="J506">
        <v>81</v>
      </c>
      <c r="K506" t="s">
        <v>4492</v>
      </c>
      <c r="L506" t="s">
        <v>266</v>
      </c>
      <c r="M506" t="s">
        <v>1215</v>
      </c>
      <c r="N506" t="s">
        <v>3625</v>
      </c>
      <c r="O506" t="s">
        <v>2026</v>
      </c>
      <c r="Q506" t="s">
        <v>3516</v>
      </c>
      <c r="R506">
        <f>1</f>
        <v>1</v>
      </c>
      <c r="S506">
        <f>8</f>
        <v>8</v>
      </c>
      <c r="T506">
        <f>7.8</f>
        <v>7.8</v>
      </c>
      <c r="U506">
        <f>236</f>
        <v>236</v>
      </c>
      <c r="V506">
        <f>0.05</f>
        <v>0.05</v>
      </c>
      <c r="X506">
        <f>0</f>
        <v>0</v>
      </c>
      <c r="Y506" t="s">
        <v>180</v>
      </c>
      <c r="Z506">
        <f>0</f>
        <v>0</v>
      </c>
      <c r="AA506">
        <f>0</f>
        <v>0</v>
      </c>
      <c r="AB506">
        <f>3</f>
        <v>3</v>
      </c>
      <c r="AD506">
        <f>0</f>
        <v>0</v>
      </c>
      <c r="AE506">
        <f>0</f>
        <v>0</v>
      </c>
      <c r="AG506" t="s">
        <v>180</v>
      </c>
      <c r="AI506" t="s">
        <v>286</v>
      </c>
      <c r="AJ506" t="s">
        <v>286</v>
      </c>
      <c r="FB506" t="s">
        <v>646</v>
      </c>
      <c r="FC506" t="s">
        <v>646</v>
      </c>
      <c r="FD506" t="s">
        <v>646</v>
      </c>
      <c r="FE506" t="s">
        <v>646</v>
      </c>
      <c r="FH506" t="s">
        <v>646</v>
      </c>
    </row>
    <row r="507" spans="1:164" x14ac:dyDescent="0.25">
      <c r="A507" t="s">
        <v>2027</v>
      </c>
      <c r="B507" t="s">
        <v>170</v>
      </c>
      <c r="C507" s="1">
        <v>46094</v>
      </c>
      <c r="D507" t="s">
        <v>184</v>
      </c>
      <c r="E507" t="s">
        <v>185</v>
      </c>
      <c r="F507" t="s">
        <v>384</v>
      </c>
      <c r="G507" t="s">
        <v>385</v>
      </c>
      <c r="H507">
        <v>1701</v>
      </c>
      <c r="I507" t="s">
        <v>4238</v>
      </c>
      <c r="J507">
        <v>138695</v>
      </c>
      <c r="K507" t="s">
        <v>4492</v>
      </c>
      <c r="L507" t="s">
        <v>271</v>
      </c>
      <c r="M507" t="s">
        <v>4048</v>
      </c>
      <c r="N507" t="s">
        <v>2028</v>
      </c>
      <c r="O507" t="s">
        <v>2029</v>
      </c>
      <c r="R507">
        <f>1</f>
        <v>1</v>
      </c>
      <c r="S507">
        <f>13.7</f>
        <v>13.7</v>
      </c>
      <c r="T507">
        <f>7.4</f>
        <v>7.4</v>
      </c>
      <c r="U507">
        <f>417</f>
        <v>417</v>
      </c>
      <c r="X507">
        <f>0</f>
        <v>0</v>
      </c>
      <c r="Y507" t="s">
        <v>180</v>
      </c>
      <c r="Z507">
        <f>0</f>
        <v>0</v>
      </c>
      <c r="AA507" t="s">
        <v>179</v>
      </c>
      <c r="AB507" t="s">
        <v>179</v>
      </c>
      <c r="AD507">
        <f>0</f>
        <v>0</v>
      </c>
      <c r="AE507">
        <f>0</f>
        <v>0</v>
      </c>
      <c r="AG507" t="s">
        <v>180</v>
      </c>
    </row>
    <row r="508" spans="1:164" x14ac:dyDescent="0.25">
      <c r="A508" t="s">
        <v>2030</v>
      </c>
      <c r="B508" t="s">
        <v>170</v>
      </c>
      <c r="C508" s="1">
        <v>46101</v>
      </c>
      <c r="D508" t="s">
        <v>184</v>
      </c>
      <c r="E508" t="s">
        <v>185</v>
      </c>
      <c r="F508" t="s">
        <v>384</v>
      </c>
      <c r="G508" t="s">
        <v>385</v>
      </c>
      <c r="H508">
        <v>1701</v>
      </c>
      <c r="I508" t="s">
        <v>4238</v>
      </c>
      <c r="J508">
        <v>138695</v>
      </c>
      <c r="K508" t="s">
        <v>4492</v>
      </c>
      <c r="L508" t="s">
        <v>271</v>
      </c>
      <c r="M508" t="s">
        <v>2031</v>
      </c>
      <c r="N508" t="s">
        <v>4781</v>
      </c>
      <c r="O508" t="s">
        <v>2032</v>
      </c>
      <c r="R508">
        <f>1</f>
        <v>1</v>
      </c>
      <c r="S508">
        <f>13.7</f>
        <v>13.7</v>
      </c>
      <c r="T508">
        <f>7.4</f>
        <v>7.4</v>
      </c>
      <c r="U508">
        <f>473</f>
        <v>473</v>
      </c>
      <c r="X508">
        <f>0</f>
        <v>0</v>
      </c>
      <c r="Y508" t="s">
        <v>180</v>
      </c>
      <c r="Z508">
        <f>0</f>
        <v>0</v>
      </c>
      <c r="AA508" t="s">
        <v>179</v>
      </c>
      <c r="AB508" t="s">
        <v>179</v>
      </c>
      <c r="AD508">
        <f>0</f>
        <v>0</v>
      </c>
      <c r="AE508">
        <f>0</f>
        <v>0</v>
      </c>
      <c r="AG508" t="s">
        <v>180</v>
      </c>
    </row>
    <row r="509" spans="1:164" x14ac:dyDescent="0.25">
      <c r="A509" t="s">
        <v>2033</v>
      </c>
      <c r="B509" t="s">
        <v>170</v>
      </c>
      <c r="C509" s="1">
        <v>46107</v>
      </c>
      <c r="D509" t="s">
        <v>184</v>
      </c>
      <c r="E509" t="s">
        <v>185</v>
      </c>
      <c r="F509" t="s">
        <v>384</v>
      </c>
      <c r="G509" t="s">
        <v>385</v>
      </c>
      <c r="H509">
        <v>1701</v>
      </c>
      <c r="I509" t="s">
        <v>4238</v>
      </c>
      <c r="J509">
        <v>138695</v>
      </c>
      <c r="K509" t="s">
        <v>4492</v>
      </c>
      <c r="L509" t="s">
        <v>271</v>
      </c>
      <c r="M509" t="s">
        <v>3410</v>
      </c>
      <c r="N509" t="s">
        <v>3626</v>
      </c>
      <c r="O509" t="s">
        <v>2034</v>
      </c>
      <c r="R509">
        <f>1</f>
        <v>1</v>
      </c>
      <c r="S509">
        <f>12.6</f>
        <v>12.6</v>
      </c>
      <c r="T509">
        <f>7.5</f>
        <v>7.5</v>
      </c>
      <c r="U509">
        <f>456</f>
        <v>456</v>
      </c>
      <c r="X509">
        <f>0</f>
        <v>0</v>
      </c>
      <c r="Y509" t="s">
        <v>180</v>
      </c>
      <c r="Z509">
        <f>0</f>
        <v>0</v>
      </c>
      <c r="AA509" t="s">
        <v>179</v>
      </c>
      <c r="AB509" t="s">
        <v>179</v>
      </c>
      <c r="AD509">
        <f>0</f>
        <v>0</v>
      </c>
      <c r="AE509">
        <f>0</f>
        <v>0</v>
      </c>
      <c r="AG509" t="s">
        <v>180</v>
      </c>
    </row>
    <row r="510" spans="1:164" x14ac:dyDescent="0.25">
      <c r="A510" t="s">
        <v>2035</v>
      </c>
      <c r="B510" t="s">
        <v>170</v>
      </c>
      <c r="C510" s="1">
        <v>46101</v>
      </c>
      <c r="D510" t="s">
        <v>184</v>
      </c>
      <c r="E510" t="s">
        <v>185</v>
      </c>
      <c r="F510" t="s">
        <v>384</v>
      </c>
      <c r="G510" t="s">
        <v>385</v>
      </c>
      <c r="H510">
        <v>1701</v>
      </c>
      <c r="I510" t="s">
        <v>4238</v>
      </c>
      <c r="J510">
        <v>138695</v>
      </c>
      <c r="K510" t="s">
        <v>4492</v>
      </c>
      <c r="L510" t="s">
        <v>271</v>
      </c>
      <c r="M510" t="s">
        <v>3411</v>
      </c>
      <c r="N510" t="s">
        <v>3627</v>
      </c>
      <c r="O510" t="s">
        <v>2036</v>
      </c>
      <c r="R510">
        <f>1</f>
        <v>1</v>
      </c>
      <c r="S510">
        <f>14.9</f>
        <v>14.9</v>
      </c>
      <c r="T510">
        <f>7.5</f>
        <v>7.5</v>
      </c>
      <c r="U510">
        <f>430</f>
        <v>430</v>
      </c>
      <c r="X510">
        <f>0</f>
        <v>0</v>
      </c>
      <c r="Y510" t="s">
        <v>180</v>
      </c>
      <c r="Z510">
        <f>0</f>
        <v>0</v>
      </c>
      <c r="AA510" t="s">
        <v>179</v>
      </c>
      <c r="AB510" t="s">
        <v>179</v>
      </c>
      <c r="AD510">
        <f>0</f>
        <v>0</v>
      </c>
      <c r="AE510">
        <f>0</f>
        <v>0</v>
      </c>
      <c r="AG510" t="s">
        <v>180</v>
      </c>
    </row>
    <row r="511" spans="1:164" x14ac:dyDescent="0.25">
      <c r="A511" t="s">
        <v>2037</v>
      </c>
      <c r="B511" t="s">
        <v>170</v>
      </c>
      <c r="C511" s="1">
        <v>46127</v>
      </c>
      <c r="D511" t="s">
        <v>216</v>
      </c>
      <c r="E511" t="s">
        <v>217</v>
      </c>
      <c r="F511" t="s">
        <v>3312</v>
      </c>
      <c r="G511" t="s">
        <v>2038</v>
      </c>
      <c r="H511">
        <v>258</v>
      </c>
      <c r="I511" t="s">
        <v>2038</v>
      </c>
      <c r="J511">
        <v>72</v>
      </c>
      <c r="K511" t="s">
        <v>4494</v>
      </c>
      <c r="L511" t="s">
        <v>3556</v>
      </c>
      <c r="M511" t="s">
        <v>4782</v>
      </c>
      <c r="N511" t="s">
        <v>2039</v>
      </c>
      <c r="Q511" t="s">
        <v>2040</v>
      </c>
      <c r="R511">
        <f>1</f>
        <v>1</v>
      </c>
      <c r="S511">
        <f>10.2</f>
        <v>10.199999999999999</v>
      </c>
      <c r="T511">
        <f>8.4</f>
        <v>8.4</v>
      </c>
      <c r="U511">
        <f>257</f>
        <v>257</v>
      </c>
      <c r="V511">
        <f>0.07</f>
        <v>7.0000000000000007E-2</v>
      </c>
      <c r="X511">
        <f>1</f>
        <v>1</v>
      </c>
      <c r="Y511">
        <f>0.26</f>
        <v>0.26</v>
      </c>
      <c r="Z511">
        <f>0</f>
        <v>0</v>
      </c>
      <c r="AA511">
        <f>0</f>
        <v>0</v>
      </c>
      <c r="AB511">
        <f>0</f>
        <v>0</v>
      </c>
      <c r="AC511">
        <f>0</f>
        <v>0</v>
      </c>
      <c r="AD511">
        <f>0</f>
        <v>0</v>
      </c>
      <c r="AE511">
        <f>0</f>
        <v>0</v>
      </c>
      <c r="AG511" t="s">
        <v>220</v>
      </c>
      <c r="AH511" t="s">
        <v>411</v>
      </c>
      <c r="AK511" t="s">
        <v>285</v>
      </c>
      <c r="AL511" t="s">
        <v>181</v>
      </c>
      <c r="AM511">
        <f>4.9</f>
        <v>4.9000000000000004</v>
      </c>
      <c r="AN511">
        <f>0.1</f>
        <v>0.1</v>
      </c>
      <c r="AO511">
        <f>3.1</f>
        <v>3.1</v>
      </c>
      <c r="AP511">
        <f>1.2</f>
        <v>1.2</v>
      </c>
      <c r="AQ511" t="s">
        <v>284</v>
      </c>
      <c r="FB511">
        <f>1.2</f>
        <v>1.2</v>
      </c>
      <c r="FC511" t="s">
        <v>193</v>
      </c>
      <c r="FD511">
        <f>0.9</f>
        <v>0.9</v>
      </c>
      <c r="FE511">
        <f>0.6</f>
        <v>0.6</v>
      </c>
      <c r="FH511">
        <f>2.7</f>
        <v>2.7</v>
      </c>
    </row>
    <row r="512" spans="1:164" x14ac:dyDescent="0.25">
      <c r="A512" t="s">
        <v>2041</v>
      </c>
      <c r="B512" t="s">
        <v>170</v>
      </c>
      <c r="C512" s="1">
        <v>46097</v>
      </c>
      <c r="D512" t="s">
        <v>251</v>
      </c>
      <c r="E512" t="s">
        <v>252</v>
      </c>
      <c r="F512" t="s">
        <v>2042</v>
      </c>
      <c r="G512" t="s">
        <v>2043</v>
      </c>
      <c r="H512">
        <v>1781</v>
      </c>
      <c r="I512" t="s">
        <v>4049</v>
      </c>
      <c r="J512">
        <v>76</v>
      </c>
      <c r="K512" t="s">
        <v>4492</v>
      </c>
      <c r="M512" t="s">
        <v>2044</v>
      </c>
      <c r="N512" t="s">
        <v>4050</v>
      </c>
      <c r="Q512" t="s">
        <v>1293</v>
      </c>
      <c r="R512">
        <f>1</f>
        <v>1</v>
      </c>
      <c r="S512">
        <f>8.3</f>
        <v>8.3000000000000007</v>
      </c>
      <c r="T512">
        <f>6.6</f>
        <v>6.6</v>
      </c>
      <c r="U512">
        <f>31</f>
        <v>31</v>
      </c>
      <c r="X512">
        <f>0</f>
        <v>0</v>
      </c>
      <c r="Y512">
        <f>0.65</f>
        <v>0.65</v>
      </c>
      <c r="Z512">
        <f>0</f>
        <v>0</v>
      </c>
      <c r="AA512">
        <f>13</f>
        <v>13</v>
      </c>
      <c r="AB512">
        <f>0</f>
        <v>0</v>
      </c>
      <c r="AD512">
        <f>0</f>
        <v>0</v>
      </c>
      <c r="AE512">
        <f>0</f>
        <v>0</v>
      </c>
      <c r="AG512" t="s">
        <v>180</v>
      </c>
    </row>
    <row r="513" spans="1:164" x14ac:dyDescent="0.25">
      <c r="A513" t="s">
        <v>2045</v>
      </c>
      <c r="B513" t="s">
        <v>170</v>
      </c>
      <c r="C513" s="1">
        <v>46119</v>
      </c>
      <c r="D513" t="s">
        <v>216</v>
      </c>
      <c r="E513" t="s">
        <v>217</v>
      </c>
      <c r="F513" t="s">
        <v>3312</v>
      </c>
      <c r="G513" t="s">
        <v>2046</v>
      </c>
      <c r="H513">
        <v>266</v>
      </c>
      <c r="I513" t="s">
        <v>2046</v>
      </c>
      <c r="J513">
        <v>87</v>
      </c>
      <c r="K513" t="s">
        <v>4494</v>
      </c>
      <c r="L513" t="s">
        <v>1337</v>
      </c>
      <c r="M513" t="s">
        <v>4051</v>
      </c>
      <c r="N513" t="s">
        <v>2047</v>
      </c>
      <c r="R513">
        <f>1</f>
        <v>1</v>
      </c>
      <c r="S513">
        <f>10.9</f>
        <v>10.9</v>
      </c>
      <c r="T513">
        <f>8.3</f>
        <v>8.3000000000000007</v>
      </c>
      <c r="U513">
        <f>335</f>
        <v>335</v>
      </c>
      <c r="V513">
        <f>0.16</f>
        <v>0.16</v>
      </c>
      <c r="X513">
        <f>1</f>
        <v>1</v>
      </c>
      <c r="Y513">
        <f>0.22</f>
        <v>0.22</v>
      </c>
      <c r="Z513">
        <f>0</f>
        <v>0</v>
      </c>
      <c r="AA513">
        <f>0</f>
        <v>0</v>
      </c>
      <c r="AB513">
        <f>0</f>
        <v>0</v>
      </c>
      <c r="AC513">
        <f>0</f>
        <v>0</v>
      </c>
      <c r="AD513">
        <f>0</f>
        <v>0</v>
      </c>
      <c r="AE513">
        <f>0</f>
        <v>0</v>
      </c>
      <c r="AG513" t="s">
        <v>220</v>
      </c>
      <c r="AH513" t="s">
        <v>411</v>
      </c>
      <c r="AK513" t="s">
        <v>285</v>
      </c>
      <c r="AL513" t="s">
        <v>181</v>
      </c>
      <c r="AM513">
        <f>5.1</f>
        <v>5.0999999999999996</v>
      </c>
      <c r="AN513">
        <f>0.1</f>
        <v>0.1</v>
      </c>
      <c r="AO513">
        <f>3</f>
        <v>3</v>
      </c>
      <c r="AP513">
        <f>6.6</f>
        <v>6.6</v>
      </c>
      <c r="AQ513" t="s">
        <v>284</v>
      </c>
      <c r="FB513">
        <f>0.8</f>
        <v>0.8</v>
      </c>
      <c r="FC513" t="s">
        <v>193</v>
      </c>
      <c r="FD513">
        <f>0.8</f>
        <v>0.8</v>
      </c>
      <c r="FE513">
        <f>0.7</f>
        <v>0.7</v>
      </c>
      <c r="FH513">
        <f>2.3</f>
        <v>2.2999999999999998</v>
      </c>
    </row>
    <row r="514" spans="1:164" x14ac:dyDescent="0.25">
      <c r="A514" t="s">
        <v>2048</v>
      </c>
      <c r="B514" t="s">
        <v>170</v>
      </c>
      <c r="C514" s="1">
        <v>46097</v>
      </c>
      <c r="D514" t="s">
        <v>222</v>
      </c>
      <c r="E514" t="s">
        <v>223</v>
      </c>
      <c r="F514" t="s">
        <v>625</v>
      </c>
      <c r="G514" t="s">
        <v>4255</v>
      </c>
      <c r="H514">
        <v>1812</v>
      </c>
      <c r="I514" t="s">
        <v>4384</v>
      </c>
      <c r="J514">
        <v>71</v>
      </c>
      <c r="K514" t="s">
        <v>3334</v>
      </c>
      <c r="L514" t="s">
        <v>369</v>
      </c>
      <c r="M514" t="s">
        <v>4783</v>
      </c>
      <c r="N514" t="s">
        <v>4052</v>
      </c>
      <c r="O514" t="s">
        <v>2049</v>
      </c>
      <c r="R514">
        <f>1</f>
        <v>1</v>
      </c>
      <c r="S514">
        <f>8.7</f>
        <v>8.6999999999999993</v>
      </c>
      <c r="T514">
        <f>8.1</f>
        <v>8.1</v>
      </c>
      <c r="U514">
        <f>267</f>
        <v>267</v>
      </c>
      <c r="V514">
        <f>0.2</f>
        <v>0.2</v>
      </c>
      <c r="X514">
        <f>0</f>
        <v>0</v>
      </c>
      <c r="Y514">
        <f>0.14</f>
        <v>0.14000000000000001</v>
      </c>
      <c r="Z514">
        <f>0</f>
        <v>0</v>
      </c>
      <c r="AA514" t="s">
        <v>179</v>
      </c>
      <c r="AB514" t="s">
        <v>179</v>
      </c>
      <c r="AC514">
        <f>0</f>
        <v>0</v>
      </c>
      <c r="AD514">
        <f>0</f>
        <v>0</v>
      </c>
      <c r="AE514">
        <f>0</f>
        <v>0</v>
      </c>
      <c r="AG514" t="s">
        <v>180</v>
      </c>
      <c r="AH514" t="s">
        <v>193</v>
      </c>
      <c r="AI514">
        <f>0.02</f>
        <v>0.02</v>
      </c>
      <c r="AJ514" t="s">
        <v>286</v>
      </c>
      <c r="AK514" t="s">
        <v>181</v>
      </c>
      <c r="AL514" t="s">
        <v>182</v>
      </c>
      <c r="AM514">
        <f>4.3</f>
        <v>4.3</v>
      </c>
      <c r="AN514">
        <f>0.09</f>
        <v>0.09</v>
      </c>
      <c r="AO514">
        <f>3</f>
        <v>3</v>
      </c>
      <c r="AP514">
        <f>1.1</f>
        <v>1.1000000000000001</v>
      </c>
      <c r="AQ514" t="s">
        <v>180</v>
      </c>
      <c r="FB514">
        <f>0.88</f>
        <v>0.88</v>
      </c>
      <c r="FC514" t="s">
        <v>220</v>
      </c>
      <c r="FD514">
        <f>0.8</f>
        <v>0.8</v>
      </c>
      <c r="FE514">
        <f>0.36</f>
        <v>0.36</v>
      </c>
      <c r="FH514">
        <f>2</f>
        <v>2</v>
      </c>
    </row>
    <row r="515" spans="1:164" x14ac:dyDescent="0.25">
      <c r="A515" t="s">
        <v>2050</v>
      </c>
      <c r="B515" t="s">
        <v>170</v>
      </c>
      <c r="C515" s="1">
        <v>46113</v>
      </c>
      <c r="D515" t="s">
        <v>216</v>
      </c>
      <c r="E515" t="s">
        <v>217</v>
      </c>
      <c r="F515" t="s">
        <v>408</v>
      </c>
      <c r="G515" t="s">
        <v>4385</v>
      </c>
      <c r="H515">
        <v>1686</v>
      </c>
      <c r="I515" t="s">
        <v>4385</v>
      </c>
      <c r="J515">
        <v>69</v>
      </c>
      <c r="K515" t="s">
        <v>4492</v>
      </c>
      <c r="L515" t="s">
        <v>3567</v>
      </c>
      <c r="M515" t="s">
        <v>4386</v>
      </c>
      <c r="N515" t="s">
        <v>4387</v>
      </c>
      <c r="R515">
        <f>1</f>
        <v>1</v>
      </c>
      <c r="S515">
        <f>8.7</f>
        <v>8.6999999999999993</v>
      </c>
      <c r="T515">
        <f>8.1</f>
        <v>8.1</v>
      </c>
      <c r="U515">
        <f>372</f>
        <v>372</v>
      </c>
      <c r="X515">
        <f>1</f>
        <v>1</v>
      </c>
      <c r="Y515">
        <f>0.15</f>
        <v>0.15</v>
      </c>
      <c r="Z515">
        <f>0</f>
        <v>0</v>
      </c>
      <c r="AA515">
        <f>2</f>
        <v>2</v>
      </c>
      <c r="AB515">
        <f>0</f>
        <v>0</v>
      </c>
      <c r="AD515">
        <f>0</f>
        <v>0</v>
      </c>
      <c r="AE515">
        <f>0</f>
        <v>0</v>
      </c>
      <c r="AG515" t="s">
        <v>220</v>
      </c>
      <c r="AH515">
        <f>0.33</f>
        <v>0.33</v>
      </c>
      <c r="AK515" t="s">
        <v>285</v>
      </c>
      <c r="AL515" t="s">
        <v>181</v>
      </c>
      <c r="AM515">
        <f>4.4</f>
        <v>4.4000000000000004</v>
      </c>
      <c r="AN515">
        <f>0.09</f>
        <v>0.09</v>
      </c>
      <c r="AO515">
        <f>3.5</f>
        <v>3.5</v>
      </c>
      <c r="AP515">
        <f>7.5</f>
        <v>7.5</v>
      </c>
      <c r="AQ515" t="s">
        <v>284</v>
      </c>
    </row>
    <row r="516" spans="1:164" x14ac:dyDescent="0.25">
      <c r="A516" t="s">
        <v>2051</v>
      </c>
      <c r="B516" t="s">
        <v>170</v>
      </c>
      <c r="C516" s="1">
        <v>46092</v>
      </c>
      <c r="D516" t="s">
        <v>238</v>
      </c>
      <c r="E516" t="s">
        <v>239</v>
      </c>
      <c r="F516" t="s">
        <v>2052</v>
      </c>
      <c r="G516" t="s">
        <v>2053</v>
      </c>
      <c r="H516">
        <v>486</v>
      </c>
      <c r="I516" t="s">
        <v>2053</v>
      </c>
      <c r="J516">
        <v>76</v>
      </c>
      <c r="K516" t="s">
        <v>4494</v>
      </c>
      <c r="L516" t="s">
        <v>271</v>
      </c>
      <c r="M516" t="s">
        <v>2054</v>
      </c>
      <c r="N516" t="s">
        <v>2055</v>
      </c>
      <c r="R516">
        <f>1</f>
        <v>1</v>
      </c>
      <c r="S516">
        <f>9</f>
        <v>9</v>
      </c>
      <c r="T516">
        <f>7.2</f>
        <v>7.2</v>
      </c>
      <c r="U516">
        <f>555</f>
        <v>555</v>
      </c>
      <c r="X516">
        <f>0</f>
        <v>0</v>
      </c>
      <c r="Y516">
        <f>0.06</f>
        <v>0.06</v>
      </c>
      <c r="Z516">
        <f>0</f>
        <v>0</v>
      </c>
      <c r="AA516">
        <f>30</f>
        <v>30</v>
      </c>
      <c r="AB516" t="s">
        <v>179</v>
      </c>
      <c r="AC516">
        <f>0</f>
        <v>0</v>
      </c>
      <c r="AD516">
        <f>0</f>
        <v>0</v>
      </c>
      <c r="AE516">
        <f>0</f>
        <v>0</v>
      </c>
      <c r="AG516" t="s">
        <v>220</v>
      </c>
      <c r="AH516">
        <f>0.55</f>
        <v>0.55000000000000004</v>
      </c>
      <c r="AK516">
        <f>0.011</f>
        <v>1.0999999999999999E-2</v>
      </c>
      <c r="AL516" t="s">
        <v>556</v>
      </c>
      <c r="AM516">
        <f>4.2</f>
        <v>4.2</v>
      </c>
      <c r="AN516">
        <f>0.084</f>
        <v>8.4000000000000005E-2</v>
      </c>
      <c r="AO516">
        <f>7.4</f>
        <v>7.4</v>
      </c>
      <c r="AP516">
        <f>2.2</f>
        <v>2.2000000000000002</v>
      </c>
      <c r="AQ516" t="s">
        <v>192</v>
      </c>
    </row>
    <row r="517" spans="1:164" x14ac:dyDescent="0.25">
      <c r="A517" t="s">
        <v>2056</v>
      </c>
      <c r="B517" t="s">
        <v>766</v>
      </c>
      <c r="C517" s="1">
        <v>46093</v>
      </c>
      <c r="D517" t="s">
        <v>184</v>
      </c>
      <c r="E517" t="s">
        <v>546</v>
      </c>
      <c r="F517" t="s">
        <v>1855</v>
      </c>
      <c r="G517" t="s">
        <v>4053</v>
      </c>
      <c r="H517">
        <v>982</v>
      </c>
      <c r="I517" t="s">
        <v>4053</v>
      </c>
      <c r="J517">
        <v>110</v>
      </c>
      <c r="K517" t="s">
        <v>4492</v>
      </c>
      <c r="L517" t="s">
        <v>271</v>
      </c>
      <c r="M517" t="s">
        <v>692</v>
      </c>
      <c r="N517" t="s">
        <v>4054</v>
      </c>
      <c r="R517">
        <f>1</f>
        <v>1</v>
      </c>
      <c r="S517">
        <f>6.6</f>
        <v>6.6</v>
      </c>
      <c r="T517">
        <f>7.8</f>
        <v>7.8</v>
      </c>
      <c r="U517">
        <f>269</f>
        <v>269</v>
      </c>
      <c r="X517">
        <f>0</f>
        <v>0</v>
      </c>
      <c r="Y517">
        <f>1.7</f>
        <v>1.7</v>
      </c>
      <c r="Z517">
        <f>0</f>
        <v>0</v>
      </c>
      <c r="AA517" t="s">
        <v>179</v>
      </c>
      <c r="AB517" t="s">
        <v>179</v>
      </c>
      <c r="AD517">
        <f>0</f>
        <v>0</v>
      </c>
      <c r="AE517">
        <f>7</f>
        <v>7</v>
      </c>
      <c r="AG517" t="s">
        <v>180</v>
      </c>
    </row>
    <row r="518" spans="1:164" x14ac:dyDescent="0.25">
      <c r="A518" t="s">
        <v>2057</v>
      </c>
      <c r="B518" t="s">
        <v>170</v>
      </c>
      <c r="C518" s="1">
        <v>46126</v>
      </c>
      <c r="D518" t="s">
        <v>184</v>
      </c>
      <c r="E518" t="s">
        <v>185</v>
      </c>
      <c r="F518" t="s">
        <v>269</v>
      </c>
      <c r="G518" t="s">
        <v>4388</v>
      </c>
      <c r="H518">
        <v>1495</v>
      </c>
      <c r="I518" t="s">
        <v>4388</v>
      </c>
      <c r="J518">
        <v>105</v>
      </c>
      <c r="K518" t="s">
        <v>4492</v>
      </c>
      <c r="L518" t="s">
        <v>266</v>
      </c>
      <c r="M518" t="s">
        <v>2058</v>
      </c>
      <c r="N518" t="s">
        <v>4389</v>
      </c>
      <c r="Q518" t="s">
        <v>3508</v>
      </c>
      <c r="R518">
        <f>1</f>
        <v>1</v>
      </c>
      <c r="S518">
        <f>10.1</f>
        <v>10.1</v>
      </c>
      <c r="T518">
        <f>8</f>
        <v>8</v>
      </c>
      <c r="U518">
        <f>353</f>
        <v>353</v>
      </c>
      <c r="V518">
        <f>0.05</f>
        <v>0.05</v>
      </c>
      <c r="X518">
        <f>0</f>
        <v>0</v>
      </c>
      <c r="Y518" t="s">
        <v>180</v>
      </c>
      <c r="Z518">
        <f>0</f>
        <v>0</v>
      </c>
      <c r="AA518">
        <f>0</f>
        <v>0</v>
      </c>
      <c r="AB518">
        <f>0</f>
        <v>0</v>
      </c>
      <c r="AD518">
        <f>0</f>
        <v>0</v>
      </c>
      <c r="AE518">
        <f>0</f>
        <v>0</v>
      </c>
      <c r="AG518" t="s">
        <v>180</v>
      </c>
      <c r="FB518">
        <f>6.1</f>
        <v>6.1</v>
      </c>
      <c r="FC518" t="s">
        <v>646</v>
      </c>
      <c r="FD518" t="s">
        <v>646</v>
      </c>
      <c r="FE518" t="s">
        <v>646</v>
      </c>
      <c r="FH518">
        <f>6.1</f>
        <v>6.1</v>
      </c>
    </row>
    <row r="519" spans="1:164" x14ac:dyDescent="0.25">
      <c r="A519" t="s">
        <v>2059</v>
      </c>
      <c r="B519" t="s">
        <v>170</v>
      </c>
      <c r="C519" s="1">
        <v>46126</v>
      </c>
      <c r="D519" t="s">
        <v>251</v>
      </c>
      <c r="E519" t="s">
        <v>252</v>
      </c>
      <c r="F519" t="s">
        <v>253</v>
      </c>
      <c r="G519" t="s">
        <v>4055</v>
      </c>
      <c r="H519">
        <v>350</v>
      </c>
      <c r="I519" t="s">
        <v>4055</v>
      </c>
      <c r="J519">
        <v>91</v>
      </c>
      <c r="K519" t="s">
        <v>4494</v>
      </c>
      <c r="L519" t="s">
        <v>3567</v>
      </c>
      <c r="M519" t="s">
        <v>692</v>
      </c>
      <c r="N519" t="s">
        <v>4056</v>
      </c>
      <c r="Q519" t="s">
        <v>257</v>
      </c>
      <c r="R519">
        <f>1</f>
        <v>1</v>
      </c>
      <c r="S519">
        <f>9.2</f>
        <v>9.1999999999999993</v>
      </c>
      <c r="T519">
        <f>7.6</f>
        <v>7.6</v>
      </c>
      <c r="U519">
        <f>396</f>
        <v>396</v>
      </c>
      <c r="X519">
        <f>0</f>
        <v>0</v>
      </c>
      <c r="Y519" t="s">
        <v>180</v>
      </c>
      <c r="Z519">
        <f>0</f>
        <v>0</v>
      </c>
      <c r="AA519">
        <f>0</f>
        <v>0</v>
      </c>
      <c r="AB519">
        <f>0</f>
        <v>0</v>
      </c>
      <c r="AC519">
        <f>0</f>
        <v>0</v>
      </c>
      <c r="AD519">
        <f>0</f>
        <v>0</v>
      </c>
      <c r="AE519">
        <f>0</f>
        <v>0</v>
      </c>
      <c r="AG519" t="s">
        <v>180</v>
      </c>
      <c r="AH519" t="s">
        <v>284</v>
      </c>
      <c r="AK519" t="s">
        <v>285</v>
      </c>
      <c r="AL519" t="s">
        <v>286</v>
      </c>
      <c r="AM519">
        <f>9.4</f>
        <v>9.4</v>
      </c>
      <c r="AN519">
        <f>0.188</f>
        <v>0.188</v>
      </c>
      <c r="AO519">
        <f>2.2</f>
        <v>2.2000000000000002</v>
      </c>
      <c r="AP519">
        <f>2.8</f>
        <v>2.8</v>
      </c>
      <c r="AQ519" t="s">
        <v>284</v>
      </c>
    </row>
    <row r="520" spans="1:164" x14ac:dyDescent="0.25">
      <c r="A520" t="s">
        <v>2060</v>
      </c>
      <c r="B520" t="s">
        <v>766</v>
      </c>
      <c r="C520" s="1">
        <v>46106</v>
      </c>
      <c r="D520" t="s">
        <v>251</v>
      </c>
      <c r="E520" t="s">
        <v>252</v>
      </c>
      <c r="F520" t="s">
        <v>3691</v>
      </c>
      <c r="G520" t="s">
        <v>2061</v>
      </c>
      <c r="H520">
        <v>1465</v>
      </c>
      <c r="I520" t="s">
        <v>2061</v>
      </c>
      <c r="J520">
        <v>85</v>
      </c>
      <c r="K520" t="s">
        <v>4494</v>
      </c>
      <c r="M520" t="s">
        <v>1215</v>
      </c>
      <c r="N520" t="s">
        <v>2062</v>
      </c>
      <c r="Q520" t="s">
        <v>257</v>
      </c>
      <c r="R520">
        <f>1</f>
        <v>1</v>
      </c>
      <c r="S520">
        <f>10.5</f>
        <v>10.5</v>
      </c>
      <c r="T520">
        <f>7.9</f>
        <v>7.9</v>
      </c>
      <c r="U520">
        <f>262</f>
        <v>262</v>
      </c>
      <c r="X520">
        <f>0</f>
        <v>0</v>
      </c>
      <c r="Y520" t="s">
        <v>180</v>
      </c>
      <c r="Z520">
        <f>0</f>
        <v>0</v>
      </c>
      <c r="AA520">
        <f>13</f>
        <v>13</v>
      </c>
      <c r="AB520">
        <f>0</f>
        <v>0</v>
      </c>
      <c r="AC520">
        <f>0</f>
        <v>0</v>
      </c>
      <c r="AD520">
        <f>0</f>
        <v>0</v>
      </c>
      <c r="AE520">
        <f>4</f>
        <v>4</v>
      </c>
      <c r="AG520" t="s">
        <v>180</v>
      </c>
      <c r="AH520" t="s">
        <v>284</v>
      </c>
      <c r="AK520" t="s">
        <v>285</v>
      </c>
      <c r="AL520" t="s">
        <v>286</v>
      </c>
      <c r="AM520">
        <f>3.5</f>
        <v>3.5</v>
      </c>
      <c r="AN520">
        <f>0.07</f>
        <v>7.0000000000000007E-2</v>
      </c>
      <c r="AO520">
        <f>3.2</f>
        <v>3.2</v>
      </c>
      <c r="AP520">
        <f>8.3</f>
        <v>8.3000000000000007</v>
      </c>
      <c r="AQ520" t="s">
        <v>284</v>
      </c>
    </row>
    <row r="521" spans="1:164" x14ac:dyDescent="0.25">
      <c r="A521" t="s">
        <v>2063</v>
      </c>
      <c r="B521" t="s">
        <v>170</v>
      </c>
      <c r="C521" s="1">
        <v>46098</v>
      </c>
      <c r="D521" t="s">
        <v>251</v>
      </c>
      <c r="E521" t="s">
        <v>252</v>
      </c>
      <c r="F521" t="s">
        <v>4244</v>
      </c>
      <c r="G521" t="s">
        <v>2064</v>
      </c>
      <c r="H521">
        <v>624</v>
      </c>
      <c r="I521" t="s">
        <v>2064</v>
      </c>
      <c r="J521">
        <v>100</v>
      </c>
      <c r="K521" t="s">
        <v>4492</v>
      </c>
      <c r="L521" t="s">
        <v>3567</v>
      </c>
      <c r="M521" t="s">
        <v>692</v>
      </c>
      <c r="N521" t="s">
        <v>3758</v>
      </c>
      <c r="Q521" t="s">
        <v>2065</v>
      </c>
      <c r="R521">
        <f>1</f>
        <v>1</v>
      </c>
      <c r="S521">
        <f>9.6</f>
        <v>9.6</v>
      </c>
      <c r="T521">
        <f>7.8</f>
        <v>7.8</v>
      </c>
      <c r="U521">
        <f>142</f>
        <v>142</v>
      </c>
      <c r="X521">
        <f>0</f>
        <v>0</v>
      </c>
      <c r="Y521">
        <f>0.12</f>
        <v>0.12</v>
      </c>
      <c r="Z521">
        <f>0</f>
        <v>0</v>
      </c>
      <c r="AA521">
        <f>0</f>
        <v>0</v>
      </c>
      <c r="AB521">
        <f>0</f>
        <v>0</v>
      </c>
      <c r="AD521">
        <f>0</f>
        <v>0</v>
      </c>
      <c r="AE521">
        <f>0</f>
        <v>0</v>
      </c>
      <c r="AG521" t="s">
        <v>180</v>
      </c>
      <c r="AH521" t="s">
        <v>284</v>
      </c>
      <c r="AK521" t="s">
        <v>285</v>
      </c>
      <c r="AL521" t="s">
        <v>286</v>
      </c>
      <c r="AM521" t="s">
        <v>284</v>
      </c>
      <c r="AN521" t="s">
        <v>285</v>
      </c>
      <c r="AO521">
        <f>2.2</f>
        <v>2.2000000000000002</v>
      </c>
      <c r="AP521" t="s">
        <v>284</v>
      </c>
      <c r="AQ521" t="s">
        <v>284</v>
      </c>
    </row>
    <row r="522" spans="1:164" x14ac:dyDescent="0.25">
      <c r="A522" t="s">
        <v>2066</v>
      </c>
      <c r="B522" t="s">
        <v>170</v>
      </c>
      <c r="C522" s="1">
        <v>46122</v>
      </c>
      <c r="D522" t="s">
        <v>251</v>
      </c>
      <c r="E522" t="s">
        <v>252</v>
      </c>
      <c r="F522" t="s">
        <v>2067</v>
      </c>
      <c r="G522" t="s">
        <v>2068</v>
      </c>
      <c r="H522">
        <v>352</v>
      </c>
      <c r="I522" t="s">
        <v>2068</v>
      </c>
      <c r="J522">
        <v>106</v>
      </c>
      <c r="K522" t="s">
        <v>4492</v>
      </c>
      <c r="L522" t="s">
        <v>271</v>
      </c>
      <c r="M522" t="s">
        <v>2069</v>
      </c>
      <c r="N522" t="s">
        <v>4057</v>
      </c>
      <c r="Q522" t="s">
        <v>3517</v>
      </c>
      <c r="R522">
        <f>1</f>
        <v>1</v>
      </c>
      <c r="S522">
        <f>12</f>
        <v>12</v>
      </c>
      <c r="T522">
        <f>7</f>
        <v>7</v>
      </c>
      <c r="U522">
        <f>48</f>
        <v>48</v>
      </c>
      <c r="X522">
        <f>0</f>
        <v>0</v>
      </c>
      <c r="Y522" t="s">
        <v>180</v>
      </c>
      <c r="Z522">
        <f>0</f>
        <v>0</v>
      </c>
      <c r="AA522">
        <f>0</f>
        <v>0</v>
      </c>
      <c r="AB522">
        <f>0</f>
        <v>0</v>
      </c>
      <c r="AD522">
        <f>0</f>
        <v>0</v>
      </c>
      <c r="AE522">
        <f>0</f>
        <v>0</v>
      </c>
      <c r="AG522" t="s">
        <v>180</v>
      </c>
    </row>
    <row r="523" spans="1:164" x14ac:dyDescent="0.25">
      <c r="A523" t="s">
        <v>2070</v>
      </c>
      <c r="B523" t="s">
        <v>170</v>
      </c>
      <c r="C523" s="1">
        <v>46097</v>
      </c>
      <c r="D523" t="s">
        <v>251</v>
      </c>
      <c r="E523" t="s">
        <v>252</v>
      </c>
      <c r="F523" t="s">
        <v>2067</v>
      </c>
      <c r="G523" t="s">
        <v>2071</v>
      </c>
      <c r="H523">
        <v>1086</v>
      </c>
      <c r="I523" t="s">
        <v>2072</v>
      </c>
      <c r="J523">
        <v>84</v>
      </c>
      <c r="K523" t="s">
        <v>4492</v>
      </c>
      <c r="L523" t="s">
        <v>271</v>
      </c>
      <c r="M523" t="s">
        <v>692</v>
      </c>
      <c r="N523" t="s">
        <v>4390</v>
      </c>
      <c r="Q523" t="s">
        <v>274</v>
      </c>
      <c r="R523">
        <f>1</f>
        <v>1</v>
      </c>
      <c r="S523">
        <f>7.7</f>
        <v>7.7</v>
      </c>
      <c r="T523">
        <f>7.8</f>
        <v>7.8</v>
      </c>
      <c r="U523">
        <f>327</f>
        <v>327</v>
      </c>
      <c r="X523">
        <f>0</f>
        <v>0</v>
      </c>
      <c r="Y523" t="s">
        <v>180</v>
      </c>
      <c r="Z523">
        <f>0</f>
        <v>0</v>
      </c>
      <c r="AA523">
        <f>0</f>
        <v>0</v>
      </c>
      <c r="AB523">
        <f>0</f>
        <v>0</v>
      </c>
      <c r="AD523">
        <f>0</f>
        <v>0</v>
      </c>
      <c r="AE523">
        <f>0</f>
        <v>0</v>
      </c>
      <c r="AG523" t="s">
        <v>180</v>
      </c>
    </row>
    <row r="524" spans="1:164" x14ac:dyDescent="0.25">
      <c r="A524" t="s">
        <v>2073</v>
      </c>
      <c r="B524" t="s">
        <v>170</v>
      </c>
      <c r="C524" s="1">
        <v>46120</v>
      </c>
      <c r="D524" t="s">
        <v>251</v>
      </c>
      <c r="E524" t="s">
        <v>252</v>
      </c>
      <c r="F524" t="s">
        <v>4058</v>
      </c>
      <c r="G524" t="s">
        <v>4059</v>
      </c>
      <c r="H524">
        <v>365</v>
      </c>
      <c r="I524" t="s">
        <v>4059</v>
      </c>
      <c r="J524">
        <v>100</v>
      </c>
      <c r="K524" t="s">
        <v>4492</v>
      </c>
      <c r="L524" t="s">
        <v>271</v>
      </c>
      <c r="M524" t="s">
        <v>692</v>
      </c>
      <c r="N524" t="s">
        <v>4060</v>
      </c>
      <c r="Q524" t="s">
        <v>257</v>
      </c>
      <c r="R524">
        <f>1</f>
        <v>1</v>
      </c>
      <c r="S524">
        <f>11.1</f>
        <v>11.1</v>
      </c>
      <c r="T524">
        <f>7.9</f>
        <v>7.9</v>
      </c>
      <c r="U524">
        <f>293</f>
        <v>293</v>
      </c>
      <c r="X524">
        <f>0</f>
        <v>0</v>
      </c>
      <c r="Y524">
        <f>0.11</f>
        <v>0.11</v>
      </c>
      <c r="Z524">
        <f>0</f>
        <v>0</v>
      </c>
      <c r="AA524">
        <f>7</f>
        <v>7</v>
      </c>
      <c r="AB524">
        <f>5</f>
        <v>5</v>
      </c>
      <c r="AD524">
        <f>0</f>
        <v>0</v>
      </c>
      <c r="AE524">
        <f>0</f>
        <v>0</v>
      </c>
      <c r="AG524" t="s">
        <v>180</v>
      </c>
      <c r="AH524" t="s">
        <v>284</v>
      </c>
      <c r="AK524" t="s">
        <v>285</v>
      </c>
      <c r="AL524" t="s">
        <v>286</v>
      </c>
      <c r="AM524">
        <f>1.5</f>
        <v>1.5</v>
      </c>
      <c r="AN524">
        <f>0.03</f>
        <v>0.03</v>
      </c>
      <c r="AO524">
        <f>16</f>
        <v>16</v>
      </c>
      <c r="AP524">
        <f>1.8</f>
        <v>1.8</v>
      </c>
      <c r="AQ524" t="s">
        <v>284</v>
      </c>
      <c r="CC524" t="s">
        <v>284</v>
      </c>
    </row>
    <row r="525" spans="1:164" x14ac:dyDescent="0.25">
      <c r="A525" t="s">
        <v>2074</v>
      </c>
      <c r="B525" t="s">
        <v>170</v>
      </c>
      <c r="C525" s="1">
        <v>46128</v>
      </c>
      <c r="D525" t="s">
        <v>184</v>
      </c>
      <c r="E525" t="s">
        <v>239</v>
      </c>
      <c r="F525" t="s">
        <v>276</v>
      </c>
      <c r="G525" t="s">
        <v>2075</v>
      </c>
      <c r="H525">
        <v>671</v>
      </c>
      <c r="I525" t="s">
        <v>2075</v>
      </c>
      <c r="J525">
        <v>146</v>
      </c>
      <c r="K525" t="s">
        <v>4494</v>
      </c>
      <c r="L525" t="s">
        <v>266</v>
      </c>
      <c r="M525" t="s">
        <v>3915</v>
      </c>
      <c r="N525" t="s">
        <v>3412</v>
      </c>
      <c r="R525">
        <f>1</f>
        <v>1</v>
      </c>
      <c r="S525">
        <f>13.1</f>
        <v>13.1</v>
      </c>
      <c r="T525">
        <f>7.6</f>
        <v>7.6</v>
      </c>
      <c r="U525">
        <f>452</f>
        <v>452</v>
      </c>
      <c r="V525">
        <f>0.07</f>
        <v>7.0000000000000007E-2</v>
      </c>
      <c r="X525">
        <f>0</f>
        <v>0</v>
      </c>
      <c r="Y525" t="s">
        <v>180</v>
      </c>
      <c r="Z525">
        <f>0</f>
        <v>0</v>
      </c>
      <c r="AA525">
        <f>13</f>
        <v>13</v>
      </c>
      <c r="AB525" t="s">
        <v>179</v>
      </c>
      <c r="AC525">
        <f>0</f>
        <v>0</v>
      </c>
      <c r="AD525">
        <f>0</f>
        <v>0</v>
      </c>
      <c r="AE525">
        <f>0</f>
        <v>0</v>
      </c>
      <c r="AG525" t="s">
        <v>220</v>
      </c>
      <c r="AH525">
        <f>0.3</f>
        <v>0.3</v>
      </c>
      <c r="AK525" t="s">
        <v>286</v>
      </c>
      <c r="AL525">
        <f>0.0019</f>
        <v>1.9E-3</v>
      </c>
      <c r="AM525">
        <f>3.4</f>
        <v>3.4</v>
      </c>
      <c r="AN525">
        <f>0.069</f>
        <v>6.9000000000000006E-2</v>
      </c>
      <c r="AO525">
        <f>8.8</f>
        <v>8.8000000000000007</v>
      </c>
      <c r="AP525">
        <f>2.7</f>
        <v>2.7</v>
      </c>
      <c r="AQ525">
        <f>0.096</f>
        <v>9.6000000000000002E-2</v>
      </c>
      <c r="FB525">
        <f>0.7</f>
        <v>0.7</v>
      </c>
      <c r="FC525">
        <f>0.6</f>
        <v>0.6</v>
      </c>
      <c r="FD525">
        <f>0.6</f>
        <v>0.6</v>
      </c>
      <c r="FE525">
        <f>0.7</f>
        <v>0.7</v>
      </c>
      <c r="FH525">
        <f>2.6</f>
        <v>2.6</v>
      </c>
    </row>
    <row r="526" spans="1:164" x14ac:dyDescent="0.25">
      <c r="A526" t="s">
        <v>2076</v>
      </c>
      <c r="B526" t="s">
        <v>170</v>
      </c>
      <c r="C526" s="1">
        <v>46120</v>
      </c>
      <c r="D526" t="s">
        <v>184</v>
      </c>
      <c r="E526" t="s">
        <v>239</v>
      </c>
      <c r="F526" t="s">
        <v>276</v>
      </c>
      <c r="G526" t="s">
        <v>2077</v>
      </c>
      <c r="H526">
        <v>672</v>
      </c>
      <c r="I526" t="s">
        <v>2077</v>
      </c>
      <c r="J526">
        <v>141</v>
      </c>
      <c r="K526" t="s">
        <v>4492</v>
      </c>
      <c r="L526" t="s">
        <v>3567</v>
      </c>
      <c r="M526" t="s">
        <v>692</v>
      </c>
      <c r="N526" t="s">
        <v>3628</v>
      </c>
      <c r="R526">
        <f>1</f>
        <v>1</v>
      </c>
      <c r="S526">
        <f>10.3</f>
        <v>10.3</v>
      </c>
      <c r="T526">
        <f>7.5</f>
        <v>7.5</v>
      </c>
      <c r="U526">
        <f>543</f>
        <v>543</v>
      </c>
      <c r="X526">
        <f>0</f>
        <v>0</v>
      </c>
      <c r="Y526" t="s">
        <v>180</v>
      </c>
      <c r="Z526">
        <f>0</f>
        <v>0</v>
      </c>
      <c r="AA526" t="s">
        <v>179</v>
      </c>
      <c r="AB526" t="s">
        <v>179</v>
      </c>
      <c r="AD526">
        <f>0</f>
        <v>0</v>
      </c>
      <c r="AE526">
        <f>0</f>
        <v>0</v>
      </c>
      <c r="AG526" t="s">
        <v>220</v>
      </c>
      <c r="AH526">
        <f>0.39</f>
        <v>0.39</v>
      </c>
      <c r="AK526" t="s">
        <v>286</v>
      </c>
      <c r="AL526">
        <f>0.0054</f>
        <v>5.4000000000000003E-3</v>
      </c>
      <c r="AM526">
        <f>1.2</f>
        <v>1.2</v>
      </c>
      <c r="AN526">
        <f>0.026</f>
        <v>2.5999999999999999E-2</v>
      </c>
      <c r="AO526">
        <f>16</f>
        <v>16</v>
      </c>
      <c r="AP526">
        <f>9.2</f>
        <v>9.1999999999999993</v>
      </c>
      <c r="AQ526">
        <f>0.061</f>
        <v>6.0999999999999999E-2</v>
      </c>
    </row>
    <row r="527" spans="1:164" x14ac:dyDescent="0.25">
      <c r="A527" t="s">
        <v>2078</v>
      </c>
      <c r="B527" t="s">
        <v>170</v>
      </c>
      <c r="C527" s="1">
        <v>46100</v>
      </c>
      <c r="D527" t="s">
        <v>222</v>
      </c>
      <c r="E527" t="s">
        <v>223</v>
      </c>
      <c r="F527" t="s">
        <v>3685</v>
      </c>
      <c r="G527" t="s">
        <v>2079</v>
      </c>
      <c r="H527">
        <v>1641</v>
      </c>
      <c r="I527" t="s">
        <v>2079</v>
      </c>
      <c r="J527">
        <v>66</v>
      </c>
      <c r="K527" t="s">
        <v>4494</v>
      </c>
      <c r="M527" t="s">
        <v>4061</v>
      </c>
      <c r="N527" t="s">
        <v>2080</v>
      </c>
      <c r="R527">
        <f>1</f>
        <v>1</v>
      </c>
      <c r="S527">
        <f>7.2</f>
        <v>7.2</v>
      </c>
      <c r="T527">
        <f>6.5</f>
        <v>6.5</v>
      </c>
      <c r="U527">
        <f>118</f>
        <v>118</v>
      </c>
      <c r="X527">
        <f>0</f>
        <v>0</v>
      </c>
      <c r="Y527">
        <f>0.18</f>
        <v>0.18</v>
      </c>
      <c r="Z527">
        <f>0</f>
        <v>0</v>
      </c>
      <c r="AA527" t="s">
        <v>179</v>
      </c>
      <c r="AB527" t="s">
        <v>179</v>
      </c>
      <c r="AC527">
        <f>0</f>
        <v>0</v>
      </c>
      <c r="AD527">
        <f>0</f>
        <v>0</v>
      </c>
      <c r="AE527">
        <f>0</f>
        <v>0</v>
      </c>
      <c r="AG527" t="s">
        <v>180</v>
      </c>
      <c r="AH527" t="s">
        <v>193</v>
      </c>
      <c r="AK527" t="s">
        <v>181</v>
      </c>
      <c r="AL527" t="s">
        <v>182</v>
      </c>
      <c r="AM527">
        <f>3.9</f>
        <v>3.9</v>
      </c>
      <c r="AN527">
        <f>0.08</f>
        <v>0.08</v>
      </c>
      <c r="AO527">
        <f>11</f>
        <v>11</v>
      </c>
      <c r="AP527">
        <f>4.6</f>
        <v>4.5999999999999996</v>
      </c>
      <c r="AQ527" t="s">
        <v>180</v>
      </c>
    </row>
    <row r="528" spans="1:164" x14ac:dyDescent="0.25">
      <c r="A528" t="s">
        <v>2081</v>
      </c>
      <c r="B528" t="s">
        <v>170</v>
      </c>
      <c r="C528" s="1">
        <v>46129</v>
      </c>
      <c r="D528" t="s">
        <v>184</v>
      </c>
      <c r="E528" t="s">
        <v>185</v>
      </c>
      <c r="F528" t="s">
        <v>288</v>
      </c>
      <c r="G528" t="s">
        <v>4062</v>
      </c>
      <c r="H528">
        <v>337</v>
      </c>
      <c r="I528" t="s">
        <v>4063</v>
      </c>
      <c r="J528">
        <v>119</v>
      </c>
      <c r="K528" t="s">
        <v>4492</v>
      </c>
      <c r="L528" t="s">
        <v>3567</v>
      </c>
      <c r="M528" t="s">
        <v>3915</v>
      </c>
      <c r="N528" t="s">
        <v>4391</v>
      </c>
      <c r="Q528" t="s">
        <v>3480</v>
      </c>
      <c r="R528">
        <f>1</f>
        <v>1</v>
      </c>
      <c r="S528">
        <f>12.8</f>
        <v>12.8</v>
      </c>
      <c r="T528">
        <f>7.9</f>
        <v>7.9</v>
      </c>
      <c r="U528">
        <f>238</f>
        <v>238</v>
      </c>
      <c r="X528">
        <f>0</f>
        <v>0</v>
      </c>
      <c r="Y528" t="s">
        <v>180</v>
      </c>
      <c r="Z528">
        <f>0</f>
        <v>0</v>
      </c>
      <c r="AA528">
        <f>9</f>
        <v>9</v>
      </c>
      <c r="AB528">
        <f>2</f>
        <v>2</v>
      </c>
      <c r="AD528">
        <f>0</f>
        <v>0</v>
      </c>
      <c r="AE528">
        <f>0</f>
        <v>0</v>
      </c>
      <c r="AG528" t="s">
        <v>180</v>
      </c>
      <c r="AH528" t="s">
        <v>284</v>
      </c>
      <c r="AK528" t="s">
        <v>285</v>
      </c>
      <c r="AL528" t="s">
        <v>286</v>
      </c>
      <c r="AM528">
        <f>9</f>
        <v>9</v>
      </c>
      <c r="AN528">
        <f>0.18</f>
        <v>0.18</v>
      </c>
      <c r="AO528">
        <f>6.9</f>
        <v>6.9</v>
      </c>
      <c r="AP528">
        <f>1.9</f>
        <v>1.9</v>
      </c>
      <c r="AQ528" t="s">
        <v>284</v>
      </c>
    </row>
    <row r="529" spans="1:164" x14ac:dyDescent="0.25">
      <c r="A529" t="s">
        <v>2082</v>
      </c>
      <c r="B529" t="s">
        <v>170</v>
      </c>
      <c r="C529" s="1">
        <v>46101</v>
      </c>
      <c r="D529" t="s">
        <v>251</v>
      </c>
      <c r="E529" t="s">
        <v>252</v>
      </c>
      <c r="F529" t="s">
        <v>1822</v>
      </c>
      <c r="G529" t="s">
        <v>2083</v>
      </c>
      <c r="H529">
        <v>1850</v>
      </c>
      <c r="I529" t="s">
        <v>2083</v>
      </c>
      <c r="J529">
        <v>90</v>
      </c>
      <c r="K529" t="s">
        <v>4492</v>
      </c>
      <c r="L529" t="s">
        <v>3331</v>
      </c>
      <c r="M529" t="s">
        <v>2084</v>
      </c>
      <c r="N529" t="s">
        <v>2085</v>
      </c>
      <c r="Q529" t="s">
        <v>257</v>
      </c>
      <c r="R529">
        <f>1</f>
        <v>1</v>
      </c>
      <c r="S529">
        <f>7.5</f>
        <v>7.5</v>
      </c>
      <c r="T529">
        <f>8</f>
        <v>8</v>
      </c>
      <c r="U529">
        <f>118</f>
        <v>118</v>
      </c>
      <c r="X529">
        <f>0</f>
        <v>0</v>
      </c>
      <c r="Y529" t="s">
        <v>180</v>
      </c>
      <c r="Z529">
        <f>0</f>
        <v>0</v>
      </c>
      <c r="AA529">
        <f>0</f>
        <v>0</v>
      </c>
      <c r="AB529">
        <f>48</f>
        <v>48</v>
      </c>
      <c r="AD529">
        <f>0</f>
        <v>0</v>
      </c>
      <c r="AE529">
        <f>0</f>
        <v>0</v>
      </c>
      <c r="AG529" t="s">
        <v>180</v>
      </c>
      <c r="AH529" t="s">
        <v>284</v>
      </c>
      <c r="AK529" t="s">
        <v>285</v>
      </c>
      <c r="AL529" t="s">
        <v>286</v>
      </c>
      <c r="AM529">
        <f>3.5</f>
        <v>3.5</v>
      </c>
      <c r="AN529">
        <f>0.07</f>
        <v>7.0000000000000007E-2</v>
      </c>
      <c r="AO529">
        <f>5.2</f>
        <v>5.2</v>
      </c>
      <c r="AP529">
        <f>2</f>
        <v>2</v>
      </c>
      <c r="AQ529" t="s">
        <v>284</v>
      </c>
    </row>
    <row r="530" spans="1:164" x14ac:dyDescent="0.25">
      <c r="A530" t="s">
        <v>2086</v>
      </c>
      <c r="B530" t="s">
        <v>170</v>
      </c>
      <c r="C530" s="1">
        <v>46104</v>
      </c>
      <c r="D530" t="s">
        <v>251</v>
      </c>
      <c r="E530" t="s">
        <v>252</v>
      </c>
      <c r="F530" t="s">
        <v>3590</v>
      </c>
      <c r="G530" t="s">
        <v>1604</v>
      </c>
      <c r="H530">
        <v>1677</v>
      </c>
      <c r="I530" t="s">
        <v>1604</v>
      </c>
      <c r="J530">
        <v>93</v>
      </c>
      <c r="K530" t="s">
        <v>4494</v>
      </c>
      <c r="L530" t="s">
        <v>3567</v>
      </c>
      <c r="M530" t="s">
        <v>692</v>
      </c>
      <c r="N530" t="s">
        <v>3629</v>
      </c>
      <c r="Q530" t="s">
        <v>3609</v>
      </c>
      <c r="R530">
        <f>1</f>
        <v>1</v>
      </c>
      <c r="S530">
        <f>7</f>
        <v>7</v>
      </c>
      <c r="T530">
        <f>7.8</f>
        <v>7.8</v>
      </c>
      <c r="U530">
        <f>318</f>
        <v>318</v>
      </c>
      <c r="X530">
        <f>0</f>
        <v>0</v>
      </c>
      <c r="Y530" t="s">
        <v>180</v>
      </c>
      <c r="Z530">
        <f>0</f>
        <v>0</v>
      </c>
      <c r="AA530">
        <f>0</f>
        <v>0</v>
      </c>
      <c r="AB530">
        <f>0</f>
        <v>0</v>
      </c>
      <c r="AC530">
        <f>0</f>
        <v>0</v>
      </c>
      <c r="AD530">
        <f>0</f>
        <v>0</v>
      </c>
      <c r="AE530">
        <f>0</f>
        <v>0</v>
      </c>
      <c r="AG530" t="s">
        <v>180</v>
      </c>
    </row>
    <row r="531" spans="1:164" x14ac:dyDescent="0.25">
      <c r="A531" t="s">
        <v>2087</v>
      </c>
      <c r="B531" t="s">
        <v>766</v>
      </c>
      <c r="C531" s="1">
        <v>46121</v>
      </c>
      <c r="D531" t="s">
        <v>251</v>
      </c>
      <c r="E531" t="s">
        <v>252</v>
      </c>
      <c r="F531" t="s">
        <v>361</v>
      </c>
      <c r="G531" t="s">
        <v>2088</v>
      </c>
      <c r="H531">
        <v>88</v>
      </c>
      <c r="I531" t="s">
        <v>2088</v>
      </c>
      <c r="J531">
        <v>71</v>
      </c>
      <c r="K531" t="s">
        <v>4492</v>
      </c>
      <c r="L531" t="s">
        <v>271</v>
      </c>
      <c r="M531" t="s">
        <v>3630</v>
      </c>
      <c r="N531" t="s">
        <v>2089</v>
      </c>
      <c r="O531" t="s">
        <v>2090</v>
      </c>
      <c r="Q531" t="s">
        <v>257</v>
      </c>
      <c r="R531">
        <f>1</f>
        <v>1</v>
      </c>
      <c r="S531">
        <f>11.4</f>
        <v>11.4</v>
      </c>
      <c r="T531">
        <f>8.1</f>
        <v>8.1</v>
      </c>
      <c r="U531">
        <f>257</f>
        <v>257</v>
      </c>
      <c r="X531">
        <f>0</f>
        <v>0</v>
      </c>
      <c r="Y531" t="s">
        <v>180</v>
      </c>
      <c r="Z531">
        <f>0</f>
        <v>0</v>
      </c>
      <c r="AA531">
        <f>160</f>
        <v>160</v>
      </c>
      <c r="AB531">
        <f>0</f>
        <v>0</v>
      </c>
      <c r="AD531">
        <f>0</f>
        <v>0</v>
      </c>
      <c r="AE531">
        <f>0</f>
        <v>0</v>
      </c>
      <c r="AG531" t="s">
        <v>180</v>
      </c>
      <c r="AH531" t="s">
        <v>284</v>
      </c>
      <c r="AK531" t="s">
        <v>285</v>
      </c>
      <c r="AL531" t="s">
        <v>286</v>
      </c>
      <c r="AM531">
        <f>2.7</f>
        <v>2.7</v>
      </c>
      <c r="AN531">
        <f>0.054</f>
        <v>5.3999999999999999E-2</v>
      </c>
      <c r="AO531">
        <f>3</f>
        <v>3</v>
      </c>
      <c r="AP531" t="s">
        <v>284</v>
      </c>
      <c r="AQ531" t="s">
        <v>284</v>
      </c>
    </row>
    <row r="532" spans="1:164" x14ac:dyDescent="0.25">
      <c r="A532" t="s">
        <v>2091</v>
      </c>
      <c r="B532" t="s">
        <v>170</v>
      </c>
      <c r="C532" s="1">
        <v>46127</v>
      </c>
      <c r="D532" t="s">
        <v>251</v>
      </c>
      <c r="E532" t="s">
        <v>252</v>
      </c>
      <c r="F532" t="s">
        <v>265</v>
      </c>
      <c r="G532" t="s">
        <v>4064</v>
      </c>
      <c r="H532">
        <v>55</v>
      </c>
      <c r="I532" t="s">
        <v>4064</v>
      </c>
      <c r="J532">
        <v>75</v>
      </c>
      <c r="K532" t="s">
        <v>4494</v>
      </c>
      <c r="L532" t="s">
        <v>3566</v>
      </c>
      <c r="M532" t="s">
        <v>4784</v>
      </c>
      <c r="N532" t="s">
        <v>4785</v>
      </c>
      <c r="O532" t="s">
        <v>2092</v>
      </c>
      <c r="Q532" t="s">
        <v>4786</v>
      </c>
      <c r="R532">
        <f>1</f>
        <v>1</v>
      </c>
      <c r="S532">
        <f>8.9</f>
        <v>8.9</v>
      </c>
      <c r="T532">
        <f>7.9</f>
        <v>7.9</v>
      </c>
      <c r="U532">
        <f>300</f>
        <v>300</v>
      </c>
      <c r="X532">
        <f>0</f>
        <v>0</v>
      </c>
      <c r="Y532" t="s">
        <v>180</v>
      </c>
      <c r="Z532">
        <f>0</f>
        <v>0</v>
      </c>
      <c r="AA532">
        <f>1</f>
        <v>1</v>
      </c>
      <c r="AB532">
        <f>0</f>
        <v>0</v>
      </c>
      <c r="AC532">
        <f>0</f>
        <v>0</v>
      </c>
      <c r="AD532">
        <f>0</f>
        <v>0</v>
      </c>
      <c r="AE532">
        <f>0</f>
        <v>0</v>
      </c>
      <c r="AG532" t="s">
        <v>180</v>
      </c>
    </row>
    <row r="533" spans="1:164" x14ac:dyDescent="0.25">
      <c r="A533" t="s">
        <v>2093</v>
      </c>
      <c r="B533" t="s">
        <v>170</v>
      </c>
      <c r="C533" s="1">
        <v>46134</v>
      </c>
      <c r="D533" t="s">
        <v>184</v>
      </c>
      <c r="E533" t="s">
        <v>239</v>
      </c>
      <c r="F533" t="s">
        <v>276</v>
      </c>
      <c r="G533" t="s">
        <v>1810</v>
      </c>
      <c r="H533">
        <v>678</v>
      </c>
      <c r="I533" t="s">
        <v>2094</v>
      </c>
      <c r="J533">
        <v>65</v>
      </c>
      <c r="K533" t="s">
        <v>4494</v>
      </c>
      <c r="L533" t="s">
        <v>266</v>
      </c>
      <c r="M533" t="s">
        <v>3413</v>
      </c>
      <c r="N533" t="s">
        <v>3414</v>
      </c>
      <c r="O533" t="s">
        <v>2095</v>
      </c>
      <c r="R533">
        <f>1</f>
        <v>1</v>
      </c>
      <c r="S533">
        <f>11.5</f>
        <v>11.5</v>
      </c>
      <c r="T533">
        <f>7.5</f>
        <v>7.5</v>
      </c>
      <c r="U533">
        <f>479</f>
        <v>479</v>
      </c>
      <c r="V533">
        <f>0.25</f>
        <v>0.25</v>
      </c>
      <c r="X533">
        <f>0</f>
        <v>0</v>
      </c>
      <c r="Y533" t="s">
        <v>180</v>
      </c>
      <c r="Z533">
        <f>0</f>
        <v>0</v>
      </c>
      <c r="AA533" t="s">
        <v>179</v>
      </c>
      <c r="AB533" t="s">
        <v>179</v>
      </c>
      <c r="AC533">
        <f>0</f>
        <v>0</v>
      </c>
      <c r="AD533">
        <f>0</f>
        <v>0</v>
      </c>
      <c r="AE533">
        <f>0</f>
        <v>0</v>
      </c>
      <c r="AG533" t="s">
        <v>220</v>
      </c>
      <c r="AH533">
        <f>0.45</f>
        <v>0.45</v>
      </c>
      <c r="AK533" t="s">
        <v>286</v>
      </c>
      <c r="AL533">
        <f>0.0016</f>
        <v>1.6000000000000001E-3</v>
      </c>
      <c r="AM533">
        <f>1.9</f>
        <v>1.9</v>
      </c>
      <c r="AN533">
        <f>0.039</f>
        <v>3.9E-2</v>
      </c>
      <c r="AO533">
        <f>3.6</f>
        <v>3.6</v>
      </c>
      <c r="AP533">
        <f>1.2</f>
        <v>1.2</v>
      </c>
      <c r="AQ533" t="s">
        <v>192</v>
      </c>
      <c r="FB533">
        <f>2.2</f>
        <v>2.2000000000000002</v>
      </c>
      <c r="FC533" t="s">
        <v>193</v>
      </c>
      <c r="FD533">
        <f>1.1</f>
        <v>1.1000000000000001</v>
      </c>
      <c r="FE533">
        <f>0.4</f>
        <v>0.4</v>
      </c>
      <c r="FH533">
        <f>3.7</f>
        <v>3.7</v>
      </c>
    </row>
    <row r="534" spans="1:164" x14ac:dyDescent="0.25">
      <c r="A534" t="s">
        <v>2096</v>
      </c>
      <c r="B534" t="s">
        <v>170</v>
      </c>
      <c r="C534" s="1">
        <v>46134</v>
      </c>
      <c r="D534" t="s">
        <v>184</v>
      </c>
      <c r="E534" t="s">
        <v>448</v>
      </c>
      <c r="F534" t="s">
        <v>276</v>
      </c>
      <c r="G534" t="s">
        <v>2097</v>
      </c>
      <c r="H534">
        <v>687</v>
      </c>
      <c r="I534" t="s">
        <v>2097</v>
      </c>
      <c r="J534">
        <v>78</v>
      </c>
      <c r="K534" t="s">
        <v>4494</v>
      </c>
      <c r="L534" t="s">
        <v>3553</v>
      </c>
      <c r="M534" t="s">
        <v>2098</v>
      </c>
      <c r="N534" t="s">
        <v>4787</v>
      </c>
      <c r="O534" t="s">
        <v>2099</v>
      </c>
      <c r="R534">
        <f>1</f>
        <v>1</v>
      </c>
      <c r="S534">
        <f>9.9</f>
        <v>9.9</v>
      </c>
      <c r="T534">
        <f>8.1</f>
        <v>8.1</v>
      </c>
      <c r="U534">
        <f>407</f>
        <v>407</v>
      </c>
      <c r="V534">
        <f>0.17</f>
        <v>0.17</v>
      </c>
      <c r="X534">
        <f>0</f>
        <v>0</v>
      </c>
      <c r="Y534">
        <f>0.45</f>
        <v>0.45</v>
      </c>
      <c r="Z534">
        <f>0</f>
        <v>0</v>
      </c>
      <c r="AA534" t="s">
        <v>179</v>
      </c>
      <c r="AB534" t="s">
        <v>179</v>
      </c>
      <c r="AC534">
        <f>0</f>
        <v>0</v>
      </c>
      <c r="AD534">
        <f>0</f>
        <v>0</v>
      </c>
      <c r="AE534">
        <f>0</f>
        <v>0</v>
      </c>
      <c r="AG534" t="s">
        <v>220</v>
      </c>
      <c r="AH534">
        <f>0.7</f>
        <v>0.7</v>
      </c>
      <c r="AK534" t="s">
        <v>286</v>
      </c>
      <c r="AL534">
        <f>0.0019</f>
        <v>1.9E-3</v>
      </c>
      <c r="AM534">
        <f>1.5</f>
        <v>1.5</v>
      </c>
      <c r="AN534">
        <f>0.031</f>
        <v>3.1E-2</v>
      </c>
      <c r="AO534">
        <f>2.6</f>
        <v>2.6</v>
      </c>
      <c r="AP534">
        <f>9</f>
        <v>9</v>
      </c>
      <c r="AQ534" t="s">
        <v>192</v>
      </c>
      <c r="FB534">
        <f>6.2</f>
        <v>6.2</v>
      </c>
      <c r="FC534" t="s">
        <v>193</v>
      </c>
      <c r="FD534">
        <f>2.2</f>
        <v>2.2000000000000002</v>
      </c>
      <c r="FE534">
        <f>0.5</f>
        <v>0.5</v>
      </c>
      <c r="FH534">
        <f>8.9</f>
        <v>8.9</v>
      </c>
    </row>
    <row r="535" spans="1:164" x14ac:dyDescent="0.25">
      <c r="A535" t="s">
        <v>2100</v>
      </c>
      <c r="B535" t="s">
        <v>170</v>
      </c>
      <c r="C535" s="1">
        <v>46098</v>
      </c>
      <c r="D535" t="s">
        <v>251</v>
      </c>
      <c r="E535" t="s">
        <v>252</v>
      </c>
      <c r="F535" t="s">
        <v>2101</v>
      </c>
      <c r="G535" t="s">
        <v>2102</v>
      </c>
      <c r="H535">
        <v>565</v>
      </c>
      <c r="I535" t="s">
        <v>2102</v>
      </c>
      <c r="J535">
        <v>50</v>
      </c>
      <c r="K535" t="s">
        <v>4492</v>
      </c>
      <c r="L535" t="s">
        <v>271</v>
      </c>
      <c r="M535" t="s">
        <v>3415</v>
      </c>
      <c r="N535" t="s">
        <v>3759</v>
      </c>
      <c r="Q535" t="s">
        <v>3472</v>
      </c>
      <c r="R535">
        <f>1</f>
        <v>1</v>
      </c>
      <c r="S535">
        <f>10.8</f>
        <v>10.8</v>
      </c>
      <c r="T535">
        <f>7.8</f>
        <v>7.8</v>
      </c>
      <c r="U535">
        <f>365</f>
        <v>365</v>
      </c>
      <c r="X535">
        <f>0</f>
        <v>0</v>
      </c>
      <c r="Y535">
        <f>0.12</f>
        <v>0.12</v>
      </c>
      <c r="Z535">
        <f>0</f>
        <v>0</v>
      </c>
      <c r="AA535">
        <f>0</f>
        <v>0</v>
      </c>
      <c r="AB535">
        <f>0</f>
        <v>0</v>
      </c>
      <c r="AD535">
        <f>0</f>
        <v>0</v>
      </c>
      <c r="AE535">
        <f>0</f>
        <v>0</v>
      </c>
      <c r="AG535" t="s">
        <v>180</v>
      </c>
    </row>
    <row r="536" spans="1:164" x14ac:dyDescent="0.25">
      <c r="A536" t="s">
        <v>2103</v>
      </c>
      <c r="B536" t="s">
        <v>170</v>
      </c>
      <c r="C536" s="1">
        <v>46122</v>
      </c>
      <c r="D536" t="s">
        <v>251</v>
      </c>
      <c r="E536" t="s">
        <v>252</v>
      </c>
      <c r="F536" t="s">
        <v>2104</v>
      </c>
      <c r="G536" t="s">
        <v>2105</v>
      </c>
      <c r="H536">
        <v>354</v>
      </c>
      <c r="I536" t="s">
        <v>2105</v>
      </c>
      <c r="J536">
        <v>73</v>
      </c>
      <c r="K536" t="s">
        <v>4492</v>
      </c>
      <c r="L536" t="s">
        <v>271</v>
      </c>
      <c r="M536" t="s">
        <v>2106</v>
      </c>
      <c r="N536" t="s">
        <v>4065</v>
      </c>
      <c r="O536" t="s">
        <v>2107</v>
      </c>
      <c r="Q536" t="s">
        <v>3518</v>
      </c>
      <c r="R536">
        <f>1</f>
        <v>1</v>
      </c>
      <c r="S536">
        <f>10.1</f>
        <v>10.1</v>
      </c>
      <c r="T536">
        <f>7.3</f>
        <v>7.3</v>
      </c>
      <c r="U536">
        <f>53</f>
        <v>53</v>
      </c>
      <c r="X536">
        <f>0</f>
        <v>0</v>
      </c>
      <c r="Y536" t="s">
        <v>180</v>
      </c>
      <c r="Z536">
        <f>0</f>
        <v>0</v>
      </c>
      <c r="AA536">
        <f>0</f>
        <v>0</v>
      </c>
      <c r="AB536">
        <f>0</f>
        <v>0</v>
      </c>
      <c r="AD536">
        <f>0</f>
        <v>0</v>
      </c>
      <c r="AE536">
        <f>0</f>
        <v>0</v>
      </c>
      <c r="AG536" t="s">
        <v>180</v>
      </c>
      <c r="AH536" t="s">
        <v>284</v>
      </c>
      <c r="AK536" t="s">
        <v>285</v>
      </c>
      <c r="AL536" t="s">
        <v>286</v>
      </c>
      <c r="AM536" t="s">
        <v>284</v>
      </c>
      <c r="AN536" t="s">
        <v>285</v>
      </c>
      <c r="AO536">
        <f>2</f>
        <v>2</v>
      </c>
      <c r="AP536">
        <f>1.2</f>
        <v>1.2</v>
      </c>
      <c r="AQ536" t="s">
        <v>284</v>
      </c>
      <c r="CC536" t="s">
        <v>284</v>
      </c>
    </row>
    <row r="537" spans="1:164" x14ac:dyDescent="0.25">
      <c r="A537" t="s">
        <v>2108</v>
      </c>
      <c r="B537" t="s">
        <v>170</v>
      </c>
      <c r="C537" s="1">
        <v>46113</v>
      </c>
      <c r="D537" t="s">
        <v>184</v>
      </c>
      <c r="E537" t="s">
        <v>185</v>
      </c>
      <c r="F537" t="s">
        <v>3378</v>
      </c>
      <c r="G537" t="s">
        <v>3760</v>
      </c>
      <c r="H537">
        <v>1141</v>
      </c>
      <c r="I537" t="s">
        <v>3760</v>
      </c>
      <c r="J537">
        <v>77</v>
      </c>
      <c r="K537" t="s">
        <v>4494</v>
      </c>
      <c r="L537" t="s">
        <v>271</v>
      </c>
      <c r="M537" t="s">
        <v>3631</v>
      </c>
      <c r="N537" t="s">
        <v>3632</v>
      </c>
      <c r="O537" t="s">
        <v>2109</v>
      </c>
      <c r="R537">
        <f>1</f>
        <v>1</v>
      </c>
      <c r="S537">
        <f>9.9</f>
        <v>9.9</v>
      </c>
      <c r="T537">
        <f>7.9</f>
        <v>7.9</v>
      </c>
      <c r="U537">
        <f>407</f>
        <v>407</v>
      </c>
      <c r="X537">
        <f>0</f>
        <v>0</v>
      </c>
      <c r="Y537">
        <f>0.1</f>
        <v>0.1</v>
      </c>
      <c r="Z537">
        <f>0</f>
        <v>0</v>
      </c>
      <c r="AA537" t="s">
        <v>179</v>
      </c>
      <c r="AB537" t="s">
        <v>179</v>
      </c>
      <c r="AC537">
        <f>0</f>
        <v>0</v>
      </c>
      <c r="AD537">
        <f>0</f>
        <v>0</v>
      </c>
      <c r="AE537">
        <f>0</f>
        <v>0</v>
      </c>
      <c r="AG537" t="s">
        <v>180</v>
      </c>
      <c r="AH537">
        <f>0.6</f>
        <v>0.6</v>
      </c>
      <c r="AK537" t="s">
        <v>181</v>
      </c>
      <c r="AL537" t="s">
        <v>182</v>
      </c>
      <c r="AM537">
        <f>5.3</f>
        <v>5.3</v>
      </c>
      <c r="AN537">
        <f>0.11</f>
        <v>0.11</v>
      </c>
      <c r="AO537">
        <f>3.6</f>
        <v>3.6</v>
      </c>
      <c r="AP537">
        <f>2</f>
        <v>2</v>
      </c>
      <c r="AQ537" t="s">
        <v>180</v>
      </c>
      <c r="CC537">
        <f>0.59</f>
        <v>0.59</v>
      </c>
    </row>
    <row r="538" spans="1:164" x14ac:dyDescent="0.25">
      <c r="A538" t="s">
        <v>2110</v>
      </c>
      <c r="B538" t="s">
        <v>170</v>
      </c>
      <c r="C538" s="1">
        <v>46113</v>
      </c>
      <c r="D538" t="s">
        <v>184</v>
      </c>
      <c r="E538" t="s">
        <v>185</v>
      </c>
      <c r="F538" t="s">
        <v>186</v>
      </c>
      <c r="G538" t="s">
        <v>4392</v>
      </c>
      <c r="H538">
        <v>1156</v>
      </c>
      <c r="I538" t="s">
        <v>4392</v>
      </c>
      <c r="J538">
        <v>73</v>
      </c>
      <c r="K538" t="s">
        <v>4492</v>
      </c>
      <c r="L538" t="s">
        <v>3567</v>
      </c>
      <c r="M538" t="s">
        <v>4788</v>
      </c>
      <c r="N538" t="s">
        <v>3633</v>
      </c>
      <c r="O538" t="s">
        <v>2111</v>
      </c>
      <c r="Q538" t="s">
        <v>3634</v>
      </c>
      <c r="R538">
        <f>1</f>
        <v>1</v>
      </c>
      <c r="S538">
        <f>8</f>
        <v>8</v>
      </c>
      <c r="T538">
        <f>7.8</f>
        <v>7.8</v>
      </c>
      <c r="U538">
        <f>376</f>
        <v>376</v>
      </c>
      <c r="X538">
        <f>0</f>
        <v>0</v>
      </c>
      <c r="Y538">
        <f>0.1</f>
        <v>0.1</v>
      </c>
      <c r="Z538">
        <f>0</f>
        <v>0</v>
      </c>
      <c r="AA538" t="s">
        <v>179</v>
      </c>
      <c r="AB538" t="s">
        <v>179</v>
      </c>
      <c r="AD538">
        <f>0</f>
        <v>0</v>
      </c>
      <c r="AE538">
        <f>0</f>
        <v>0</v>
      </c>
      <c r="AG538" t="s">
        <v>180</v>
      </c>
      <c r="AH538" t="s">
        <v>193</v>
      </c>
      <c r="AK538" t="s">
        <v>181</v>
      </c>
      <c r="AL538" t="s">
        <v>182</v>
      </c>
      <c r="AM538">
        <f>4.9</f>
        <v>4.9000000000000004</v>
      </c>
      <c r="AN538">
        <f>0.1</f>
        <v>0.1</v>
      </c>
      <c r="AO538">
        <f>3.5</f>
        <v>3.5</v>
      </c>
      <c r="AP538">
        <f>1.5</f>
        <v>1.5</v>
      </c>
      <c r="AQ538" t="s">
        <v>180</v>
      </c>
    </row>
    <row r="539" spans="1:164" x14ac:dyDescent="0.25">
      <c r="A539" t="s">
        <v>2112</v>
      </c>
      <c r="B539" t="s">
        <v>170</v>
      </c>
      <c r="C539" s="1">
        <v>46113</v>
      </c>
      <c r="D539" t="s">
        <v>184</v>
      </c>
      <c r="E539" t="s">
        <v>185</v>
      </c>
      <c r="F539" t="s">
        <v>3378</v>
      </c>
      <c r="G539" t="s">
        <v>4393</v>
      </c>
      <c r="H539">
        <v>1160</v>
      </c>
      <c r="I539" t="s">
        <v>4393</v>
      </c>
      <c r="J539">
        <v>99</v>
      </c>
      <c r="K539" t="s">
        <v>4494</v>
      </c>
      <c r="L539" t="s">
        <v>3567</v>
      </c>
      <c r="M539" t="s">
        <v>3416</v>
      </c>
      <c r="N539" t="s">
        <v>3417</v>
      </c>
      <c r="O539" t="s">
        <v>2113</v>
      </c>
      <c r="R539">
        <f>1</f>
        <v>1</v>
      </c>
      <c r="S539">
        <f>8.9</f>
        <v>8.9</v>
      </c>
      <c r="T539">
        <f>8.2</f>
        <v>8.1999999999999993</v>
      </c>
      <c r="U539">
        <f>381</f>
        <v>381</v>
      </c>
      <c r="X539">
        <f>0</f>
        <v>0</v>
      </c>
      <c r="Y539" t="s">
        <v>180</v>
      </c>
      <c r="Z539">
        <f>0</f>
        <v>0</v>
      </c>
      <c r="AA539" t="s">
        <v>179</v>
      </c>
      <c r="AB539" t="s">
        <v>179</v>
      </c>
      <c r="AC539">
        <f>0</f>
        <v>0</v>
      </c>
      <c r="AD539">
        <f>0</f>
        <v>0</v>
      </c>
      <c r="AE539">
        <f>0</f>
        <v>0</v>
      </c>
      <c r="AG539" t="s">
        <v>180</v>
      </c>
      <c r="CC539">
        <f>0.28</f>
        <v>0.28000000000000003</v>
      </c>
    </row>
    <row r="540" spans="1:164" x14ac:dyDescent="0.25">
      <c r="A540" t="s">
        <v>2114</v>
      </c>
      <c r="B540" t="s">
        <v>170</v>
      </c>
      <c r="C540" s="1">
        <v>46140</v>
      </c>
      <c r="D540" t="s">
        <v>222</v>
      </c>
      <c r="E540" t="s">
        <v>223</v>
      </c>
      <c r="F540" t="s">
        <v>2115</v>
      </c>
      <c r="G540" t="s">
        <v>2116</v>
      </c>
      <c r="H540">
        <v>1178</v>
      </c>
      <c r="I540" t="s">
        <v>2116</v>
      </c>
      <c r="J540">
        <v>20</v>
      </c>
      <c r="K540" t="s">
        <v>4494</v>
      </c>
      <c r="L540" t="s">
        <v>461</v>
      </c>
      <c r="M540" t="s">
        <v>2117</v>
      </c>
      <c r="N540" t="s">
        <v>3418</v>
      </c>
      <c r="O540" t="s">
        <v>2118</v>
      </c>
      <c r="Q540" t="s">
        <v>3519</v>
      </c>
      <c r="R540">
        <f>1</f>
        <v>1</v>
      </c>
      <c r="S540">
        <f>8</f>
        <v>8</v>
      </c>
      <c r="T540">
        <f>7</f>
        <v>7</v>
      </c>
      <c r="U540">
        <f>58</f>
        <v>58</v>
      </c>
      <c r="X540">
        <f>1</f>
        <v>1</v>
      </c>
      <c r="Y540" t="s">
        <v>180</v>
      </c>
      <c r="Z540">
        <f>0</f>
        <v>0</v>
      </c>
      <c r="AA540" t="s">
        <v>179</v>
      </c>
      <c r="AB540" t="s">
        <v>179</v>
      </c>
      <c r="AC540">
        <f>0</f>
        <v>0</v>
      </c>
      <c r="AD540">
        <f>0</f>
        <v>0</v>
      </c>
      <c r="AE540">
        <f>0</f>
        <v>0</v>
      </c>
      <c r="AG540" t="s">
        <v>180</v>
      </c>
    </row>
    <row r="541" spans="1:164" x14ac:dyDescent="0.25">
      <c r="A541" t="s">
        <v>2119</v>
      </c>
      <c r="B541" t="s">
        <v>170</v>
      </c>
      <c r="C541" s="1">
        <v>46112</v>
      </c>
      <c r="D541" t="s">
        <v>222</v>
      </c>
      <c r="E541" t="s">
        <v>223</v>
      </c>
      <c r="F541" t="s">
        <v>4066</v>
      </c>
      <c r="G541" t="s">
        <v>4067</v>
      </c>
      <c r="H541">
        <v>1180</v>
      </c>
      <c r="I541" t="s">
        <v>4067</v>
      </c>
      <c r="J541">
        <v>56</v>
      </c>
      <c r="K541" t="s">
        <v>4494</v>
      </c>
      <c r="L541" t="s">
        <v>291</v>
      </c>
      <c r="M541" t="s">
        <v>2120</v>
      </c>
      <c r="N541" t="s">
        <v>4068</v>
      </c>
      <c r="O541" t="s">
        <v>2121</v>
      </c>
      <c r="Q541" t="s">
        <v>3487</v>
      </c>
      <c r="R541">
        <f>1</f>
        <v>1</v>
      </c>
      <c r="S541">
        <f>8.2</f>
        <v>8.1999999999999993</v>
      </c>
      <c r="T541">
        <f>7.9</f>
        <v>7.9</v>
      </c>
      <c r="U541">
        <f>286</f>
        <v>286</v>
      </c>
      <c r="X541">
        <f>1</f>
        <v>1</v>
      </c>
      <c r="Y541" t="s">
        <v>180</v>
      </c>
      <c r="Z541">
        <f>0</f>
        <v>0</v>
      </c>
      <c r="AA541" t="s">
        <v>179</v>
      </c>
      <c r="AB541" t="s">
        <v>179</v>
      </c>
      <c r="AC541">
        <f>0</f>
        <v>0</v>
      </c>
      <c r="AD541">
        <f>0</f>
        <v>0</v>
      </c>
      <c r="AE541">
        <f>0</f>
        <v>0</v>
      </c>
      <c r="AG541" t="s">
        <v>180</v>
      </c>
      <c r="CC541">
        <f>0.28</f>
        <v>0.28000000000000003</v>
      </c>
    </row>
    <row r="542" spans="1:164" x14ac:dyDescent="0.25">
      <c r="A542" t="s">
        <v>2122</v>
      </c>
      <c r="B542" t="s">
        <v>170</v>
      </c>
      <c r="C542" s="1">
        <v>46111</v>
      </c>
      <c r="D542" t="s">
        <v>222</v>
      </c>
      <c r="E542" t="s">
        <v>260</v>
      </c>
      <c r="F542" t="s">
        <v>4789</v>
      </c>
      <c r="G542" t="s">
        <v>2123</v>
      </c>
      <c r="H542">
        <v>1426</v>
      </c>
      <c r="I542" t="s">
        <v>2123</v>
      </c>
      <c r="J542">
        <v>62</v>
      </c>
      <c r="K542" t="s">
        <v>4492</v>
      </c>
      <c r="M542" t="s">
        <v>4568</v>
      </c>
      <c r="N542" t="s">
        <v>4790</v>
      </c>
      <c r="O542" t="s">
        <v>2124</v>
      </c>
      <c r="R542">
        <f>1</f>
        <v>1</v>
      </c>
      <c r="S542">
        <f>9.6</f>
        <v>9.6</v>
      </c>
      <c r="T542">
        <f>7.4</f>
        <v>7.4</v>
      </c>
      <c r="U542">
        <f>435</f>
        <v>435</v>
      </c>
      <c r="X542">
        <f>0</f>
        <v>0</v>
      </c>
      <c r="Y542">
        <f>0.55</f>
        <v>0.55000000000000004</v>
      </c>
      <c r="Z542">
        <f>0</f>
        <v>0</v>
      </c>
      <c r="AA542" t="s">
        <v>179</v>
      </c>
      <c r="AB542">
        <f>13</f>
        <v>13</v>
      </c>
      <c r="AD542">
        <f>0</f>
        <v>0</v>
      </c>
      <c r="AE542">
        <f>0</f>
        <v>0</v>
      </c>
      <c r="AG542" t="s">
        <v>220</v>
      </c>
      <c r="AH542" t="s">
        <v>411</v>
      </c>
      <c r="AK542" t="s">
        <v>286</v>
      </c>
      <c r="AL542">
        <f>0.0077</f>
        <v>7.7000000000000002E-3</v>
      </c>
      <c r="AM542">
        <f>11</f>
        <v>11</v>
      </c>
      <c r="AN542">
        <f>0.223</f>
        <v>0.223</v>
      </c>
      <c r="AO542">
        <f>6.2</f>
        <v>6.2</v>
      </c>
      <c r="AP542">
        <f>7.7</f>
        <v>7.7</v>
      </c>
      <c r="AQ542" t="s">
        <v>192</v>
      </c>
    </row>
    <row r="543" spans="1:164" x14ac:dyDescent="0.25">
      <c r="A543" t="s">
        <v>2125</v>
      </c>
      <c r="B543" t="s">
        <v>170</v>
      </c>
      <c r="C543" s="1">
        <v>46119</v>
      </c>
      <c r="D543" t="s">
        <v>216</v>
      </c>
      <c r="E543" t="s">
        <v>217</v>
      </c>
      <c r="F543" t="s">
        <v>2126</v>
      </c>
      <c r="G543" t="s">
        <v>2127</v>
      </c>
      <c r="H543">
        <v>1511</v>
      </c>
      <c r="I543" t="s">
        <v>2127</v>
      </c>
      <c r="J543">
        <v>50</v>
      </c>
      <c r="K543" t="s">
        <v>4494</v>
      </c>
      <c r="M543" t="s">
        <v>4791</v>
      </c>
      <c r="N543" t="s">
        <v>3419</v>
      </c>
      <c r="O543" t="s">
        <v>2128</v>
      </c>
      <c r="Q543" t="s">
        <v>3468</v>
      </c>
      <c r="R543">
        <f>1</f>
        <v>1</v>
      </c>
      <c r="S543">
        <f>8.1</f>
        <v>8.1</v>
      </c>
      <c r="T543">
        <f>8.3</f>
        <v>8.3000000000000007</v>
      </c>
      <c r="U543">
        <f>198</f>
        <v>198</v>
      </c>
      <c r="X543">
        <f>1</f>
        <v>1</v>
      </c>
      <c r="Y543">
        <f>0.11</f>
        <v>0.11</v>
      </c>
      <c r="Z543">
        <f>0</f>
        <v>0</v>
      </c>
      <c r="AA543">
        <f>0</f>
        <v>0</v>
      </c>
      <c r="AB543">
        <f>0</f>
        <v>0</v>
      </c>
      <c r="AC543">
        <f>0</f>
        <v>0</v>
      </c>
      <c r="AD543">
        <f>0</f>
        <v>0</v>
      </c>
      <c r="AE543">
        <f>0</f>
        <v>0</v>
      </c>
      <c r="AG543" t="s">
        <v>220</v>
      </c>
      <c r="AH543">
        <f>0.67</f>
        <v>0.67</v>
      </c>
      <c r="AK543" t="s">
        <v>285</v>
      </c>
      <c r="AL543" t="s">
        <v>181</v>
      </c>
      <c r="AM543">
        <f>2.4</f>
        <v>2.4</v>
      </c>
      <c r="AN543">
        <f>0.05</f>
        <v>0.05</v>
      </c>
      <c r="AO543">
        <f>1.1</f>
        <v>1.1000000000000001</v>
      </c>
      <c r="AP543" t="s">
        <v>284</v>
      </c>
      <c r="AQ543" t="s">
        <v>284</v>
      </c>
      <c r="CC543">
        <f>0.12</f>
        <v>0.12</v>
      </c>
    </row>
    <row r="544" spans="1:164" x14ac:dyDescent="0.25">
      <c r="A544" t="s">
        <v>2129</v>
      </c>
      <c r="B544" t="s">
        <v>170</v>
      </c>
      <c r="C544" s="1">
        <v>46106</v>
      </c>
      <c r="D544" t="s">
        <v>216</v>
      </c>
      <c r="E544" t="s">
        <v>217</v>
      </c>
      <c r="F544" t="s">
        <v>2130</v>
      </c>
      <c r="G544" t="s">
        <v>2130</v>
      </c>
      <c r="H544">
        <v>1513</v>
      </c>
      <c r="I544" t="s">
        <v>2130</v>
      </c>
      <c r="J544">
        <v>50</v>
      </c>
      <c r="K544" t="s">
        <v>4494</v>
      </c>
      <c r="L544" t="s">
        <v>266</v>
      </c>
      <c r="M544" t="s">
        <v>2131</v>
      </c>
      <c r="N544" t="s">
        <v>3420</v>
      </c>
      <c r="O544" t="s">
        <v>2132</v>
      </c>
      <c r="Q544" t="s">
        <v>3520</v>
      </c>
      <c r="R544">
        <f>1</f>
        <v>1</v>
      </c>
      <c r="S544">
        <f>9.9</f>
        <v>9.9</v>
      </c>
      <c r="T544">
        <f>8.3</f>
        <v>8.3000000000000007</v>
      </c>
      <c r="U544">
        <f>191</f>
        <v>191</v>
      </c>
      <c r="V544">
        <f>0.13</f>
        <v>0.13</v>
      </c>
      <c r="X544">
        <f>1</f>
        <v>1</v>
      </c>
      <c r="Y544">
        <f>0.15</f>
        <v>0.15</v>
      </c>
      <c r="Z544">
        <f>0</f>
        <v>0</v>
      </c>
      <c r="AA544">
        <f>0</f>
        <v>0</v>
      </c>
      <c r="AB544">
        <f>3</f>
        <v>3</v>
      </c>
      <c r="AC544">
        <f>0</f>
        <v>0</v>
      </c>
      <c r="AD544">
        <f>0</f>
        <v>0</v>
      </c>
      <c r="AE544">
        <f>0</f>
        <v>0</v>
      </c>
      <c r="AG544" t="s">
        <v>220</v>
      </c>
      <c r="AI544" t="s">
        <v>192</v>
      </c>
      <c r="AJ544" t="s">
        <v>192</v>
      </c>
      <c r="CC544" t="s">
        <v>180</v>
      </c>
      <c r="FB544" t="s">
        <v>193</v>
      </c>
      <c r="FC544" t="s">
        <v>193</v>
      </c>
      <c r="FD544" t="s">
        <v>193</v>
      </c>
      <c r="FE544" t="s">
        <v>193</v>
      </c>
      <c r="FH544" t="s">
        <v>193</v>
      </c>
    </row>
    <row r="545" spans="1:164" x14ac:dyDescent="0.25">
      <c r="A545" t="s">
        <v>2133</v>
      </c>
      <c r="B545" t="s">
        <v>170</v>
      </c>
      <c r="C545" s="1">
        <v>46097</v>
      </c>
      <c r="D545" t="s">
        <v>184</v>
      </c>
      <c r="E545" t="s">
        <v>546</v>
      </c>
      <c r="F545" t="s">
        <v>4069</v>
      </c>
      <c r="G545" t="s">
        <v>4070</v>
      </c>
      <c r="H545">
        <v>1530</v>
      </c>
      <c r="I545" t="s">
        <v>4070</v>
      </c>
      <c r="J545">
        <v>50</v>
      </c>
      <c r="K545" t="s">
        <v>4494</v>
      </c>
      <c r="M545" t="s">
        <v>3948</v>
      </c>
      <c r="N545" t="s">
        <v>4071</v>
      </c>
      <c r="O545" t="s">
        <v>2134</v>
      </c>
      <c r="R545">
        <f>1</f>
        <v>1</v>
      </c>
      <c r="S545">
        <f>10.7</f>
        <v>10.7</v>
      </c>
      <c r="T545">
        <f>7.5</f>
        <v>7.5</v>
      </c>
      <c r="U545">
        <f>50</f>
        <v>50</v>
      </c>
      <c r="X545">
        <f>0</f>
        <v>0</v>
      </c>
      <c r="Y545" t="s">
        <v>180</v>
      </c>
      <c r="Z545">
        <f>0</f>
        <v>0</v>
      </c>
      <c r="AA545" t="s">
        <v>179</v>
      </c>
      <c r="AB545" t="s">
        <v>179</v>
      </c>
      <c r="AC545">
        <f>0</f>
        <v>0</v>
      </c>
      <c r="AD545">
        <f>0</f>
        <v>0</v>
      </c>
      <c r="AE545">
        <f>0</f>
        <v>0</v>
      </c>
      <c r="AG545" t="s">
        <v>180</v>
      </c>
      <c r="CC545">
        <f>0.47</f>
        <v>0.47</v>
      </c>
    </row>
    <row r="546" spans="1:164" x14ac:dyDescent="0.25">
      <c r="A546" t="s">
        <v>2135</v>
      </c>
      <c r="B546" t="s">
        <v>170</v>
      </c>
      <c r="C546" s="1">
        <v>46129</v>
      </c>
      <c r="D546" t="s">
        <v>184</v>
      </c>
      <c r="E546" t="s">
        <v>185</v>
      </c>
      <c r="F546" t="s">
        <v>1084</v>
      </c>
      <c r="G546" t="s">
        <v>2136</v>
      </c>
      <c r="H546">
        <v>575</v>
      </c>
      <c r="I546" t="s">
        <v>2136</v>
      </c>
      <c r="J546">
        <v>73</v>
      </c>
      <c r="K546" t="s">
        <v>4492</v>
      </c>
      <c r="L546" t="s">
        <v>266</v>
      </c>
      <c r="M546" t="s">
        <v>2137</v>
      </c>
      <c r="N546" t="s">
        <v>2138</v>
      </c>
      <c r="O546" t="s">
        <v>2139</v>
      </c>
      <c r="R546">
        <f>1</f>
        <v>1</v>
      </c>
      <c r="S546">
        <f>10.4</f>
        <v>10.4</v>
      </c>
      <c r="T546">
        <f>7.9</f>
        <v>7.9</v>
      </c>
      <c r="U546">
        <f>420</f>
        <v>420</v>
      </c>
      <c r="V546">
        <f>0.06</f>
        <v>0.06</v>
      </c>
      <c r="X546">
        <f>0</f>
        <v>0</v>
      </c>
      <c r="Y546">
        <f>0.1</f>
        <v>0.1</v>
      </c>
      <c r="Z546">
        <f>0</f>
        <v>0</v>
      </c>
      <c r="AA546" t="s">
        <v>179</v>
      </c>
      <c r="AB546" t="s">
        <v>179</v>
      </c>
      <c r="AD546">
        <f>0</f>
        <v>0</v>
      </c>
      <c r="AE546">
        <f>0</f>
        <v>0</v>
      </c>
      <c r="AG546" t="s">
        <v>180</v>
      </c>
      <c r="FB546">
        <f>0.92</f>
        <v>0.92</v>
      </c>
      <c r="FC546" t="s">
        <v>220</v>
      </c>
      <c r="FD546">
        <f>0.97</f>
        <v>0.97</v>
      </c>
      <c r="FE546">
        <f>0.8</f>
        <v>0.8</v>
      </c>
      <c r="FH546">
        <f>2.7</f>
        <v>2.7</v>
      </c>
    </row>
    <row r="547" spans="1:164" x14ac:dyDescent="0.25">
      <c r="A547" t="s">
        <v>2140</v>
      </c>
      <c r="B547" t="s">
        <v>170</v>
      </c>
      <c r="C547" s="1">
        <v>46099</v>
      </c>
      <c r="D547" t="s">
        <v>251</v>
      </c>
      <c r="E547" t="s">
        <v>252</v>
      </c>
      <c r="F547" t="s">
        <v>758</v>
      </c>
      <c r="G547" t="s">
        <v>2141</v>
      </c>
      <c r="H547">
        <v>73</v>
      </c>
      <c r="I547" t="s">
        <v>2141</v>
      </c>
      <c r="J547">
        <v>70</v>
      </c>
      <c r="K547" t="s">
        <v>4492</v>
      </c>
      <c r="L547" t="s">
        <v>3567</v>
      </c>
      <c r="M547" t="s">
        <v>4792</v>
      </c>
      <c r="N547" t="s">
        <v>2142</v>
      </c>
      <c r="O547" t="s">
        <v>2143</v>
      </c>
      <c r="Q547" t="s">
        <v>257</v>
      </c>
      <c r="R547">
        <f>1</f>
        <v>1</v>
      </c>
      <c r="S547">
        <f>4.6</f>
        <v>4.5999999999999996</v>
      </c>
      <c r="T547">
        <f>7.8</f>
        <v>7.8</v>
      </c>
      <c r="U547">
        <f>271</f>
        <v>271</v>
      </c>
      <c r="X547">
        <f>0</f>
        <v>0</v>
      </c>
      <c r="Y547" t="s">
        <v>180</v>
      </c>
      <c r="Z547">
        <f>0</f>
        <v>0</v>
      </c>
      <c r="AA547">
        <f>0</f>
        <v>0</v>
      </c>
      <c r="AB547">
        <f>0</f>
        <v>0</v>
      </c>
      <c r="AD547">
        <f>0</f>
        <v>0</v>
      </c>
      <c r="AE547">
        <f>0</f>
        <v>0</v>
      </c>
      <c r="AG547" t="s">
        <v>180</v>
      </c>
      <c r="AH547" t="s">
        <v>284</v>
      </c>
      <c r="AK547" t="s">
        <v>285</v>
      </c>
      <c r="AL547" t="s">
        <v>286</v>
      </c>
      <c r="AM547">
        <f>2.3</f>
        <v>2.2999999999999998</v>
      </c>
      <c r="AN547">
        <f>0.046</f>
        <v>4.5999999999999999E-2</v>
      </c>
      <c r="AO547">
        <f>1.9</f>
        <v>1.9</v>
      </c>
      <c r="AP547" t="s">
        <v>284</v>
      </c>
      <c r="AQ547" t="s">
        <v>284</v>
      </c>
    </row>
    <row r="548" spans="1:164" x14ac:dyDescent="0.25">
      <c r="A548" t="s">
        <v>2144</v>
      </c>
      <c r="B548" t="s">
        <v>170</v>
      </c>
      <c r="C548" s="1">
        <v>46133</v>
      </c>
      <c r="D548" t="s">
        <v>216</v>
      </c>
      <c r="E548" t="s">
        <v>217</v>
      </c>
      <c r="F548" t="s">
        <v>368</v>
      </c>
      <c r="G548" t="s">
        <v>3761</v>
      </c>
      <c r="H548">
        <v>284</v>
      </c>
      <c r="I548" t="s">
        <v>3761</v>
      </c>
      <c r="J548">
        <v>53</v>
      </c>
      <c r="K548" t="s">
        <v>4494</v>
      </c>
      <c r="L548" t="s">
        <v>369</v>
      </c>
      <c r="M548" t="s">
        <v>4793</v>
      </c>
      <c r="N548" t="s">
        <v>3635</v>
      </c>
      <c r="O548" t="s">
        <v>2145</v>
      </c>
      <c r="R548">
        <f>1</f>
        <v>1</v>
      </c>
      <c r="S548">
        <f>13.6</f>
        <v>13.6</v>
      </c>
      <c r="T548">
        <f>8.1</f>
        <v>8.1</v>
      </c>
      <c r="U548">
        <f>320</f>
        <v>320</v>
      </c>
      <c r="V548">
        <f>0.06</f>
        <v>0.06</v>
      </c>
      <c r="X548">
        <f>1</f>
        <v>1</v>
      </c>
      <c r="Y548">
        <f>0.14</f>
        <v>0.14000000000000001</v>
      </c>
      <c r="Z548">
        <f>0</f>
        <v>0</v>
      </c>
      <c r="AA548">
        <f>0</f>
        <v>0</v>
      </c>
      <c r="AB548">
        <f>1</f>
        <v>1</v>
      </c>
      <c r="AC548">
        <f>0</f>
        <v>0</v>
      </c>
      <c r="AD548">
        <f>0</f>
        <v>0</v>
      </c>
      <c r="AE548">
        <f>0</f>
        <v>0</v>
      </c>
      <c r="AG548" t="s">
        <v>220</v>
      </c>
      <c r="AH548" t="s">
        <v>411</v>
      </c>
      <c r="AK548" t="s">
        <v>285</v>
      </c>
      <c r="AL548" t="s">
        <v>181</v>
      </c>
      <c r="AM548">
        <f>1.2</f>
        <v>1.2</v>
      </c>
      <c r="AN548">
        <f>0.02</f>
        <v>0.02</v>
      </c>
      <c r="AO548">
        <f>2.9</f>
        <v>2.9</v>
      </c>
      <c r="AP548">
        <f>2.4</f>
        <v>2.4</v>
      </c>
      <c r="AQ548" t="s">
        <v>284</v>
      </c>
      <c r="FB548">
        <f>1.4</f>
        <v>1.4</v>
      </c>
      <c r="FC548" t="s">
        <v>193</v>
      </c>
      <c r="FD548">
        <f>0.8</f>
        <v>0.8</v>
      </c>
      <c r="FE548" t="s">
        <v>193</v>
      </c>
      <c r="FH548">
        <f>2.2</f>
        <v>2.2000000000000002</v>
      </c>
    </row>
    <row r="549" spans="1:164" x14ac:dyDescent="0.25">
      <c r="A549" t="s">
        <v>2146</v>
      </c>
      <c r="B549" t="s">
        <v>170</v>
      </c>
      <c r="C549" s="1">
        <v>46112</v>
      </c>
      <c r="D549" t="s">
        <v>222</v>
      </c>
      <c r="E549" t="s">
        <v>223</v>
      </c>
      <c r="F549" t="s">
        <v>2147</v>
      </c>
      <c r="G549" t="s">
        <v>2148</v>
      </c>
      <c r="H549">
        <v>1336</v>
      </c>
      <c r="I549" t="s">
        <v>2149</v>
      </c>
      <c r="J549">
        <v>56</v>
      </c>
      <c r="K549" t="s">
        <v>4492</v>
      </c>
      <c r="L549" t="s">
        <v>3331</v>
      </c>
      <c r="M549" t="s">
        <v>3421</v>
      </c>
      <c r="N549" t="s">
        <v>2150</v>
      </c>
      <c r="O549" t="s">
        <v>2151</v>
      </c>
      <c r="Q549" t="s">
        <v>3487</v>
      </c>
      <c r="R549">
        <f>1</f>
        <v>1</v>
      </c>
      <c r="S549">
        <f>11.4</f>
        <v>11.4</v>
      </c>
      <c r="T549">
        <f>7.7</f>
        <v>7.7</v>
      </c>
      <c r="U549">
        <f>305</f>
        <v>305</v>
      </c>
      <c r="X549">
        <f>1</f>
        <v>1</v>
      </c>
      <c r="Y549" t="s">
        <v>180</v>
      </c>
      <c r="Z549">
        <f>0</f>
        <v>0</v>
      </c>
      <c r="AA549" t="s">
        <v>179</v>
      </c>
      <c r="AB549" t="s">
        <v>179</v>
      </c>
      <c r="AD549">
        <f>0</f>
        <v>0</v>
      </c>
      <c r="AE549">
        <f>0</f>
        <v>0</v>
      </c>
      <c r="AG549" t="s">
        <v>180</v>
      </c>
      <c r="CC549">
        <f>0.21</f>
        <v>0.21</v>
      </c>
    </row>
    <row r="550" spans="1:164" x14ac:dyDescent="0.25">
      <c r="A550" t="s">
        <v>2152</v>
      </c>
      <c r="B550" t="s">
        <v>766</v>
      </c>
      <c r="C550" s="1">
        <v>46112</v>
      </c>
      <c r="D550" t="s">
        <v>222</v>
      </c>
      <c r="E550" t="s">
        <v>223</v>
      </c>
      <c r="F550" t="s">
        <v>2153</v>
      </c>
      <c r="G550" t="s">
        <v>2154</v>
      </c>
      <c r="H550">
        <v>893</v>
      </c>
      <c r="I550" t="s">
        <v>2154</v>
      </c>
      <c r="J550">
        <v>48</v>
      </c>
      <c r="K550" t="s">
        <v>4492</v>
      </c>
      <c r="L550" t="s">
        <v>3331</v>
      </c>
      <c r="M550" t="s">
        <v>3422</v>
      </c>
      <c r="N550" t="s">
        <v>2155</v>
      </c>
      <c r="O550" t="s">
        <v>2156</v>
      </c>
      <c r="Q550" t="s">
        <v>3487</v>
      </c>
      <c r="R550">
        <f>1</f>
        <v>1</v>
      </c>
      <c r="S550">
        <f>10</f>
        <v>10</v>
      </c>
      <c r="T550">
        <f>7.5</f>
        <v>7.5</v>
      </c>
      <c r="U550">
        <f>567</f>
        <v>567</v>
      </c>
      <c r="X550">
        <f>0</f>
        <v>0</v>
      </c>
      <c r="Y550" t="s">
        <v>180</v>
      </c>
      <c r="Z550">
        <f>0</f>
        <v>0</v>
      </c>
      <c r="AA550" t="s">
        <v>179</v>
      </c>
      <c r="AB550" t="s">
        <v>179</v>
      </c>
      <c r="AD550">
        <f>0</f>
        <v>0</v>
      </c>
      <c r="AE550">
        <f>1</f>
        <v>1</v>
      </c>
      <c r="AG550" t="s">
        <v>180</v>
      </c>
    </row>
    <row r="551" spans="1:164" x14ac:dyDescent="0.25">
      <c r="A551" t="s">
        <v>2157</v>
      </c>
      <c r="B551" t="s">
        <v>170</v>
      </c>
      <c r="C551" s="1">
        <v>46106</v>
      </c>
      <c r="D551" t="s">
        <v>184</v>
      </c>
      <c r="E551" t="s">
        <v>185</v>
      </c>
      <c r="F551" t="s">
        <v>4794</v>
      </c>
      <c r="G551" t="s">
        <v>2158</v>
      </c>
      <c r="H551">
        <v>1456</v>
      </c>
      <c r="I551" t="s">
        <v>2158</v>
      </c>
      <c r="J551">
        <v>73</v>
      </c>
      <c r="K551" t="s">
        <v>4494</v>
      </c>
      <c r="L551" t="s">
        <v>3567</v>
      </c>
      <c r="M551" t="s">
        <v>4573</v>
      </c>
      <c r="N551" t="s">
        <v>4795</v>
      </c>
      <c r="O551" t="s">
        <v>2159</v>
      </c>
      <c r="R551">
        <f>1</f>
        <v>1</v>
      </c>
      <c r="S551">
        <f>8</f>
        <v>8</v>
      </c>
      <c r="T551">
        <f>7.9</f>
        <v>7.9</v>
      </c>
      <c r="U551">
        <f>394</f>
        <v>394</v>
      </c>
      <c r="X551">
        <f>0</f>
        <v>0</v>
      </c>
      <c r="Y551" t="s">
        <v>180</v>
      </c>
      <c r="Z551">
        <f>0</f>
        <v>0</v>
      </c>
      <c r="AA551" t="s">
        <v>179</v>
      </c>
      <c r="AB551" t="s">
        <v>179</v>
      </c>
      <c r="AC551">
        <f>0</f>
        <v>0</v>
      </c>
      <c r="AD551">
        <f>0</f>
        <v>0</v>
      </c>
      <c r="AE551">
        <f>0</f>
        <v>0</v>
      </c>
      <c r="AG551" t="s">
        <v>180</v>
      </c>
      <c r="AH551" t="s">
        <v>193</v>
      </c>
      <c r="AK551" t="s">
        <v>181</v>
      </c>
      <c r="AL551" t="s">
        <v>182</v>
      </c>
      <c r="AM551">
        <f>4.3</f>
        <v>4.3</v>
      </c>
      <c r="AN551">
        <f>0.09</f>
        <v>0.09</v>
      </c>
      <c r="AO551">
        <f>4.7</f>
        <v>4.7</v>
      </c>
      <c r="AP551">
        <f>1.2</f>
        <v>1.2</v>
      </c>
      <c r="AQ551" t="s">
        <v>180</v>
      </c>
      <c r="CC551">
        <f>0.5</f>
        <v>0.5</v>
      </c>
    </row>
    <row r="552" spans="1:164" x14ac:dyDescent="0.25">
      <c r="A552" t="s">
        <v>2160</v>
      </c>
      <c r="B552" t="s">
        <v>170</v>
      </c>
      <c r="C552" s="1">
        <v>46098</v>
      </c>
      <c r="D552" t="s">
        <v>184</v>
      </c>
      <c r="E552" t="s">
        <v>239</v>
      </c>
      <c r="F552" t="s">
        <v>3379</v>
      </c>
      <c r="G552" t="s">
        <v>4394</v>
      </c>
      <c r="H552">
        <v>1138</v>
      </c>
      <c r="I552" t="s">
        <v>4394</v>
      </c>
      <c r="J552">
        <v>70</v>
      </c>
      <c r="K552" t="s">
        <v>4494</v>
      </c>
      <c r="L552" t="s">
        <v>271</v>
      </c>
      <c r="M552" t="s">
        <v>4573</v>
      </c>
      <c r="N552" t="s">
        <v>4796</v>
      </c>
      <c r="O552" t="s">
        <v>2161</v>
      </c>
      <c r="R552">
        <f>1</f>
        <v>1</v>
      </c>
      <c r="S552">
        <f>9.3</f>
        <v>9.3000000000000007</v>
      </c>
      <c r="T552">
        <f>7.5</f>
        <v>7.5</v>
      </c>
      <c r="U552">
        <f>547</f>
        <v>547</v>
      </c>
      <c r="X552">
        <f>0</f>
        <v>0</v>
      </c>
      <c r="Y552" t="s">
        <v>243</v>
      </c>
      <c r="Z552">
        <f>0</f>
        <v>0</v>
      </c>
      <c r="AA552" t="s">
        <v>179</v>
      </c>
      <c r="AB552" t="s">
        <v>179</v>
      </c>
      <c r="AC552">
        <f>0</f>
        <v>0</v>
      </c>
      <c r="AD552">
        <f>0</f>
        <v>0</v>
      </c>
      <c r="AE552">
        <f>0</f>
        <v>0</v>
      </c>
      <c r="AG552" t="s">
        <v>220</v>
      </c>
      <c r="AH552">
        <f>0.4</f>
        <v>0.4</v>
      </c>
      <c r="AK552" t="s">
        <v>286</v>
      </c>
      <c r="AL552" t="s">
        <v>556</v>
      </c>
      <c r="AM552">
        <f>4.7</f>
        <v>4.7</v>
      </c>
      <c r="AN552">
        <f>0.094</f>
        <v>9.4E-2</v>
      </c>
      <c r="AO552">
        <f>3</f>
        <v>3</v>
      </c>
      <c r="AP552">
        <f>1.5</f>
        <v>1.5</v>
      </c>
      <c r="AQ552">
        <f>0.055</f>
        <v>5.5E-2</v>
      </c>
      <c r="CC552">
        <f>0.36</f>
        <v>0.36</v>
      </c>
    </row>
    <row r="553" spans="1:164" x14ac:dyDescent="0.25">
      <c r="A553" t="s">
        <v>2162</v>
      </c>
      <c r="B553" t="s">
        <v>170</v>
      </c>
      <c r="C553" s="1">
        <v>46132</v>
      </c>
      <c r="D553" t="s">
        <v>222</v>
      </c>
      <c r="E553" t="s">
        <v>260</v>
      </c>
      <c r="F553" t="s">
        <v>518</v>
      </c>
      <c r="G553" t="s">
        <v>2163</v>
      </c>
      <c r="H553">
        <v>1546</v>
      </c>
      <c r="I553" t="s">
        <v>2163</v>
      </c>
      <c r="J553">
        <v>65</v>
      </c>
      <c r="K553" t="s">
        <v>4494</v>
      </c>
      <c r="L553" t="s">
        <v>369</v>
      </c>
      <c r="M553" t="s">
        <v>3636</v>
      </c>
      <c r="N553" t="s">
        <v>4797</v>
      </c>
      <c r="O553" t="s">
        <v>2164</v>
      </c>
      <c r="Q553" t="s">
        <v>3487</v>
      </c>
      <c r="R553">
        <f>1</f>
        <v>1</v>
      </c>
      <c r="S553">
        <f>11.6</f>
        <v>11.6</v>
      </c>
      <c r="T553">
        <f>7.5</f>
        <v>7.5</v>
      </c>
      <c r="U553">
        <f>610</f>
        <v>610</v>
      </c>
      <c r="V553">
        <f>0.16</f>
        <v>0.16</v>
      </c>
      <c r="X553">
        <f>0</f>
        <v>0</v>
      </c>
      <c r="Y553">
        <f>0.89</f>
        <v>0.89</v>
      </c>
      <c r="Z553">
        <f>0</f>
        <v>0</v>
      </c>
      <c r="AA553" t="s">
        <v>179</v>
      </c>
      <c r="AB553" t="s">
        <v>179</v>
      </c>
      <c r="AC553">
        <f>0</f>
        <v>0</v>
      </c>
      <c r="AD553">
        <f>0</f>
        <v>0</v>
      </c>
      <c r="AE553">
        <f>0</f>
        <v>0</v>
      </c>
      <c r="AG553" t="s">
        <v>180</v>
      </c>
      <c r="FB553">
        <f>3.8</f>
        <v>3.8</v>
      </c>
      <c r="FC553" t="s">
        <v>220</v>
      </c>
      <c r="FD553">
        <f>2.1</f>
        <v>2.1</v>
      </c>
      <c r="FE553">
        <f>0.54</f>
        <v>0.54</v>
      </c>
      <c r="FH553">
        <f>6.4</f>
        <v>6.4</v>
      </c>
    </row>
    <row r="554" spans="1:164" x14ac:dyDescent="0.25">
      <c r="A554" t="s">
        <v>2165</v>
      </c>
      <c r="B554" t="s">
        <v>170</v>
      </c>
      <c r="C554" s="1">
        <v>46098</v>
      </c>
      <c r="D554" t="s">
        <v>251</v>
      </c>
      <c r="E554" t="s">
        <v>252</v>
      </c>
      <c r="F554" t="s">
        <v>3762</v>
      </c>
      <c r="G554" t="s">
        <v>3762</v>
      </c>
      <c r="H554">
        <v>358</v>
      </c>
      <c r="I554" t="s">
        <v>3762</v>
      </c>
      <c r="J554">
        <v>74</v>
      </c>
      <c r="K554" t="s">
        <v>4492</v>
      </c>
      <c r="L554" t="s">
        <v>271</v>
      </c>
      <c r="M554" t="s">
        <v>2166</v>
      </c>
      <c r="N554" t="s">
        <v>4072</v>
      </c>
      <c r="O554" t="s">
        <v>2167</v>
      </c>
      <c r="Q554" t="s">
        <v>3609</v>
      </c>
      <c r="R554">
        <f>1</f>
        <v>1</v>
      </c>
      <c r="S554">
        <f>9.7</f>
        <v>9.6999999999999993</v>
      </c>
      <c r="T554">
        <f>7.6</f>
        <v>7.6</v>
      </c>
      <c r="U554">
        <f>401</f>
        <v>401</v>
      </c>
      <c r="X554">
        <f>0</f>
        <v>0</v>
      </c>
      <c r="Y554" t="s">
        <v>180</v>
      </c>
      <c r="Z554">
        <f>0</f>
        <v>0</v>
      </c>
      <c r="AA554">
        <f>0</f>
        <v>0</v>
      </c>
      <c r="AB554">
        <f>0</f>
        <v>0</v>
      </c>
      <c r="AD554">
        <f>0</f>
        <v>0</v>
      </c>
      <c r="AE554">
        <f>0</f>
        <v>0</v>
      </c>
      <c r="AG554" t="s">
        <v>180</v>
      </c>
      <c r="AH554" t="s">
        <v>284</v>
      </c>
      <c r="AK554" t="s">
        <v>285</v>
      </c>
      <c r="AL554" t="s">
        <v>286</v>
      </c>
      <c r="AM554">
        <f>4.4</f>
        <v>4.4000000000000004</v>
      </c>
      <c r="AN554">
        <f>0.088</f>
        <v>8.7999999999999995E-2</v>
      </c>
      <c r="AO554">
        <f>8</f>
        <v>8</v>
      </c>
      <c r="AP554">
        <f>6.3</f>
        <v>6.3</v>
      </c>
      <c r="AQ554" t="s">
        <v>284</v>
      </c>
      <c r="CC554" t="s">
        <v>284</v>
      </c>
    </row>
    <row r="555" spans="1:164" x14ac:dyDescent="0.25">
      <c r="A555" t="s">
        <v>2168</v>
      </c>
      <c r="B555" t="s">
        <v>766</v>
      </c>
      <c r="C555" s="1">
        <v>46098</v>
      </c>
      <c r="D555" t="s">
        <v>184</v>
      </c>
      <c r="E555" t="s">
        <v>185</v>
      </c>
      <c r="F555" t="s">
        <v>1002</v>
      </c>
      <c r="G555" t="s">
        <v>2169</v>
      </c>
      <c r="H555">
        <v>440</v>
      </c>
      <c r="I555" t="s">
        <v>2169</v>
      </c>
      <c r="J555">
        <v>100</v>
      </c>
      <c r="K555" t="s">
        <v>4492</v>
      </c>
      <c r="L555" t="s">
        <v>3567</v>
      </c>
      <c r="M555" t="s">
        <v>2170</v>
      </c>
      <c r="N555" t="s">
        <v>2171</v>
      </c>
      <c r="O555" t="s">
        <v>2172</v>
      </c>
      <c r="Q555" t="s">
        <v>3521</v>
      </c>
      <c r="R555">
        <f>1</f>
        <v>1</v>
      </c>
      <c r="S555">
        <f>11.7</f>
        <v>11.7</v>
      </c>
      <c r="T555">
        <f>7.5</f>
        <v>7.5</v>
      </c>
      <c r="U555">
        <f>502</f>
        <v>502</v>
      </c>
      <c r="X555">
        <f>0</f>
        <v>0</v>
      </c>
      <c r="Y555" t="s">
        <v>180</v>
      </c>
      <c r="Z555">
        <f>0</f>
        <v>0</v>
      </c>
      <c r="AA555" t="s">
        <v>179</v>
      </c>
      <c r="AB555" t="s">
        <v>179</v>
      </c>
      <c r="AD555">
        <f>0</f>
        <v>0</v>
      </c>
      <c r="AE555">
        <f>4</f>
        <v>4</v>
      </c>
      <c r="AG555" t="s">
        <v>180</v>
      </c>
      <c r="AH555">
        <f>0.6</f>
        <v>0.6</v>
      </c>
      <c r="AK555" t="s">
        <v>181</v>
      </c>
      <c r="AL555" t="s">
        <v>182</v>
      </c>
      <c r="AM555">
        <f>4.9</f>
        <v>4.9000000000000004</v>
      </c>
      <c r="AN555">
        <f>0.1</f>
        <v>0.1</v>
      </c>
      <c r="AO555">
        <f>3.2</f>
        <v>3.2</v>
      </c>
      <c r="AP555">
        <f>4.9</f>
        <v>4.9000000000000004</v>
      </c>
      <c r="AQ555" t="s">
        <v>180</v>
      </c>
    </row>
    <row r="556" spans="1:164" x14ac:dyDescent="0.25">
      <c r="A556" t="s">
        <v>2173</v>
      </c>
      <c r="B556" t="s">
        <v>170</v>
      </c>
      <c r="C556" s="1">
        <v>46111</v>
      </c>
      <c r="D556" t="s">
        <v>184</v>
      </c>
      <c r="E556" t="s">
        <v>546</v>
      </c>
      <c r="F556" t="s">
        <v>660</v>
      </c>
      <c r="G556" t="s">
        <v>4798</v>
      </c>
      <c r="H556">
        <v>1549</v>
      </c>
      <c r="I556" t="s">
        <v>4799</v>
      </c>
      <c r="J556">
        <v>53</v>
      </c>
      <c r="K556" t="s">
        <v>4494</v>
      </c>
      <c r="L556" t="s">
        <v>266</v>
      </c>
      <c r="M556" t="s">
        <v>4800</v>
      </c>
      <c r="N556" t="s">
        <v>4801</v>
      </c>
      <c r="O556" t="s">
        <v>2174</v>
      </c>
      <c r="R556">
        <f>1</f>
        <v>1</v>
      </c>
      <c r="S556">
        <f>9.7</f>
        <v>9.6999999999999993</v>
      </c>
      <c r="T556">
        <f>7.6</f>
        <v>7.6</v>
      </c>
      <c r="U556">
        <f>463</f>
        <v>463</v>
      </c>
      <c r="V556">
        <f>0.2</f>
        <v>0.2</v>
      </c>
      <c r="X556">
        <f>0</f>
        <v>0</v>
      </c>
      <c r="Y556" t="s">
        <v>180</v>
      </c>
      <c r="Z556">
        <f>0</f>
        <v>0</v>
      </c>
      <c r="AA556" t="s">
        <v>179</v>
      </c>
      <c r="AB556" t="s">
        <v>179</v>
      </c>
      <c r="AC556">
        <f>0</f>
        <v>0</v>
      </c>
      <c r="AD556">
        <f>0</f>
        <v>0</v>
      </c>
      <c r="AE556">
        <f>0</f>
        <v>0</v>
      </c>
      <c r="AG556" t="s">
        <v>180</v>
      </c>
      <c r="FB556">
        <f>0.11</f>
        <v>0.11</v>
      </c>
      <c r="FC556" t="s">
        <v>220</v>
      </c>
      <c r="FD556">
        <f>0.21</f>
        <v>0.21</v>
      </c>
      <c r="FE556">
        <f>0.27</f>
        <v>0.27</v>
      </c>
      <c r="FH556">
        <f>0.59</f>
        <v>0.59</v>
      </c>
    </row>
    <row r="557" spans="1:164" x14ac:dyDescent="0.25">
      <c r="A557" t="s">
        <v>2175</v>
      </c>
      <c r="B557" t="s">
        <v>170</v>
      </c>
      <c r="C557" s="1">
        <v>46098</v>
      </c>
      <c r="D557" t="s">
        <v>184</v>
      </c>
      <c r="E557" t="s">
        <v>185</v>
      </c>
      <c r="F557" t="s">
        <v>3423</v>
      </c>
      <c r="G557" t="s">
        <v>4395</v>
      </c>
      <c r="H557">
        <v>1551</v>
      </c>
      <c r="I557" t="s">
        <v>4395</v>
      </c>
      <c r="J557">
        <v>65</v>
      </c>
      <c r="K557" t="s">
        <v>4492</v>
      </c>
      <c r="L557" t="s">
        <v>266</v>
      </c>
      <c r="M557" s="2" t="s">
        <v>4802</v>
      </c>
      <c r="N557" t="s">
        <v>4073</v>
      </c>
      <c r="O557" t="s">
        <v>2176</v>
      </c>
      <c r="Q557" t="s">
        <v>3522</v>
      </c>
      <c r="R557">
        <f>1</f>
        <v>1</v>
      </c>
      <c r="S557">
        <f>10.4</f>
        <v>10.4</v>
      </c>
      <c r="T557">
        <f>7.3</f>
        <v>7.3</v>
      </c>
      <c r="U557">
        <f>558</f>
        <v>558</v>
      </c>
      <c r="V557" t="s">
        <v>258</v>
      </c>
      <c r="X557">
        <f>0</f>
        <v>0</v>
      </c>
      <c r="Y557" t="s">
        <v>180</v>
      </c>
      <c r="Z557">
        <f>0</f>
        <v>0</v>
      </c>
      <c r="AA557" t="s">
        <v>179</v>
      </c>
      <c r="AB557" t="s">
        <v>179</v>
      </c>
      <c r="AD557">
        <f>0</f>
        <v>0</v>
      </c>
      <c r="AE557">
        <f>0</f>
        <v>0</v>
      </c>
      <c r="AG557" t="s">
        <v>180</v>
      </c>
      <c r="AH557" t="s">
        <v>193</v>
      </c>
      <c r="AI557" t="s">
        <v>286</v>
      </c>
      <c r="AJ557" t="s">
        <v>286</v>
      </c>
      <c r="AK557" t="s">
        <v>181</v>
      </c>
      <c r="AL557" t="s">
        <v>182</v>
      </c>
      <c r="AM557">
        <f>3.8</f>
        <v>3.8</v>
      </c>
      <c r="AN557">
        <f>0.08</f>
        <v>0.08</v>
      </c>
      <c r="AO557">
        <f>9.5</f>
        <v>9.5</v>
      </c>
      <c r="AP557">
        <f>4.7</f>
        <v>4.7</v>
      </c>
      <c r="AQ557" t="s">
        <v>180</v>
      </c>
      <c r="CC557">
        <f>0.17</f>
        <v>0.17</v>
      </c>
      <c r="FB557" t="s">
        <v>180</v>
      </c>
      <c r="FC557" t="s">
        <v>220</v>
      </c>
      <c r="FD557" t="s">
        <v>220</v>
      </c>
      <c r="FE557">
        <f>0.26</f>
        <v>0.26</v>
      </c>
      <c r="FH557">
        <f>0.26</f>
        <v>0.26</v>
      </c>
    </row>
    <row r="558" spans="1:164" x14ac:dyDescent="0.25">
      <c r="A558" t="s">
        <v>2177</v>
      </c>
      <c r="B558" t="s">
        <v>170</v>
      </c>
      <c r="C558" s="1">
        <v>46111</v>
      </c>
      <c r="D558" t="s">
        <v>184</v>
      </c>
      <c r="E558" t="s">
        <v>546</v>
      </c>
      <c r="F558" t="s">
        <v>671</v>
      </c>
      <c r="G558" t="s">
        <v>2178</v>
      </c>
      <c r="H558">
        <v>1552</v>
      </c>
      <c r="I558" t="s">
        <v>2178</v>
      </c>
      <c r="J558">
        <v>53</v>
      </c>
      <c r="K558" t="s">
        <v>4492</v>
      </c>
      <c r="L558" t="s">
        <v>266</v>
      </c>
      <c r="M558" t="s">
        <v>4803</v>
      </c>
      <c r="N558" t="s">
        <v>2179</v>
      </c>
      <c r="O558" t="s">
        <v>2180</v>
      </c>
      <c r="Q558" t="s">
        <v>4804</v>
      </c>
      <c r="R558">
        <f>1</f>
        <v>1</v>
      </c>
      <c r="S558">
        <f>12</f>
        <v>12</v>
      </c>
      <c r="T558">
        <f>8</f>
        <v>8</v>
      </c>
      <c r="U558">
        <f>351</f>
        <v>351</v>
      </c>
      <c r="V558">
        <f>0.19</f>
        <v>0.19</v>
      </c>
      <c r="X558">
        <f>0</f>
        <v>0</v>
      </c>
      <c r="Y558">
        <f>0.1</f>
        <v>0.1</v>
      </c>
      <c r="Z558">
        <f>0</f>
        <v>0</v>
      </c>
      <c r="AA558" t="s">
        <v>179</v>
      </c>
      <c r="AB558" t="s">
        <v>179</v>
      </c>
      <c r="AD558">
        <f>0</f>
        <v>0</v>
      </c>
      <c r="AE558">
        <f>0</f>
        <v>0</v>
      </c>
      <c r="AG558" t="s">
        <v>180</v>
      </c>
      <c r="AH558" t="s">
        <v>193</v>
      </c>
      <c r="AK558" t="s">
        <v>181</v>
      </c>
      <c r="AL558" t="s">
        <v>182</v>
      </c>
      <c r="AM558">
        <f>4</f>
        <v>4</v>
      </c>
      <c r="AN558">
        <f>0.08</f>
        <v>0.08</v>
      </c>
      <c r="AO558">
        <f>16</f>
        <v>16</v>
      </c>
      <c r="AP558">
        <f>1.8</f>
        <v>1.8</v>
      </c>
      <c r="AQ558" t="s">
        <v>180</v>
      </c>
      <c r="FB558">
        <f>0.74</f>
        <v>0.74</v>
      </c>
      <c r="FC558" t="s">
        <v>220</v>
      </c>
      <c r="FD558">
        <f>0.8</f>
        <v>0.8</v>
      </c>
      <c r="FE558">
        <f>0.63</f>
        <v>0.63</v>
      </c>
      <c r="FH558">
        <f>2.2</f>
        <v>2.2000000000000002</v>
      </c>
    </row>
    <row r="559" spans="1:164" x14ac:dyDescent="0.25">
      <c r="A559" t="s">
        <v>2181</v>
      </c>
      <c r="B559" t="s">
        <v>170</v>
      </c>
      <c r="C559" s="1">
        <v>46111</v>
      </c>
      <c r="D559" t="s">
        <v>184</v>
      </c>
      <c r="E559" t="s">
        <v>546</v>
      </c>
      <c r="F559" t="s">
        <v>1855</v>
      </c>
      <c r="G559" t="s">
        <v>2182</v>
      </c>
      <c r="H559">
        <v>1566</v>
      </c>
      <c r="I559" t="s">
        <v>2182</v>
      </c>
      <c r="J559">
        <v>86</v>
      </c>
      <c r="K559" t="s">
        <v>4492</v>
      </c>
      <c r="M559" t="s">
        <v>2183</v>
      </c>
      <c r="N559" t="s">
        <v>2184</v>
      </c>
      <c r="O559" t="s">
        <v>2185</v>
      </c>
      <c r="R559">
        <f>1</f>
        <v>1</v>
      </c>
      <c r="S559">
        <f>10.2</f>
        <v>10.199999999999999</v>
      </c>
      <c r="T559">
        <f>7.5</f>
        <v>7.5</v>
      </c>
      <c r="U559">
        <f>537</f>
        <v>537</v>
      </c>
      <c r="X559">
        <f>0</f>
        <v>0</v>
      </c>
      <c r="Y559" t="s">
        <v>180</v>
      </c>
      <c r="Z559">
        <f>0</f>
        <v>0</v>
      </c>
      <c r="AA559" t="s">
        <v>179</v>
      </c>
      <c r="AB559" t="s">
        <v>179</v>
      </c>
      <c r="AD559">
        <f>0</f>
        <v>0</v>
      </c>
      <c r="AE559">
        <f>0</f>
        <v>0</v>
      </c>
      <c r="AG559" t="s">
        <v>180</v>
      </c>
      <c r="AH559" t="s">
        <v>193</v>
      </c>
      <c r="AK559" t="s">
        <v>181</v>
      </c>
      <c r="AL559" t="s">
        <v>182</v>
      </c>
      <c r="AM559">
        <f>11</f>
        <v>11</v>
      </c>
      <c r="AN559">
        <f>0.22</f>
        <v>0.22</v>
      </c>
      <c r="AO559">
        <f>8.2</f>
        <v>8.1999999999999993</v>
      </c>
      <c r="AP559">
        <f>5.1</f>
        <v>5.0999999999999996</v>
      </c>
      <c r="AQ559" t="s">
        <v>180</v>
      </c>
    </row>
    <row r="560" spans="1:164" x14ac:dyDescent="0.25">
      <c r="A560" t="s">
        <v>2186</v>
      </c>
      <c r="B560" t="s">
        <v>766</v>
      </c>
      <c r="C560" s="1">
        <v>46104</v>
      </c>
      <c r="D560" t="s">
        <v>184</v>
      </c>
      <c r="E560" t="s">
        <v>546</v>
      </c>
      <c r="F560" t="s">
        <v>1855</v>
      </c>
      <c r="G560" t="s">
        <v>2187</v>
      </c>
      <c r="H560">
        <v>1573</v>
      </c>
      <c r="I560" t="s">
        <v>2187</v>
      </c>
      <c r="J560">
        <v>77</v>
      </c>
      <c r="K560" t="s">
        <v>4494</v>
      </c>
      <c r="M560" t="s">
        <v>2188</v>
      </c>
      <c r="N560" t="s">
        <v>4805</v>
      </c>
      <c r="O560" t="s">
        <v>2189</v>
      </c>
      <c r="R560">
        <f>1</f>
        <v>1</v>
      </c>
      <c r="S560">
        <f>10.4</f>
        <v>10.4</v>
      </c>
      <c r="T560">
        <f>7.9</f>
        <v>7.9</v>
      </c>
      <c r="U560">
        <f>283</f>
        <v>283</v>
      </c>
      <c r="X560">
        <f>0</f>
        <v>0</v>
      </c>
      <c r="Y560">
        <f>0.2</f>
        <v>0.2</v>
      </c>
      <c r="Z560">
        <f>0</f>
        <v>0</v>
      </c>
      <c r="AA560">
        <f>24</f>
        <v>24</v>
      </c>
      <c r="AB560" t="s">
        <v>179</v>
      </c>
      <c r="AC560">
        <f>0</f>
        <v>0</v>
      </c>
      <c r="AD560">
        <f>0</f>
        <v>0</v>
      </c>
      <c r="AE560">
        <f>38</f>
        <v>38</v>
      </c>
      <c r="AG560" t="s">
        <v>180</v>
      </c>
    </row>
    <row r="561" spans="1:164" x14ac:dyDescent="0.25">
      <c r="A561" t="s">
        <v>2190</v>
      </c>
      <c r="B561" t="s">
        <v>766</v>
      </c>
      <c r="C561" s="1">
        <v>46098</v>
      </c>
      <c r="D561" t="s">
        <v>222</v>
      </c>
      <c r="E561" t="s">
        <v>260</v>
      </c>
      <c r="F561" t="s">
        <v>4806</v>
      </c>
      <c r="G561" t="s">
        <v>4807</v>
      </c>
      <c r="H561">
        <v>1601</v>
      </c>
      <c r="I561" t="s">
        <v>4808</v>
      </c>
      <c r="J561">
        <v>60</v>
      </c>
      <c r="K561" t="s">
        <v>4494</v>
      </c>
      <c r="M561" t="s">
        <v>4809</v>
      </c>
      <c r="N561" t="s">
        <v>4810</v>
      </c>
      <c r="O561" t="s">
        <v>2191</v>
      </c>
      <c r="Q561" t="s">
        <v>4811</v>
      </c>
      <c r="R561">
        <f>1</f>
        <v>1</v>
      </c>
      <c r="S561">
        <f>12.4</f>
        <v>12.4</v>
      </c>
      <c r="T561">
        <f>7.4</f>
        <v>7.4</v>
      </c>
      <c r="U561">
        <f>534</f>
        <v>534</v>
      </c>
      <c r="X561">
        <f>0</f>
        <v>0</v>
      </c>
      <c r="Y561">
        <f>0.32</f>
        <v>0.32</v>
      </c>
      <c r="Z561">
        <f>0</f>
        <v>0</v>
      </c>
      <c r="AA561">
        <f>13</f>
        <v>13</v>
      </c>
      <c r="AB561" t="s">
        <v>179</v>
      </c>
      <c r="AC561">
        <f>0</f>
        <v>0</v>
      </c>
      <c r="AD561">
        <f>0</f>
        <v>0</v>
      </c>
      <c r="AE561">
        <f>1</f>
        <v>1</v>
      </c>
      <c r="AG561" t="s">
        <v>220</v>
      </c>
      <c r="CC561" t="s">
        <v>180</v>
      </c>
    </row>
    <row r="562" spans="1:164" x14ac:dyDescent="0.25">
      <c r="A562" t="s">
        <v>2192</v>
      </c>
      <c r="B562" t="s">
        <v>170</v>
      </c>
      <c r="C562" s="1">
        <v>46105</v>
      </c>
      <c r="D562" t="s">
        <v>184</v>
      </c>
      <c r="E562" t="s">
        <v>185</v>
      </c>
      <c r="F562" t="s">
        <v>1084</v>
      </c>
      <c r="G562" t="s">
        <v>2193</v>
      </c>
      <c r="H562">
        <v>574</v>
      </c>
      <c r="I562" t="s">
        <v>2193</v>
      </c>
      <c r="J562">
        <v>52</v>
      </c>
      <c r="K562" t="s">
        <v>4494</v>
      </c>
      <c r="L562" t="s">
        <v>3567</v>
      </c>
      <c r="M562" t="s">
        <v>2194</v>
      </c>
      <c r="N562" t="s">
        <v>4812</v>
      </c>
      <c r="O562" t="s">
        <v>2195</v>
      </c>
      <c r="R562">
        <f>1</f>
        <v>1</v>
      </c>
      <c r="S562">
        <f>7.9</f>
        <v>7.9</v>
      </c>
      <c r="T562">
        <f>7.8</f>
        <v>7.8</v>
      </c>
      <c r="U562">
        <f>440</f>
        <v>440</v>
      </c>
      <c r="X562">
        <f>0</f>
        <v>0</v>
      </c>
      <c r="Y562" t="s">
        <v>180</v>
      </c>
      <c r="Z562">
        <f>0</f>
        <v>0</v>
      </c>
      <c r="AA562">
        <f>56</f>
        <v>56</v>
      </c>
      <c r="AB562">
        <f>32</f>
        <v>32</v>
      </c>
      <c r="AC562">
        <f>0</f>
        <v>0</v>
      </c>
      <c r="AD562">
        <f>0</f>
        <v>0</v>
      </c>
      <c r="AE562">
        <f>0</f>
        <v>0</v>
      </c>
      <c r="AG562" t="s">
        <v>180</v>
      </c>
    </row>
    <row r="563" spans="1:164" x14ac:dyDescent="0.25">
      <c r="A563" t="s">
        <v>2196</v>
      </c>
      <c r="B563" t="s">
        <v>170</v>
      </c>
      <c r="C563" s="1">
        <v>46122</v>
      </c>
      <c r="D563" t="s">
        <v>184</v>
      </c>
      <c r="E563" t="s">
        <v>185</v>
      </c>
      <c r="F563" t="s">
        <v>1084</v>
      </c>
      <c r="G563" t="s">
        <v>2197</v>
      </c>
      <c r="H563">
        <v>1579</v>
      </c>
      <c r="I563" t="s">
        <v>2198</v>
      </c>
      <c r="J563">
        <v>98</v>
      </c>
      <c r="K563" t="s">
        <v>4494</v>
      </c>
      <c r="L563" t="s">
        <v>266</v>
      </c>
      <c r="M563" t="s">
        <v>2199</v>
      </c>
      <c r="N563" t="s">
        <v>2200</v>
      </c>
      <c r="O563" t="s">
        <v>2201</v>
      </c>
      <c r="Q563" t="s">
        <v>2202</v>
      </c>
      <c r="R563">
        <f>1</f>
        <v>1</v>
      </c>
      <c r="S563">
        <f>9.2</f>
        <v>9.1999999999999993</v>
      </c>
      <c r="T563">
        <f>7.9</f>
        <v>7.9</v>
      </c>
      <c r="U563">
        <f>420</f>
        <v>420</v>
      </c>
      <c r="V563">
        <f>0.17</f>
        <v>0.17</v>
      </c>
      <c r="X563">
        <f>0</f>
        <v>0</v>
      </c>
      <c r="Y563">
        <f>0.2</f>
        <v>0.2</v>
      </c>
      <c r="Z563">
        <f>0</f>
        <v>0</v>
      </c>
      <c r="AA563" t="s">
        <v>179</v>
      </c>
      <c r="AB563" t="s">
        <v>179</v>
      </c>
      <c r="AC563">
        <f>0</f>
        <v>0</v>
      </c>
      <c r="AD563">
        <f>0</f>
        <v>0</v>
      </c>
      <c r="AE563">
        <f>0</f>
        <v>0</v>
      </c>
      <c r="AG563" t="s">
        <v>180</v>
      </c>
      <c r="FB563">
        <f>1.5</f>
        <v>1.5</v>
      </c>
      <c r="FC563" t="s">
        <v>220</v>
      </c>
      <c r="FD563">
        <f>1.2</f>
        <v>1.2</v>
      </c>
      <c r="FE563">
        <f>0.69</f>
        <v>0.69</v>
      </c>
      <c r="FH563">
        <f>3.4</f>
        <v>3.4</v>
      </c>
    </row>
    <row r="564" spans="1:164" x14ac:dyDescent="0.25">
      <c r="A564" t="s">
        <v>2203</v>
      </c>
      <c r="B564" t="s">
        <v>170</v>
      </c>
      <c r="C564" s="1">
        <v>46097</v>
      </c>
      <c r="D564" t="s">
        <v>184</v>
      </c>
      <c r="E564" t="s">
        <v>546</v>
      </c>
      <c r="F564" t="s">
        <v>547</v>
      </c>
      <c r="G564" t="s">
        <v>2204</v>
      </c>
      <c r="H564">
        <v>1638</v>
      </c>
      <c r="I564" t="s">
        <v>2204</v>
      </c>
      <c r="J564">
        <v>80</v>
      </c>
      <c r="K564" t="s">
        <v>4492</v>
      </c>
      <c r="L564" t="s">
        <v>266</v>
      </c>
      <c r="M564" t="s">
        <v>2205</v>
      </c>
      <c r="N564" t="s">
        <v>2206</v>
      </c>
      <c r="O564" t="s">
        <v>2207</v>
      </c>
      <c r="R564">
        <f>1</f>
        <v>1</v>
      </c>
      <c r="S564">
        <f>11.3</f>
        <v>11.3</v>
      </c>
      <c r="T564">
        <f>7.6</f>
        <v>7.6</v>
      </c>
      <c r="U564">
        <f>412</f>
        <v>412</v>
      </c>
      <c r="V564">
        <f>0.18</f>
        <v>0.18</v>
      </c>
      <c r="X564">
        <f>0</f>
        <v>0</v>
      </c>
      <c r="Y564">
        <f>0.2</f>
        <v>0.2</v>
      </c>
      <c r="Z564">
        <f>0</f>
        <v>0</v>
      </c>
      <c r="AA564" t="s">
        <v>179</v>
      </c>
      <c r="AB564" t="s">
        <v>179</v>
      </c>
      <c r="AD564">
        <f>0</f>
        <v>0</v>
      </c>
      <c r="AE564">
        <f>0</f>
        <v>0</v>
      </c>
      <c r="AG564" t="s">
        <v>180</v>
      </c>
      <c r="AI564">
        <f>0.06</f>
        <v>0.06</v>
      </c>
      <c r="AJ564" t="s">
        <v>286</v>
      </c>
      <c r="FB564">
        <f>0.23</f>
        <v>0.23</v>
      </c>
      <c r="FC564" t="s">
        <v>220</v>
      </c>
      <c r="FD564">
        <f>0.44</f>
        <v>0.44</v>
      </c>
      <c r="FE564">
        <f>0.31</f>
        <v>0.31</v>
      </c>
      <c r="FH564">
        <f>0.98</f>
        <v>0.98</v>
      </c>
    </row>
    <row r="565" spans="1:164" x14ac:dyDescent="0.25">
      <c r="A565" t="s">
        <v>2208</v>
      </c>
      <c r="B565" t="s">
        <v>170</v>
      </c>
      <c r="C565" s="1">
        <v>46106</v>
      </c>
      <c r="D565" t="s">
        <v>251</v>
      </c>
      <c r="E565" t="s">
        <v>252</v>
      </c>
      <c r="F565" t="s">
        <v>3691</v>
      </c>
      <c r="G565" t="s">
        <v>2209</v>
      </c>
      <c r="H565">
        <v>1466</v>
      </c>
      <c r="I565" t="s">
        <v>2210</v>
      </c>
      <c r="J565">
        <v>57</v>
      </c>
      <c r="K565" t="s">
        <v>4494</v>
      </c>
      <c r="L565" t="s">
        <v>3567</v>
      </c>
      <c r="M565" t="s">
        <v>4543</v>
      </c>
      <c r="N565" t="s">
        <v>3763</v>
      </c>
      <c r="O565" t="s">
        <v>2211</v>
      </c>
      <c r="Q565" t="s">
        <v>257</v>
      </c>
      <c r="R565">
        <f>1</f>
        <v>1</v>
      </c>
      <c r="S565">
        <f>7.8</f>
        <v>7.8</v>
      </c>
      <c r="T565">
        <f>7.8</f>
        <v>7.8</v>
      </c>
      <c r="U565">
        <f>319</f>
        <v>319</v>
      </c>
      <c r="X565">
        <f>0</f>
        <v>0</v>
      </c>
      <c r="Y565">
        <f>0.1</f>
        <v>0.1</v>
      </c>
      <c r="Z565">
        <f>0</f>
        <v>0</v>
      </c>
      <c r="AA565">
        <f>0</f>
        <v>0</v>
      </c>
      <c r="AB565">
        <f>0</f>
        <v>0</v>
      </c>
      <c r="AC565">
        <f>0</f>
        <v>0</v>
      </c>
      <c r="AD565">
        <f>0</f>
        <v>0</v>
      </c>
      <c r="AE565">
        <f>0</f>
        <v>0</v>
      </c>
      <c r="AG565" t="s">
        <v>180</v>
      </c>
    </row>
    <row r="566" spans="1:164" x14ac:dyDescent="0.25">
      <c r="A566" t="s">
        <v>2212</v>
      </c>
      <c r="B566" t="s">
        <v>766</v>
      </c>
      <c r="C566" s="1">
        <v>46114</v>
      </c>
      <c r="D566" t="s">
        <v>222</v>
      </c>
      <c r="E566" t="s">
        <v>223</v>
      </c>
      <c r="F566" t="s">
        <v>2213</v>
      </c>
      <c r="G566" t="s">
        <v>2213</v>
      </c>
      <c r="H566">
        <v>1651</v>
      </c>
      <c r="I566" t="s">
        <v>2214</v>
      </c>
      <c r="J566">
        <v>62</v>
      </c>
      <c r="K566" t="s">
        <v>4492</v>
      </c>
      <c r="M566" t="s">
        <v>2215</v>
      </c>
      <c r="N566" t="s">
        <v>3637</v>
      </c>
      <c r="O566" t="s">
        <v>2216</v>
      </c>
      <c r="R566">
        <f>1</f>
        <v>1</v>
      </c>
      <c r="S566">
        <f>10.2</f>
        <v>10.199999999999999</v>
      </c>
      <c r="T566">
        <f>7.6</f>
        <v>7.6</v>
      </c>
      <c r="U566">
        <f>557</f>
        <v>557</v>
      </c>
      <c r="X566">
        <f>0</f>
        <v>0</v>
      </c>
      <c r="Y566">
        <f>0.23</f>
        <v>0.23</v>
      </c>
      <c r="Z566">
        <f>0</f>
        <v>0</v>
      </c>
      <c r="AA566" t="s">
        <v>1187</v>
      </c>
      <c r="AB566">
        <f>94</f>
        <v>94</v>
      </c>
      <c r="AD566">
        <f>0</f>
        <v>0</v>
      </c>
      <c r="AE566">
        <f>0</f>
        <v>0</v>
      </c>
      <c r="AG566" t="s">
        <v>180</v>
      </c>
      <c r="CC566">
        <f>1.3</f>
        <v>1.3</v>
      </c>
    </row>
    <row r="567" spans="1:164" x14ac:dyDescent="0.25">
      <c r="A567" t="s">
        <v>2217</v>
      </c>
      <c r="B567" t="s">
        <v>170</v>
      </c>
      <c r="C567" s="1">
        <v>46112</v>
      </c>
      <c r="D567" t="s">
        <v>251</v>
      </c>
      <c r="E567" t="s">
        <v>185</v>
      </c>
      <c r="F567" t="s">
        <v>3369</v>
      </c>
      <c r="G567" t="s">
        <v>4396</v>
      </c>
      <c r="H567">
        <v>1666</v>
      </c>
      <c r="I567" t="s">
        <v>4397</v>
      </c>
      <c r="J567">
        <v>70</v>
      </c>
      <c r="K567" t="s">
        <v>3334</v>
      </c>
      <c r="L567" t="s">
        <v>266</v>
      </c>
      <c r="M567" t="s">
        <v>4543</v>
      </c>
      <c r="N567" t="s">
        <v>3424</v>
      </c>
      <c r="O567" t="s">
        <v>2218</v>
      </c>
      <c r="Q567" t="s">
        <v>4727</v>
      </c>
      <c r="R567">
        <f>1</f>
        <v>1</v>
      </c>
      <c r="S567">
        <f>8.3</f>
        <v>8.3000000000000007</v>
      </c>
      <c r="T567">
        <f>7.5</f>
        <v>7.5</v>
      </c>
      <c r="U567">
        <f>359</f>
        <v>359</v>
      </c>
      <c r="V567" t="s">
        <v>258</v>
      </c>
      <c r="X567">
        <f>0</f>
        <v>0</v>
      </c>
      <c r="Y567">
        <f>0.19</f>
        <v>0.19</v>
      </c>
      <c r="Z567">
        <f>0</f>
        <v>0</v>
      </c>
      <c r="AA567">
        <f>0</f>
        <v>0</v>
      </c>
      <c r="AB567">
        <f>0</f>
        <v>0</v>
      </c>
      <c r="AC567">
        <f>0</f>
        <v>0</v>
      </c>
      <c r="AD567">
        <f>0</f>
        <v>0</v>
      </c>
      <c r="AE567">
        <f>0</f>
        <v>0</v>
      </c>
      <c r="AG567" t="s">
        <v>180</v>
      </c>
      <c r="AH567" t="s">
        <v>284</v>
      </c>
      <c r="AI567">
        <f>0.01</f>
        <v>0.01</v>
      </c>
      <c r="AJ567" t="s">
        <v>286</v>
      </c>
      <c r="AK567" t="s">
        <v>285</v>
      </c>
      <c r="AL567" t="s">
        <v>286</v>
      </c>
      <c r="AM567">
        <f>5.4</f>
        <v>5.4</v>
      </c>
      <c r="AN567">
        <f>0.108</f>
        <v>0.108</v>
      </c>
      <c r="AO567">
        <f>12</f>
        <v>12</v>
      </c>
      <c r="AP567">
        <f>2.1</f>
        <v>2.1</v>
      </c>
      <c r="AQ567" t="s">
        <v>284</v>
      </c>
      <c r="CC567" t="s">
        <v>284</v>
      </c>
      <c r="FB567" t="s">
        <v>646</v>
      </c>
      <c r="FC567" t="s">
        <v>646</v>
      </c>
      <c r="FD567" t="s">
        <v>646</v>
      </c>
      <c r="FE567" t="s">
        <v>646</v>
      </c>
      <c r="FH567" t="s">
        <v>646</v>
      </c>
    </row>
    <row r="568" spans="1:164" x14ac:dyDescent="0.25">
      <c r="A568" t="s">
        <v>2219</v>
      </c>
      <c r="B568" t="s">
        <v>170</v>
      </c>
      <c r="C568" s="1">
        <v>46112</v>
      </c>
      <c r="D568" t="s">
        <v>251</v>
      </c>
      <c r="E568" t="s">
        <v>185</v>
      </c>
      <c r="F568" t="s">
        <v>3369</v>
      </c>
      <c r="G568" t="s">
        <v>2220</v>
      </c>
      <c r="H568">
        <v>1671</v>
      </c>
      <c r="I568" t="s">
        <v>2221</v>
      </c>
      <c r="J568">
        <v>70</v>
      </c>
      <c r="K568" t="s">
        <v>3334</v>
      </c>
      <c r="L568" t="s">
        <v>266</v>
      </c>
      <c r="M568" t="s">
        <v>4543</v>
      </c>
      <c r="N568" t="s">
        <v>2222</v>
      </c>
      <c r="O568" t="s">
        <v>2223</v>
      </c>
      <c r="Q568" t="s">
        <v>1184</v>
      </c>
      <c r="R568">
        <f>1</f>
        <v>1</v>
      </c>
      <c r="S568">
        <f>7.3</f>
        <v>7.3</v>
      </c>
      <c r="T568">
        <f>7.7</f>
        <v>7.7</v>
      </c>
      <c r="U568">
        <f>357</f>
        <v>357</v>
      </c>
      <c r="V568" t="s">
        <v>258</v>
      </c>
      <c r="X568">
        <f>0</f>
        <v>0</v>
      </c>
      <c r="Y568">
        <f>0.18</f>
        <v>0.18</v>
      </c>
      <c r="Z568">
        <f>0</f>
        <v>0</v>
      </c>
      <c r="AA568">
        <f>55</f>
        <v>55</v>
      </c>
      <c r="AB568">
        <f>6</f>
        <v>6</v>
      </c>
      <c r="AC568">
        <f>0</f>
        <v>0</v>
      </c>
      <c r="AD568">
        <f>0</f>
        <v>0</v>
      </c>
      <c r="AE568">
        <f>0</f>
        <v>0</v>
      </c>
      <c r="AG568" t="s">
        <v>180</v>
      </c>
      <c r="AI568" t="s">
        <v>286</v>
      </c>
      <c r="AJ568" t="s">
        <v>286</v>
      </c>
      <c r="CC568" t="s">
        <v>284</v>
      </c>
      <c r="FB568" t="s">
        <v>646</v>
      </c>
      <c r="FC568" t="s">
        <v>646</v>
      </c>
      <c r="FD568" t="s">
        <v>646</v>
      </c>
      <c r="FE568" t="s">
        <v>646</v>
      </c>
      <c r="FH568" t="s">
        <v>646</v>
      </c>
    </row>
    <row r="569" spans="1:164" x14ac:dyDescent="0.25">
      <c r="A569" t="s">
        <v>2224</v>
      </c>
      <c r="B569" t="s">
        <v>170</v>
      </c>
      <c r="C569" s="1">
        <v>46098</v>
      </c>
      <c r="D569" t="s">
        <v>251</v>
      </c>
      <c r="E569" t="s">
        <v>252</v>
      </c>
      <c r="F569" t="s">
        <v>4244</v>
      </c>
      <c r="G569" t="s">
        <v>3764</v>
      </c>
      <c r="H569">
        <v>626</v>
      </c>
      <c r="I569" t="s">
        <v>3764</v>
      </c>
      <c r="J569">
        <v>73</v>
      </c>
      <c r="K569" t="s">
        <v>4492</v>
      </c>
      <c r="L569" t="s">
        <v>3567</v>
      </c>
      <c r="M569" t="s">
        <v>4543</v>
      </c>
      <c r="N569" t="s">
        <v>3765</v>
      </c>
      <c r="O569" t="s">
        <v>2225</v>
      </c>
      <c r="Q569" t="s">
        <v>2065</v>
      </c>
      <c r="R569">
        <f>1</f>
        <v>1</v>
      </c>
      <c r="S569">
        <f>10.1</f>
        <v>10.1</v>
      </c>
      <c r="T569">
        <f>6.7</f>
        <v>6.7</v>
      </c>
      <c r="U569">
        <f>23</f>
        <v>23</v>
      </c>
      <c r="X569">
        <f>0</f>
        <v>0</v>
      </c>
      <c r="Y569" t="s">
        <v>180</v>
      </c>
      <c r="Z569">
        <f>0</f>
        <v>0</v>
      </c>
      <c r="AA569">
        <f>0</f>
        <v>0</v>
      </c>
      <c r="AB569">
        <f>0</f>
        <v>0</v>
      </c>
      <c r="AD569">
        <f>0</f>
        <v>0</v>
      </c>
      <c r="AE569">
        <f>0</f>
        <v>0</v>
      </c>
      <c r="AG569" t="s">
        <v>180</v>
      </c>
    </row>
    <row r="570" spans="1:164" x14ac:dyDescent="0.25">
      <c r="A570" t="s">
        <v>2226</v>
      </c>
      <c r="B570" t="s">
        <v>170</v>
      </c>
      <c r="C570" s="1">
        <v>46097</v>
      </c>
      <c r="D570" t="s">
        <v>251</v>
      </c>
      <c r="E570" t="s">
        <v>252</v>
      </c>
      <c r="F570" t="s">
        <v>4280</v>
      </c>
      <c r="G570" t="s">
        <v>3766</v>
      </c>
      <c r="H570">
        <v>1094</v>
      </c>
      <c r="I570" t="s">
        <v>3766</v>
      </c>
      <c r="J570">
        <v>60</v>
      </c>
      <c r="K570" t="s">
        <v>4492</v>
      </c>
      <c r="L570" t="s">
        <v>271</v>
      </c>
      <c r="M570" t="s">
        <v>3638</v>
      </c>
      <c r="N570" t="s">
        <v>3639</v>
      </c>
      <c r="O570" t="s">
        <v>2227</v>
      </c>
      <c r="Q570" t="s">
        <v>3640</v>
      </c>
      <c r="R570">
        <f>1</f>
        <v>1</v>
      </c>
      <c r="S570">
        <f>9.5</f>
        <v>9.5</v>
      </c>
      <c r="T570">
        <f>7.9</f>
        <v>7.9</v>
      </c>
      <c r="U570">
        <f>337</f>
        <v>337</v>
      </c>
      <c r="X570">
        <f>0</f>
        <v>0</v>
      </c>
      <c r="Y570">
        <f>0.28</f>
        <v>0.28000000000000003</v>
      </c>
      <c r="Z570">
        <f>0</f>
        <v>0</v>
      </c>
      <c r="AA570">
        <f>0</f>
        <v>0</v>
      </c>
      <c r="AB570">
        <f>0</f>
        <v>0</v>
      </c>
      <c r="AD570">
        <f>0</f>
        <v>0</v>
      </c>
      <c r="AE570">
        <f>0</f>
        <v>0</v>
      </c>
      <c r="AG570" t="s">
        <v>180</v>
      </c>
      <c r="AH570" t="s">
        <v>284</v>
      </c>
      <c r="AK570" t="s">
        <v>285</v>
      </c>
      <c r="AL570" t="s">
        <v>286</v>
      </c>
      <c r="AM570">
        <f>4.9</f>
        <v>4.9000000000000004</v>
      </c>
      <c r="AN570">
        <f>0.098</f>
        <v>9.8000000000000004E-2</v>
      </c>
      <c r="AO570">
        <f>3.5</f>
        <v>3.5</v>
      </c>
      <c r="AP570">
        <f>1.9</f>
        <v>1.9</v>
      </c>
      <c r="AQ570" t="s">
        <v>284</v>
      </c>
    </row>
    <row r="571" spans="1:164" x14ac:dyDescent="0.25">
      <c r="A571" t="s">
        <v>2228</v>
      </c>
      <c r="B571" t="s">
        <v>170</v>
      </c>
      <c r="C571" s="1">
        <v>46097</v>
      </c>
      <c r="D571" t="s">
        <v>184</v>
      </c>
      <c r="E571" t="s">
        <v>185</v>
      </c>
      <c r="F571" t="s">
        <v>2229</v>
      </c>
      <c r="G571" t="s">
        <v>2230</v>
      </c>
      <c r="H571">
        <v>1520</v>
      </c>
      <c r="I571" t="s">
        <v>2231</v>
      </c>
      <c r="J571">
        <v>80</v>
      </c>
      <c r="K571" t="s">
        <v>4492</v>
      </c>
      <c r="M571" t="s">
        <v>4813</v>
      </c>
      <c r="N571" t="s">
        <v>2232</v>
      </c>
      <c r="O571" t="s">
        <v>2233</v>
      </c>
      <c r="R571">
        <f>1</f>
        <v>1</v>
      </c>
      <c r="S571">
        <f>9</f>
        <v>9</v>
      </c>
      <c r="T571">
        <f>7.7</f>
        <v>7.7</v>
      </c>
      <c r="U571">
        <f>422</f>
        <v>422</v>
      </c>
      <c r="X571">
        <f>0</f>
        <v>0</v>
      </c>
      <c r="Y571" t="s">
        <v>180</v>
      </c>
      <c r="Z571">
        <f>0</f>
        <v>0</v>
      </c>
      <c r="AA571" t="s">
        <v>179</v>
      </c>
      <c r="AB571" t="s">
        <v>179</v>
      </c>
      <c r="AD571">
        <f>0</f>
        <v>0</v>
      </c>
      <c r="AE571">
        <f>0</f>
        <v>0</v>
      </c>
      <c r="AG571" t="s">
        <v>180</v>
      </c>
    </row>
    <row r="572" spans="1:164" x14ac:dyDescent="0.25">
      <c r="A572" t="s">
        <v>2234</v>
      </c>
      <c r="B572" t="s">
        <v>170</v>
      </c>
      <c r="C572" s="1">
        <v>46106</v>
      </c>
      <c r="D572" t="s">
        <v>251</v>
      </c>
      <c r="E572" t="s">
        <v>252</v>
      </c>
      <c r="F572" t="s">
        <v>3691</v>
      </c>
      <c r="G572" t="s">
        <v>4074</v>
      </c>
      <c r="H572">
        <v>125</v>
      </c>
      <c r="I572" t="s">
        <v>4074</v>
      </c>
      <c r="J572">
        <v>58</v>
      </c>
      <c r="K572" t="s">
        <v>4492</v>
      </c>
      <c r="L572" t="s">
        <v>271</v>
      </c>
      <c r="M572" t="s">
        <v>4573</v>
      </c>
      <c r="N572" t="s">
        <v>4814</v>
      </c>
      <c r="O572" t="s">
        <v>2235</v>
      </c>
      <c r="Q572" t="s">
        <v>257</v>
      </c>
      <c r="R572">
        <f>1</f>
        <v>1</v>
      </c>
      <c r="S572">
        <f>8.7</f>
        <v>8.6999999999999993</v>
      </c>
      <c r="T572">
        <f>7.3</f>
        <v>7.3</v>
      </c>
      <c r="U572">
        <f>132</f>
        <v>132</v>
      </c>
      <c r="X572">
        <f>0</f>
        <v>0</v>
      </c>
      <c r="Y572">
        <f>0.14</f>
        <v>0.14000000000000001</v>
      </c>
      <c r="Z572">
        <f>0</f>
        <v>0</v>
      </c>
      <c r="AA572">
        <f>3</f>
        <v>3</v>
      </c>
      <c r="AB572">
        <f>0</f>
        <v>0</v>
      </c>
      <c r="AD572">
        <f>0</f>
        <v>0</v>
      </c>
      <c r="AE572">
        <f>0</f>
        <v>0</v>
      </c>
      <c r="AG572" t="s">
        <v>180</v>
      </c>
      <c r="AH572" t="s">
        <v>284</v>
      </c>
      <c r="AK572" t="s">
        <v>285</v>
      </c>
      <c r="AL572" t="s">
        <v>286</v>
      </c>
      <c r="AM572">
        <f>1.7</f>
        <v>1.7</v>
      </c>
      <c r="AN572">
        <f>0.034</f>
        <v>3.4000000000000002E-2</v>
      </c>
      <c r="AO572">
        <f>6</f>
        <v>6</v>
      </c>
      <c r="AP572">
        <f>1.4</f>
        <v>1.4</v>
      </c>
      <c r="AQ572" t="s">
        <v>284</v>
      </c>
    </row>
    <row r="573" spans="1:164" x14ac:dyDescent="0.25">
      <c r="A573" t="s">
        <v>2236</v>
      </c>
      <c r="B573" t="s">
        <v>170</v>
      </c>
      <c r="C573" s="1">
        <v>46105</v>
      </c>
      <c r="D573" t="s">
        <v>184</v>
      </c>
      <c r="E573" t="s">
        <v>185</v>
      </c>
      <c r="F573" t="s">
        <v>384</v>
      </c>
      <c r="G573" t="s">
        <v>2237</v>
      </c>
      <c r="H573">
        <v>1007</v>
      </c>
      <c r="I573" t="s">
        <v>2237</v>
      </c>
      <c r="J573">
        <v>53</v>
      </c>
      <c r="K573" t="s">
        <v>4494</v>
      </c>
      <c r="L573" t="s">
        <v>3566</v>
      </c>
      <c r="M573" t="s">
        <v>2238</v>
      </c>
      <c r="N573" t="s">
        <v>2239</v>
      </c>
      <c r="R573">
        <f>1</f>
        <v>1</v>
      </c>
      <c r="S573">
        <f>10.4</f>
        <v>10.4</v>
      </c>
      <c r="T573">
        <f>7.9</f>
        <v>7.9</v>
      </c>
      <c r="U573">
        <f>448</f>
        <v>448</v>
      </c>
      <c r="X573">
        <f>0</f>
        <v>0</v>
      </c>
      <c r="Y573">
        <f>0.1</f>
        <v>0.1</v>
      </c>
      <c r="Z573">
        <f>0</f>
        <v>0</v>
      </c>
      <c r="AA573" t="s">
        <v>179</v>
      </c>
      <c r="AB573" t="s">
        <v>179</v>
      </c>
      <c r="AC573">
        <f>0</f>
        <v>0</v>
      </c>
      <c r="AD573">
        <f>0</f>
        <v>0</v>
      </c>
      <c r="AE573">
        <f>0</f>
        <v>0</v>
      </c>
      <c r="AG573" t="s">
        <v>180</v>
      </c>
    </row>
    <row r="574" spans="1:164" x14ac:dyDescent="0.25">
      <c r="A574" t="s">
        <v>2240</v>
      </c>
      <c r="B574" t="s">
        <v>170</v>
      </c>
      <c r="C574" s="1">
        <v>46134</v>
      </c>
      <c r="D574" t="s">
        <v>184</v>
      </c>
      <c r="E574" t="s">
        <v>185</v>
      </c>
      <c r="F574" t="s">
        <v>4398</v>
      </c>
      <c r="G574" t="s">
        <v>4399</v>
      </c>
      <c r="H574">
        <v>954</v>
      </c>
      <c r="I574" t="s">
        <v>4399</v>
      </c>
      <c r="J574">
        <v>82</v>
      </c>
      <c r="K574" t="s">
        <v>4492</v>
      </c>
      <c r="L574" t="s">
        <v>3567</v>
      </c>
      <c r="M574" t="s">
        <v>4815</v>
      </c>
      <c r="N574" t="s">
        <v>4816</v>
      </c>
      <c r="O574" t="s">
        <v>2241</v>
      </c>
      <c r="Q574" t="s">
        <v>4817</v>
      </c>
      <c r="R574">
        <f>1</f>
        <v>1</v>
      </c>
      <c r="S574">
        <f>9.7</f>
        <v>9.6999999999999993</v>
      </c>
      <c r="T574">
        <f>7.5</f>
        <v>7.5</v>
      </c>
      <c r="U574">
        <f>456</f>
        <v>456</v>
      </c>
      <c r="X574">
        <f>0</f>
        <v>0</v>
      </c>
      <c r="Y574" t="s">
        <v>180</v>
      </c>
      <c r="Z574">
        <f>0</f>
        <v>0</v>
      </c>
      <c r="AA574" t="s">
        <v>179</v>
      </c>
      <c r="AB574" t="s">
        <v>179</v>
      </c>
      <c r="AD574">
        <f>0</f>
        <v>0</v>
      </c>
      <c r="AE574">
        <f>0</f>
        <v>0</v>
      </c>
      <c r="AG574" t="s">
        <v>180</v>
      </c>
    </row>
    <row r="575" spans="1:164" x14ac:dyDescent="0.25">
      <c r="A575" t="s">
        <v>2242</v>
      </c>
      <c r="B575" t="s">
        <v>170</v>
      </c>
      <c r="C575" s="1">
        <v>46105</v>
      </c>
      <c r="D575" t="s">
        <v>222</v>
      </c>
      <c r="E575" t="s">
        <v>223</v>
      </c>
      <c r="F575" t="s">
        <v>4400</v>
      </c>
      <c r="G575" t="s">
        <v>2243</v>
      </c>
      <c r="H575">
        <v>1504</v>
      </c>
      <c r="I575" t="s">
        <v>2244</v>
      </c>
      <c r="J575">
        <v>50</v>
      </c>
      <c r="K575" t="s">
        <v>4494</v>
      </c>
      <c r="L575" t="s">
        <v>266</v>
      </c>
      <c r="M575" t="s">
        <v>4075</v>
      </c>
      <c r="N575" t="s">
        <v>3425</v>
      </c>
      <c r="O575" t="s">
        <v>2245</v>
      </c>
      <c r="Q575" t="s">
        <v>3523</v>
      </c>
      <c r="R575">
        <f>1</f>
        <v>1</v>
      </c>
      <c r="S575">
        <f>5.4</f>
        <v>5.4</v>
      </c>
      <c r="T575">
        <f>8.4</f>
        <v>8.4</v>
      </c>
      <c r="U575">
        <f>255</f>
        <v>255</v>
      </c>
      <c r="V575">
        <f>0.21</f>
        <v>0.21</v>
      </c>
      <c r="X575">
        <f>0</f>
        <v>0</v>
      </c>
      <c r="Y575" t="s">
        <v>180</v>
      </c>
      <c r="Z575">
        <f>0</f>
        <v>0</v>
      </c>
      <c r="AA575" t="s">
        <v>179</v>
      </c>
      <c r="AB575" t="s">
        <v>179</v>
      </c>
      <c r="AC575">
        <f>0</f>
        <v>0</v>
      </c>
      <c r="AD575">
        <f>0</f>
        <v>0</v>
      </c>
      <c r="AE575">
        <f>0</f>
        <v>0</v>
      </c>
      <c r="AG575">
        <f>0.1</f>
        <v>0.1</v>
      </c>
      <c r="AH575">
        <f>1.2</f>
        <v>1.2</v>
      </c>
      <c r="AK575" t="s">
        <v>181</v>
      </c>
      <c r="AL575" t="s">
        <v>182</v>
      </c>
      <c r="AM575">
        <f>1.5</f>
        <v>1.5</v>
      </c>
      <c r="AN575">
        <f>0.03</f>
        <v>0.03</v>
      </c>
      <c r="AO575">
        <f>11</f>
        <v>11</v>
      </c>
      <c r="AP575">
        <f>1.3</f>
        <v>1.3</v>
      </c>
      <c r="AQ575" t="s">
        <v>180</v>
      </c>
    </row>
    <row r="576" spans="1:164" x14ac:dyDescent="0.25">
      <c r="A576" t="s">
        <v>2246</v>
      </c>
      <c r="B576" t="s">
        <v>170</v>
      </c>
      <c r="C576" s="1">
        <v>46106</v>
      </c>
      <c r="D576" t="s">
        <v>216</v>
      </c>
      <c r="E576" t="s">
        <v>217</v>
      </c>
      <c r="F576" t="s">
        <v>3312</v>
      </c>
      <c r="G576" t="s">
        <v>1403</v>
      </c>
      <c r="H576">
        <v>1804</v>
      </c>
      <c r="I576" t="s">
        <v>2247</v>
      </c>
      <c r="J576">
        <v>55</v>
      </c>
      <c r="K576" t="s">
        <v>4494</v>
      </c>
      <c r="L576" t="s">
        <v>3641</v>
      </c>
      <c r="M576" t="s">
        <v>4076</v>
      </c>
      <c r="N576" t="s">
        <v>2248</v>
      </c>
      <c r="O576" t="s">
        <v>2249</v>
      </c>
      <c r="Q576" t="s">
        <v>3524</v>
      </c>
      <c r="R576">
        <f>1</f>
        <v>1</v>
      </c>
      <c r="S576">
        <f>12.1</f>
        <v>12.1</v>
      </c>
      <c r="T576">
        <f>8.2</f>
        <v>8.1999999999999993</v>
      </c>
      <c r="U576">
        <f>235</f>
        <v>235</v>
      </c>
      <c r="V576">
        <f>0.07</f>
        <v>7.0000000000000007E-2</v>
      </c>
      <c r="X576">
        <f>1</f>
        <v>1</v>
      </c>
      <c r="Y576">
        <f>0.2</f>
        <v>0.2</v>
      </c>
      <c r="Z576">
        <f>0</f>
        <v>0</v>
      </c>
      <c r="AA576">
        <f>0</f>
        <v>0</v>
      </c>
      <c r="AB576">
        <f>0</f>
        <v>0</v>
      </c>
      <c r="AC576">
        <f>0</f>
        <v>0</v>
      </c>
      <c r="AD576">
        <f>0</f>
        <v>0</v>
      </c>
      <c r="AE576">
        <f>0</f>
        <v>0</v>
      </c>
      <c r="AG576" t="s">
        <v>220</v>
      </c>
      <c r="AI576" t="s">
        <v>192</v>
      </c>
      <c r="AJ576" t="s">
        <v>192</v>
      </c>
      <c r="FB576">
        <f>3.5</f>
        <v>3.5</v>
      </c>
      <c r="FC576" t="s">
        <v>193</v>
      </c>
      <c r="FD576">
        <f>1.6</f>
        <v>1.6</v>
      </c>
      <c r="FE576">
        <f>0.6</f>
        <v>0.6</v>
      </c>
      <c r="FH576">
        <f>5.7</f>
        <v>5.7</v>
      </c>
    </row>
    <row r="577" spans="1:164" x14ac:dyDescent="0.25">
      <c r="A577" t="s">
        <v>2250</v>
      </c>
      <c r="B577" t="s">
        <v>170</v>
      </c>
      <c r="C577" s="1">
        <v>46132</v>
      </c>
      <c r="D577" t="s">
        <v>251</v>
      </c>
      <c r="E577" t="s">
        <v>252</v>
      </c>
      <c r="F577" t="s">
        <v>280</v>
      </c>
      <c r="G577" t="s">
        <v>2251</v>
      </c>
      <c r="H577">
        <v>343</v>
      </c>
      <c r="I577" t="s">
        <v>2251</v>
      </c>
      <c r="J577">
        <v>51</v>
      </c>
      <c r="K577" t="s">
        <v>4492</v>
      </c>
      <c r="L577" t="s">
        <v>3566</v>
      </c>
      <c r="M577" t="s">
        <v>2252</v>
      </c>
      <c r="N577" t="s">
        <v>2253</v>
      </c>
      <c r="Q577" t="s">
        <v>1184</v>
      </c>
      <c r="R577">
        <f>1</f>
        <v>1</v>
      </c>
      <c r="S577">
        <f>12.1</f>
        <v>12.1</v>
      </c>
      <c r="T577">
        <f>8</f>
        <v>8</v>
      </c>
      <c r="U577">
        <f>519</f>
        <v>519</v>
      </c>
      <c r="X577">
        <f>0</f>
        <v>0</v>
      </c>
      <c r="Y577" t="s">
        <v>180</v>
      </c>
      <c r="Z577">
        <f>0</f>
        <v>0</v>
      </c>
      <c r="AA577">
        <f>0</f>
        <v>0</v>
      </c>
      <c r="AB577">
        <f>0</f>
        <v>0</v>
      </c>
      <c r="AD577">
        <f>0</f>
        <v>0</v>
      </c>
      <c r="AE577">
        <f>0</f>
        <v>0</v>
      </c>
      <c r="AG577" t="s">
        <v>180</v>
      </c>
      <c r="AH577" t="s">
        <v>284</v>
      </c>
      <c r="AK577" t="s">
        <v>285</v>
      </c>
      <c r="AL577" t="s">
        <v>286</v>
      </c>
      <c r="AM577" t="s">
        <v>284</v>
      </c>
      <c r="AN577" t="s">
        <v>285</v>
      </c>
      <c r="AO577">
        <f>38</f>
        <v>38</v>
      </c>
      <c r="AP577">
        <f>43</f>
        <v>43</v>
      </c>
      <c r="AQ577" t="s">
        <v>284</v>
      </c>
    </row>
    <row r="578" spans="1:164" x14ac:dyDescent="0.25">
      <c r="A578" t="s">
        <v>2254</v>
      </c>
      <c r="B578" t="s">
        <v>766</v>
      </c>
      <c r="C578" s="1">
        <v>46104</v>
      </c>
      <c r="D578" t="s">
        <v>184</v>
      </c>
      <c r="E578" t="s">
        <v>185</v>
      </c>
      <c r="F578" t="s">
        <v>3426</v>
      </c>
      <c r="G578" t="s">
        <v>2255</v>
      </c>
      <c r="H578">
        <v>1624</v>
      </c>
      <c r="I578" t="s">
        <v>2256</v>
      </c>
      <c r="J578">
        <v>100</v>
      </c>
      <c r="K578" t="s">
        <v>4494</v>
      </c>
      <c r="M578" t="s">
        <v>2257</v>
      </c>
      <c r="N578" t="s">
        <v>2258</v>
      </c>
      <c r="R578">
        <f>1</f>
        <v>1</v>
      </c>
      <c r="S578">
        <f>7.7</f>
        <v>7.7</v>
      </c>
      <c r="T578">
        <f>7.8</f>
        <v>7.8</v>
      </c>
      <c r="U578">
        <f>480</f>
        <v>480</v>
      </c>
      <c r="X578">
        <f>0</f>
        <v>0</v>
      </c>
      <c r="Y578" t="s">
        <v>180</v>
      </c>
      <c r="Z578">
        <f>0</f>
        <v>0</v>
      </c>
      <c r="AA578" t="s">
        <v>179</v>
      </c>
      <c r="AB578" t="s">
        <v>179</v>
      </c>
      <c r="AC578">
        <f>0</f>
        <v>0</v>
      </c>
      <c r="AD578">
        <f>0</f>
        <v>0</v>
      </c>
      <c r="AE578">
        <f>1</f>
        <v>1</v>
      </c>
      <c r="AG578" t="s">
        <v>180</v>
      </c>
    </row>
    <row r="579" spans="1:164" x14ac:dyDescent="0.25">
      <c r="A579" t="s">
        <v>2259</v>
      </c>
      <c r="B579" t="s">
        <v>170</v>
      </c>
      <c r="C579" s="1">
        <v>46098</v>
      </c>
      <c r="D579" t="s">
        <v>251</v>
      </c>
      <c r="E579" t="s">
        <v>252</v>
      </c>
      <c r="F579" t="s">
        <v>4244</v>
      </c>
      <c r="G579" t="s">
        <v>2260</v>
      </c>
      <c r="H579">
        <v>623</v>
      </c>
      <c r="I579" t="s">
        <v>2260</v>
      </c>
      <c r="J579">
        <v>73</v>
      </c>
      <c r="K579" t="s">
        <v>4492</v>
      </c>
      <c r="L579" t="s">
        <v>3567</v>
      </c>
      <c r="M579" t="s">
        <v>3915</v>
      </c>
      <c r="N579" t="s">
        <v>3767</v>
      </c>
      <c r="Q579" t="s">
        <v>274</v>
      </c>
      <c r="R579">
        <f>1</f>
        <v>1</v>
      </c>
      <c r="S579">
        <f>9.4</f>
        <v>9.4</v>
      </c>
      <c r="T579">
        <f>7.8</f>
        <v>7.8</v>
      </c>
      <c r="U579">
        <f>160</f>
        <v>160</v>
      </c>
      <c r="X579">
        <f>0</f>
        <v>0</v>
      </c>
      <c r="Y579">
        <f>0.31</f>
        <v>0.31</v>
      </c>
      <c r="Z579">
        <f>0</f>
        <v>0</v>
      </c>
      <c r="AA579">
        <f>12</f>
        <v>12</v>
      </c>
      <c r="AB579">
        <f>0</f>
        <v>0</v>
      </c>
      <c r="AD579">
        <f>0</f>
        <v>0</v>
      </c>
      <c r="AE579">
        <f>0</f>
        <v>0</v>
      </c>
      <c r="AG579" t="s">
        <v>180</v>
      </c>
    </row>
    <row r="580" spans="1:164" x14ac:dyDescent="0.25">
      <c r="A580" t="s">
        <v>2261</v>
      </c>
      <c r="B580" t="s">
        <v>766</v>
      </c>
      <c r="C580" s="1">
        <v>46104</v>
      </c>
      <c r="D580" t="s">
        <v>184</v>
      </c>
      <c r="E580" t="s">
        <v>546</v>
      </c>
      <c r="F580" t="s">
        <v>1855</v>
      </c>
      <c r="G580" t="s">
        <v>2262</v>
      </c>
      <c r="H580">
        <v>1574</v>
      </c>
      <c r="I580" t="s">
        <v>2262</v>
      </c>
      <c r="J580">
        <v>100</v>
      </c>
      <c r="K580" t="s">
        <v>4492</v>
      </c>
      <c r="M580" t="s">
        <v>692</v>
      </c>
      <c r="N580" t="s">
        <v>2263</v>
      </c>
      <c r="R580">
        <f>1</f>
        <v>1</v>
      </c>
      <c r="S580">
        <f>12.7</f>
        <v>12.7</v>
      </c>
      <c r="T580">
        <f>7.6</f>
        <v>7.6</v>
      </c>
      <c r="U580">
        <f>422</f>
        <v>422</v>
      </c>
      <c r="X580">
        <f>0</f>
        <v>0</v>
      </c>
      <c r="Y580" t="s">
        <v>180</v>
      </c>
      <c r="Z580">
        <f>0</f>
        <v>0</v>
      </c>
      <c r="AA580" t="s">
        <v>179</v>
      </c>
      <c r="AB580" t="s">
        <v>179</v>
      </c>
      <c r="AD580">
        <f>0</f>
        <v>0</v>
      </c>
      <c r="AE580">
        <f>12</f>
        <v>12</v>
      </c>
      <c r="AG580" t="s">
        <v>180</v>
      </c>
      <c r="AH580" t="s">
        <v>193</v>
      </c>
      <c r="AK580" t="s">
        <v>181</v>
      </c>
      <c r="AL580" t="s">
        <v>182</v>
      </c>
      <c r="AM580">
        <f>4</f>
        <v>4</v>
      </c>
      <c r="AN580">
        <f>0.08</f>
        <v>0.08</v>
      </c>
      <c r="AO580">
        <f>13</f>
        <v>13</v>
      </c>
      <c r="AP580">
        <f>1.2</f>
        <v>1.2</v>
      </c>
      <c r="AQ580" t="s">
        <v>180</v>
      </c>
    </row>
    <row r="581" spans="1:164" x14ac:dyDescent="0.25">
      <c r="A581" t="s">
        <v>2264</v>
      </c>
      <c r="B581" t="s">
        <v>766</v>
      </c>
      <c r="C581" s="1">
        <v>46111</v>
      </c>
      <c r="D581" t="s">
        <v>184</v>
      </c>
      <c r="E581" t="s">
        <v>546</v>
      </c>
      <c r="F581" t="s">
        <v>1855</v>
      </c>
      <c r="G581" t="s">
        <v>2265</v>
      </c>
      <c r="H581">
        <v>1569</v>
      </c>
      <c r="I581" t="s">
        <v>2265</v>
      </c>
      <c r="J581">
        <v>82</v>
      </c>
      <c r="K581" t="s">
        <v>4494</v>
      </c>
      <c r="M581" t="s">
        <v>2266</v>
      </c>
      <c r="N581" t="s">
        <v>4077</v>
      </c>
      <c r="R581">
        <f>1</f>
        <v>1</v>
      </c>
      <c r="S581">
        <f>10.4</f>
        <v>10.4</v>
      </c>
      <c r="T581">
        <f>7.5</f>
        <v>7.5</v>
      </c>
      <c r="U581">
        <f>479</f>
        <v>479</v>
      </c>
      <c r="X581">
        <f>0</f>
        <v>0</v>
      </c>
      <c r="Y581" t="s">
        <v>180</v>
      </c>
      <c r="Z581">
        <f>0</f>
        <v>0</v>
      </c>
      <c r="AA581" t="s">
        <v>179</v>
      </c>
      <c r="AB581" t="s">
        <v>179</v>
      </c>
      <c r="AC581">
        <f>0</f>
        <v>0</v>
      </c>
      <c r="AD581">
        <f>0</f>
        <v>0</v>
      </c>
      <c r="AE581">
        <f>6</f>
        <v>6</v>
      </c>
      <c r="AG581" t="s">
        <v>180</v>
      </c>
    </row>
    <row r="582" spans="1:164" x14ac:dyDescent="0.25">
      <c r="A582" t="s">
        <v>2267</v>
      </c>
      <c r="B582" t="s">
        <v>170</v>
      </c>
      <c r="C582" s="1">
        <v>46104</v>
      </c>
      <c r="D582" t="s">
        <v>184</v>
      </c>
      <c r="E582" t="s">
        <v>546</v>
      </c>
      <c r="F582" t="s">
        <v>1855</v>
      </c>
      <c r="G582" t="s">
        <v>2268</v>
      </c>
      <c r="H582">
        <v>1563</v>
      </c>
      <c r="I582" t="s">
        <v>2269</v>
      </c>
      <c r="J582">
        <v>80</v>
      </c>
      <c r="K582" t="s">
        <v>4494</v>
      </c>
      <c r="M582" t="s">
        <v>692</v>
      </c>
      <c r="N582" t="s">
        <v>4818</v>
      </c>
      <c r="Q582" t="s">
        <v>3525</v>
      </c>
      <c r="R582">
        <f>1</f>
        <v>1</v>
      </c>
      <c r="S582">
        <f>8.3</f>
        <v>8.3000000000000007</v>
      </c>
      <c r="T582">
        <f>7.9</f>
        <v>7.9</v>
      </c>
      <c r="U582">
        <f>390</f>
        <v>390</v>
      </c>
      <c r="X582">
        <f>0</f>
        <v>0</v>
      </c>
      <c r="Y582">
        <f>2.3</f>
        <v>2.2999999999999998</v>
      </c>
      <c r="Z582">
        <f>0</f>
        <v>0</v>
      </c>
      <c r="AA582" t="s">
        <v>179</v>
      </c>
      <c r="AB582" t="s">
        <v>179</v>
      </c>
      <c r="AC582">
        <f>0</f>
        <v>0</v>
      </c>
      <c r="AD582">
        <f>0</f>
        <v>0</v>
      </c>
      <c r="AE582">
        <f>0</f>
        <v>0</v>
      </c>
      <c r="AG582" t="s">
        <v>180</v>
      </c>
      <c r="AH582" t="s">
        <v>193</v>
      </c>
      <c r="AK582" t="s">
        <v>181</v>
      </c>
      <c r="AL582" t="s">
        <v>182</v>
      </c>
      <c r="AM582">
        <f>6.6</f>
        <v>6.6</v>
      </c>
      <c r="AN582">
        <f>0.13</f>
        <v>0.13</v>
      </c>
      <c r="AO582">
        <f>16</f>
        <v>16</v>
      </c>
      <c r="AP582">
        <f>2</f>
        <v>2</v>
      </c>
      <c r="AQ582" t="s">
        <v>180</v>
      </c>
    </row>
    <row r="583" spans="1:164" x14ac:dyDescent="0.25">
      <c r="A583" t="s">
        <v>2270</v>
      </c>
      <c r="B583" t="s">
        <v>766</v>
      </c>
      <c r="C583" s="1">
        <v>46104</v>
      </c>
      <c r="D583" t="s">
        <v>184</v>
      </c>
      <c r="E583" t="s">
        <v>546</v>
      </c>
      <c r="F583" t="s">
        <v>4819</v>
      </c>
      <c r="G583" t="s">
        <v>2271</v>
      </c>
      <c r="H583">
        <v>1562</v>
      </c>
      <c r="I583" t="s">
        <v>2272</v>
      </c>
      <c r="J583">
        <v>80</v>
      </c>
      <c r="K583" t="s">
        <v>4494</v>
      </c>
      <c r="M583" t="s">
        <v>692</v>
      </c>
      <c r="N583" t="s">
        <v>4820</v>
      </c>
      <c r="R583">
        <f>1</f>
        <v>1</v>
      </c>
      <c r="S583">
        <f>8.5</f>
        <v>8.5</v>
      </c>
      <c r="T583">
        <f>7.7</f>
        <v>7.7</v>
      </c>
      <c r="U583">
        <f>403</f>
        <v>403</v>
      </c>
      <c r="X583">
        <f>0</f>
        <v>0</v>
      </c>
      <c r="Y583" t="s">
        <v>180</v>
      </c>
      <c r="Z583">
        <f>0</f>
        <v>0</v>
      </c>
      <c r="AA583" t="s">
        <v>179</v>
      </c>
      <c r="AB583" t="s">
        <v>179</v>
      </c>
      <c r="AC583">
        <f>0</f>
        <v>0</v>
      </c>
      <c r="AD583">
        <f>0</f>
        <v>0</v>
      </c>
      <c r="AE583">
        <f>1</f>
        <v>1</v>
      </c>
      <c r="AG583" t="s">
        <v>180</v>
      </c>
      <c r="AH583" t="s">
        <v>193</v>
      </c>
      <c r="AK583" t="s">
        <v>181</v>
      </c>
      <c r="AL583" t="s">
        <v>182</v>
      </c>
      <c r="AM583">
        <f>6.6</f>
        <v>6.6</v>
      </c>
      <c r="AN583">
        <f>0.13</f>
        <v>0.13</v>
      </c>
      <c r="AO583">
        <f>10</f>
        <v>10</v>
      </c>
      <c r="AP583">
        <f>1.3</f>
        <v>1.3</v>
      </c>
      <c r="AQ583" t="s">
        <v>180</v>
      </c>
    </row>
    <row r="584" spans="1:164" x14ac:dyDescent="0.25">
      <c r="A584" t="s">
        <v>2273</v>
      </c>
      <c r="B584" t="s">
        <v>170</v>
      </c>
      <c r="C584" s="1">
        <v>46098</v>
      </c>
      <c r="D584" t="s">
        <v>251</v>
      </c>
      <c r="E584" t="s">
        <v>252</v>
      </c>
      <c r="F584" t="s">
        <v>4078</v>
      </c>
      <c r="G584" t="s">
        <v>2274</v>
      </c>
      <c r="H584">
        <v>1103</v>
      </c>
      <c r="I584" t="s">
        <v>2274</v>
      </c>
      <c r="J584">
        <v>65</v>
      </c>
      <c r="K584" t="s">
        <v>4492</v>
      </c>
      <c r="L584" t="s">
        <v>3567</v>
      </c>
      <c r="M584" t="s">
        <v>692</v>
      </c>
      <c r="N584" t="s">
        <v>3768</v>
      </c>
      <c r="Q584" t="s">
        <v>274</v>
      </c>
      <c r="R584">
        <f>1</f>
        <v>1</v>
      </c>
      <c r="S584">
        <f>8.3</f>
        <v>8.3000000000000007</v>
      </c>
      <c r="T584">
        <f>8.2</f>
        <v>8.1999999999999993</v>
      </c>
      <c r="U584">
        <f>126</f>
        <v>126</v>
      </c>
      <c r="X584">
        <f>0</f>
        <v>0</v>
      </c>
      <c r="Y584">
        <f>0.3</f>
        <v>0.3</v>
      </c>
      <c r="Z584">
        <f>0</f>
        <v>0</v>
      </c>
      <c r="AA584">
        <f>21</f>
        <v>21</v>
      </c>
      <c r="AB584">
        <f>11</f>
        <v>11</v>
      </c>
      <c r="AD584">
        <f>0</f>
        <v>0</v>
      </c>
      <c r="AE584">
        <f>0</f>
        <v>0</v>
      </c>
      <c r="AG584" t="s">
        <v>180</v>
      </c>
      <c r="AH584" t="s">
        <v>284</v>
      </c>
      <c r="AK584" t="s">
        <v>285</v>
      </c>
      <c r="AL584" t="s">
        <v>286</v>
      </c>
      <c r="AM584">
        <f>1.2</f>
        <v>1.2</v>
      </c>
      <c r="AN584">
        <f>0.024</f>
        <v>2.4E-2</v>
      </c>
      <c r="AO584">
        <f>4.2</f>
        <v>4.2</v>
      </c>
      <c r="AP584">
        <f>1.6</f>
        <v>1.6</v>
      </c>
      <c r="AQ584" t="s">
        <v>284</v>
      </c>
    </row>
    <row r="585" spans="1:164" x14ac:dyDescent="0.25">
      <c r="A585" t="s">
        <v>2275</v>
      </c>
      <c r="B585" t="s">
        <v>170</v>
      </c>
      <c r="C585" s="1">
        <v>46120</v>
      </c>
      <c r="D585" t="s">
        <v>251</v>
      </c>
      <c r="E585" t="s">
        <v>252</v>
      </c>
      <c r="F585" t="s">
        <v>2276</v>
      </c>
      <c r="G585" t="s">
        <v>2277</v>
      </c>
      <c r="H585">
        <v>362</v>
      </c>
      <c r="I585" t="s">
        <v>4079</v>
      </c>
      <c r="J585">
        <v>68</v>
      </c>
      <c r="K585" t="s">
        <v>4492</v>
      </c>
      <c r="L585" t="s">
        <v>271</v>
      </c>
      <c r="M585" t="s">
        <v>692</v>
      </c>
      <c r="N585" t="s">
        <v>2278</v>
      </c>
      <c r="Q585" t="s">
        <v>257</v>
      </c>
      <c r="R585">
        <f>1</f>
        <v>1</v>
      </c>
      <c r="S585">
        <f>9.6</f>
        <v>9.6</v>
      </c>
      <c r="T585">
        <f>6.7</f>
        <v>6.7</v>
      </c>
      <c r="U585">
        <f>27</f>
        <v>27</v>
      </c>
      <c r="X585">
        <f>0</f>
        <v>0</v>
      </c>
      <c r="Y585" t="s">
        <v>180</v>
      </c>
      <c r="Z585">
        <f>0</f>
        <v>0</v>
      </c>
      <c r="AA585">
        <f>6</f>
        <v>6</v>
      </c>
      <c r="AB585">
        <f>0</f>
        <v>0</v>
      </c>
      <c r="AD585">
        <f>0</f>
        <v>0</v>
      </c>
      <c r="AE585">
        <f>0</f>
        <v>0</v>
      </c>
      <c r="AG585" t="s">
        <v>180</v>
      </c>
    </row>
    <row r="586" spans="1:164" x14ac:dyDescent="0.25">
      <c r="A586" t="s">
        <v>2279</v>
      </c>
      <c r="B586" t="s">
        <v>170</v>
      </c>
      <c r="C586" s="1">
        <v>46112</v>
      </c>
      <c r="D586" t="s">
        <v>251</v>
      </c>
      <c r="E586" t="s">
        <v>185</v>
      </c>
      <c r="F586" t="s">
        <v>3369</v>
      </c>
      <c r="G586" t="s">
        <v>4080</v>
      </c>
      <c r="H586">
        <v>1664</v>
      </c>
      <c r="I586" t="s">
        <v>4081</v>
      </c>
      <c r="J586">
        <v>70</v>
      </c>
      <c r="K586" t="s">
        <v>3334</v>
      </c>
      <c r="L586" t="s">
        <v>266</v>
      </c>
      <c r="M586" t="s">
        <v>3915</v>
      </c>
      <c r="N586" t="s">
        <v>2280</v>
      </c>
      <c r="Q586" t="s">
        <v>257</v>
      </c>
      <c r="R586">
        <f>1</f>
        <v>1</v>
      </c>
      <c r="S586">
        <f>8.8</f>
        <v>8.8000000000000007</v>
      </c>
      <c r="T586">
        <f>8.1</f>
        <v>8.1</v>
      </c>
      <c r="U586">
        <f>260</f>
        <v>260</v>
      </c>
      <c r="V586">
        <f>0.05</f>
        <v>0.05</v>
      </c>
      <c r="X586">
        <f>0</f>
        <v>0</v>
      </c>
      <c r="Y586" t="s">
        <v>180</v>
      </c>
      <c r="Z586">
        <f>0</f>
        <v>0</v>
      </c>
      <c r="AA586">
        <f>0</f>
        <v>0</v>
      </c>
      <c r="AB586">
        <f>3</f>
        <v>3</v>
      </c>
      <c r="AC586">
        <f>0</f>
        <v>0</v>
      </c>
      <c r="AD586">
        <f>0</f>
        <v>0</v>
      </c>
      <c r="AE586">
        <f>0</f>
        <v>0</v>
      </c>
      <c r="AG586" t="s">
        <v>180</v>
      </c>
      <c r="AH586" t="s">
        <v>284</v>
      </c>
      <c r="AI586" t="s">
        <v>286</v>
      </c>
      <c r="AJ586" t="s">
        <v>286</v>
      </c>
      <c r="AK586" t="s">
        <v>285</v>
      </c>
      <c r="AL586" t="s">
        <v>286</v>
      </c>
      <c r="AM586">
        <f>3.5</f>
        <v>3.5</v>
      </c>
      <c r="AN586">
        <f>0.07</f>
        <v>7.0000000000000007E-2</v>
      </c>
      <c r="AO586">
        <f>4.4</f>
        <v>4.4000000000000004</v>
      </c>
      <c r="AP586">
        <f>1</f>
        <v>1</v>
      </c>
      <c r="AQ586" t="s">
        <v>284</v>
      </c>
      <c r="FB586" t="s">
        <v>646</v>
      </c>
      <c r="FC586" t="s">
        <v>646</v>
      </c>
      <c r="FD586" t="s">
        <v>646</v>
      </c>
      <c r="FE586" t="s">
        <v>646</v>
      </c>
      <c r="FH586" t="s">
        <v>646</v>
      </c>
    </row>
    <row r="587" spans="1:164" x14ac:dyDescent="0.25">
      <c r="A587" t="s">
        <v>2281</v>
      </c>
      <c r="B587" t="s">
        <v>170</v>
      </c>
      <c r="C587" s="1">
        <v>46093</v>
      </c>
      <c r="D587" t="s">
        <v>251</v>
      </c>
      <c r="E587" t="s">
        <v>252</v>
      </c>
      <c r="F587" t="s">
        <v>361</v>
      </c>
      <c r="G587" t="s">
        <v>2282</v>
      </c>
      <c r="H587">
        <v>1101</v>
      </c>
      <c r="I587" t="s">
        <v>2282</v>
      </c>
      <c r="J587">
        <v>52</v>
      </c>
      <c r="K587" t="s">
        <v>4492</v>
      </c>
      <c r="L587" t="s">
        <v>3567</v>
      </c>
      <c r="M587" t="s">
        <v>692</v>
      </c>
      <c r="N587" t="s">
        <v>2283</v>
      </c>
      <c r="Q587" t="s">
        <v>257</v>
      </c>
      <c r="R587">
        <f>1</f>
        <v>1</v>
      </c>
      <c r="S587">
        <f>7.8</f>
        <v>7.8</v>
      </c>
      <c r="T587">
        <f>6.8</f>
        <v>6.8</v>
      </c>
      <c r="U587">
        <f>233</f>
        <v>233</v>
      </c>
      <c r="X587">
        <f>0</f>
        <v>0</v>
      </c>
      <c r="Y587">
        <f>0.19</f>
        <v>0.19</v>
      </c>
      <c r="Z587">
        <f>0</f>
        <v>0</v>
      </c>
      <c r="AA587">
        <f>0</f>
        <v>0</v>
      </c>
      <c r="AB587">
        <f>0</f>
        <v>0</v>
      </c>
      <c r="AD587">
        <f>0</f>
        <v>0</v>
      </c>
      <c r="AE587">
        <f>0</f>
        <v>0</v>
      </c>
      <c r="AG587" t="s">
        <v>180</v>
      </c>
      <c r="AH587" t="s">
        <v>284</v>
      </c>
      <c r="AK587" t="s">
        <v>285</v>
      </c>
      <c r="AL587" t="s">
        <v>286</v>
      </c>
      <c r="AM587">
        <f>6</f>
        <v>6</v>
      </c>
      <c r="AN587">
        <f>0.12</f>
        <v>0.12</v>
      </c>
      <c r="AO587">
        <f>2.3</f>
        <v>2.2999999999999998</v>
      </c>
      <c r="AP587" t="s">
        <v>284</v>
      </c>
      <c r="AQ587" t="s">
        <v>284</v>
      </c>
    </row>
    <row r="588" spans="1:164" x14ac:dyDescent="0.25">
      <c r="A588" t="s">
        <v>2284</v>
      </c>
      <c r="B588" t="s">
        <v>170</v>
      </c>
      <c r="C588" s="1">
        <v>46133</v>
      </c>
      <c r="D588" t="s">
        <v>184</v>
      </c>
      <c r="E588" t="s">
        <v>185</v>
      </c>
      <c r="F588" t="s">
        <v>384</v>
      </c>
      <c r="G588" t="s">
        <v>2285</v>
      </c>
      <c r="H588">
        <v>956</v>
      </c>
      <c r="I588" t="s">
        <v>2285</v>
      </c>
      <c r="J588">
        <v>54</v>
      </c>
      <c r="K588" t="s">
        <v>4494</v>
      </c>
      <c r="L588" t="s">
        <v>369</v>
      </c>
      <c r="M588" t="s">
        <v>4543</v>
      </c>
      <c r="N588" t="s">
        <v>2286</v>
      </c>
      <c r="O588" t="s">
        <v>2287</v>
      </c>
      <c r="R588">
        <f>1</f>
        <v>1</v>
      </c>
      <c r="S588">
        <f>12</f>
        <v>12</v>
      </c>
      <c r="T588">
        <f>7.5</f>
        <v>7.5</v>
      </c>
      <c r="U588">
        <f>518</f>
        <v>518</v>
      </c>
      <c r="V588">
        <f>0.09</f>
        <v>0.09</v>
      </c>
      <c r="X588">
        <f>0</f>
        <v>0</v>
      </c>
      <c r="Y588" t="s">
        <v>180</v>
      </c>
      <c r="Z588">
        <f>0</f>
        <v>0</v>
      </c>
      <c r="AA588" t="s">
        <v>179</v>
      </c>
      <c r="AB588" t="s">
        <v>179</v>
      </c>
      <c r="AC588">
        <f>0</f>
        <v>0</v>
      </c>
      <c r="AD588">
        <f>0</f>
        <v>0</v>
      </c>
      <c r="AE588">
        <f>0</f>
        <v>0</v>
      </c>
      <c r="AG588" t="s">
        <v>180</v>
      </c>
      <c r="AH588" t="s">
        <v>193</v>
      </c>
      <c r="AK588" t="s">
        <v>181</v>
      </c>
      <c r="AL588" t="s">
        <v>182</v>
      </c>
      <c r="AM588">
        <f>8.4</f>
        <v>8.4</v>
      </c>
      <c r="AN588">
        <f>0.17</f>
        <v>0.17</v>
      </c>
      <c r="AO588">
        <f>6.4</f>
        <v>6.4</v>
      </c>
      <c r="AP588">
        <f>5.3</f>
        <v>5.3</v>
      </c>
      <c r="AQ588" t="s">
        <v>180</v>
      </c>
      <c r="CC588">
        <f>0.26</f>
        <v>0.26</v>
      </c>
    </row>
    <row r="589" spans="1:164" x14ac:dyDescent="0.25">
      <c r="A589" t="s">
        <v>2288</v>
      </c>
      <c r="B589" t="s">
        <v>170</v>
      </c>
      <c r="C589" s="1">
        <v>46112</v>
      </c>
      <c r="D589" t="s">
        <v>171</v>
      </c>
      <c r="E589" t="s">
        <v>172</v>
      </c>
      <c r="F589" t="s">
        <v>173</v>
      </c>
      <c r="G589" t="s">
        <v>174</v>
      </c>
      <c r="H589">
        <v>10</v>
      </c>
      <c r="I589" t="s">
        <v>175</v>
      </c>
      <c r="J589">
        <v>41781</v>
      </c>
      <c r="K589" t="s">
        <v>4492</v>
      </c>
      <c r="L589" t="s">
        <v>176</v>
      </c>
      <c r="M589" t="s">
        <v>4821</v>
      </c>
      <c r="N589" t="s">
        <v>2289</v>
      </c>
      <c r="O589" t="s">
        <v>2290</v>
      </c>
      <c r="Q589" t="s">
        <v>3526</v>
      </c>
      <c r="R589">
        <f>1</f>
        <v>1</v>
      </c>
      <c r="S589">
        <f>13.5</f>
        <v>13.5</v>
      </c>
      <c r="T589">
        <f>7.1</f>
        <v>7.1</v>
      </c>
      <c r="U589">
        <f>496</f>
        <v>496</v>
      </c>
      <c r="X589">
        <f>0</f>
        <v>0</v>
      </c>
      <c r="Y589">
        <f>0.1</f>
        <v>0.1</v>
      </c>
      <c r="Z589">
        <f>0</f>
        <v>0</v>
      </c>
      <c r="AA589" t="s">
        <v>179</v>
      </c>
      <c r="AB589" t="s">
        <v>179</v>
      </c>
      <c r="AD589">
        <f>0</f>
        <v>0</v>
      </c>
      <c r="AE589">
        <f>0</f>
        <v>0</v>
      </c>
      <c r="AG589" t="s">
        <v>180</v>
      </c>
    </row>
    <row r="590" spans="1:164" x14ac:dyDescent="0.25">
      <c r="A590" t="s">
        <v>2291</v>
      </c>
      <c r="B590" t="s">
        <v>170</v>
      </c>
      <c r="C590" s="1">
        <v>46119</v>
      </c>
      <c r="D590" t="s">
        <v>184</v>
      </c>
      <c r="E590" t="s">
        <v>185</v>
      </c>
      <c r="F590" t="s">
        <v>186</v>
      </c>
      <c r="G590" t="s">
        <v>187</v>
      </c>
      <c r="H590">
        <v>36</v>
      </c>
      <c r="I590" t="s">
        <v>188</v>
      </c>
      <c r="J590">
        <v>20522</v>
      </c>
      <c r="K590" t="s">
        <v>4492</v>
      </c>
      <c r="L590" t="s">
        <v>3553</v>
      </c>
      <c r="M590" t="s">
        <v>2292</v>
      </c>
      <c r="N590" t="s">
        <v>2293</v>
      </c>
      <c r="O590" t="s">
        <v>2294</v>
      </c>
      <c r="R590">
        <f>1</f>
        <v>1</v>
      </c>
      <c r="S590">
        <f>14.8</f>
        <v>14.8</v>
      </c>
      <c r="T590">
        <f>7.6</f>
        <v>7.6</v>
      </c>
      <c r="U590">
        <f>459</f>
        <v>459</v>
      </c>
      <c r="V590" t="s">
        <v>192</v>
      </c>
      <c r="X590">
        <f>0</f>
        <v>0</v>
      </c>
      <c r="Y590" t="s">
        <v>180</v>
      </c>
      <c r="Z590">
        <f>0</f>
        <v>0</v>
      </c>
      <c r="AA590" t="s">
        <v>179</v>
      </c>
      <c r="AB590" t="s">
        <v>179</v>
      </c>
      <c r="AD590">
        <f>0</f>
        <v>0</v>
      </c>
      <c r="AE590">
        <f>0</f>
        <v>0</v>
      </c>
      <c r="AG590" t="s">
        <v>180</v>
      </c>
    </row>
    <row r="591" spans="1:164" x14ac:dyDescent="0.25">
      <c r="A591" t="s">
        <v>2295</v>
      </c>
      <c r="B591" t="s">
        <v>766</v>
      </c>
      <c r="C591" s="1">
        <v>46077</v>
      </c>
      <c r="D591" t="s">
        <v>184</v>
      </c>
      <c r="E591" t="s">
        <v>185</v>
      </c>
      <c r="F591" t="s">
        <v>186</v>
      </c>
      <c r="G591" t="s">
        <v>187</v>
      </c>
      <c r="H591">
        <v>36</v>
      </c>
      <c r="I591" t="s">
        <v>188</v>
      </c>
      <c r="J591">
        <v>20522</v>
      </c>
      <c r="K591" t="s">
        <v>4492</v>
      </c>
      <c r="L591" t="s">
        <v>3553</v>
      </c>
      <c r="M591" t="s">
        <v>189</v>
      </c>
      <c r="N591" t="s">
        <v>190</v>
      </c>
      <c r="O591" t="s">
        <v>191</v>
      </c>
      <c r="R591">
        <f>1</f>
        <v>1</v>
      </c>
      <c r="S591">
        <f>13.2</f>
        <v>13.2</v>
      </c>
      <c r="T591">
        <f>7.5</f>
        <v>7.5</v>
      </c>
      <c r="U591">
        <f>709</f>
        <v>709</v>
      </c>
      <c r="V591" t="s">
        <v>258</v>
      </c>
      <c r="X591">
        <f>0</f>
        <v>0</v>
      </c>
      <c r="Y591" t="s">
        <v>180</v>
      </c>
      <c r="Z591">
        <f>0</f>
        <v>0</v>
      </c>
      <c r="AA591" t="s">
        <v>179</v>
      </c>
      <c r="AB591">
        <f>184</f>
        <v>184</v>
      </c>
      <c r="AD591">
        <f>0</f>
        <v>0</v>
      </c>
      <c r="AE591">
        <f>0</f>
        <v>0</v>
      </c>
      <c r="AG591" t="s">
        <v>180</v>
      </c>
    </row>
    <row r="592" spans="1:164" x14ac:dyDescent="0.25">
      <c r="A592" t="s">
        <v>2296</v>
      </c>
      <c r="B592" t="s">
        <v>170</v>
      </c>
      <c r="C592" s="1">
        <v>46092</v>
      </c>
      <c r="D592" t="s">
        <v>184</v>
      </c>
      <c r="E592" t="s">
        <v>185</v>
      </c>
      <c r="F592" t="s">
        <v>186</v>
      </c>
      <c r="G592" t="s">
        <v>187</v>
      </c>
      <c r="H592">
        <v>36</v>
      </c>
      <c r="I592" t="s">
        <v>188</v>
      </c>
      <c r="J592">
        <v>20522</v>
      </c>
      <c r="K592" t="s">
        <v>4492</v>
      </c>
      <c r="L592" t="s">
        <v>3553</v>
      </c>
      <c r="M592" t="s">
        <v>2297</v>
      </c>
      <c r="N592" t="s">
        <v>2298</v>
      </c>
      <c r="O592" t="s">
        <v>2299</v>
      </c>
      <c r="R592">
        <f>1</f>
        <v>1</v>
      </c>
      <c r="S592">
        <f>11.5</f>
        <v>11.5</v>
      </c>
      <c r="T592">
        <f>7.1</f>
        <v>7.1</v>
      </c>
      <c r="U592">
        <f>439</f>
        <v>439</v>
      </c>
      <c r="V592" t="s">
        <v>258</v>
      </c>
      <c r="X592">
        <f>0</f>
        <v>0</v>
      </c>
      <c r="Y592" t="s">
        <v>180</v>
      </c>
      <c r="Z592">
        <f>0</f>
        <v>0</v>
      </c>
      <c r="AA592" t="s">
        <v>179</v>
      </c>
      <c r="AB592" t="s">
        <v>179</v>
      </c>
      <c r="AD592">
        <f>0</f>
        <v>0</v>
      </c>
      <c r="AE592">
        <f>0</f>
        <v>0</v>
      </c>
      <c r="AG592" t="s">
        <v>180</v>
      </c>
    </row>
    <row r="593" spans="1:165" x14ac:dyDescent="0.25">
      <c r="A593" t="s">
        <v>2300</v>
      </c>
      <c r="B593" t="s">
        <v>170</v>
      </c>
      <c r="C593" s="1">
        <v>46090</v>
      </c>
      <c r="D593" t="s">
        <v>195</v>
      </c>
      <c r="E593" t="s">
        <v>196</v>
      </c>
      <c r="F593" t="s">
        <v>3554</v>
      </c>
      <c r="G593" t="s">
        <v>3682</v>
      </c>
      <c r="H593">
        <v>172</v>
      </c>
      <c r="I593" t="s">
        <v>3682</v>
      </c>
      <c r="J593">
        <v>89433</v>
      </c>
      <c r="K593" t="s">
        <v>4494</v>
      </c>
      <c r="L593" t="s">
        <v>197</v>
      </c>
      <c r="M593" t="s">
        <v>2301</v>
      </c>
      <c r="N593" t="s">
        <v>4401</v>
      </c>
      <c r="O593" t="s">
        <v>2302</v>
      </c>
      <c r="R593">
        <f>1</f>
        <v>1</v>
      </c>
      <c r="S593">
        <f>13</f>
        <v>13</v>
      </c>
      <c r="T593">
        <f>7.5</f>
        <v>7.5</v>
      </c>
      <c r="U593">
        <f>359</f>
        <v>359</v>
      </c>
      <c r="X593">
        <f>0</f>
        <v>0</v>
      </c>
      <c r="Y593">
        <f>0.02</f>
        <v>0.02</v>
      </c>
      <c r="Z593">
        <f>0</f>
        <v>0</v>
      </c>
      <c r="AA593">
        <f>0</f>
        <v>0</v>
      </c>
      <c r="AB593">
        <f>0</f>
        <v>0</v>
      </c>
      <c r="AC593">
        <f>0</f>
        <v>0</v>
      </c>
      <c r="AD593">
        <f>0</f>
        <v>0</v>
      </c>
      <c r="AE593">
        <f>0</f>
        <v>0</v>
      </c>
      <c r="AG593" t="s">
        <v>180</v>
      </c>
    </row>
    <row r="594" spans="1:165" x14ac:dyDescent="0.25">
      <c r="A594" t="s">
        <v>2303</v>
      </c>
      <c r="B594" t="s">
        <v>170</v>
      </c>
      <c r="C594" s="1">
        <v>46090</v>
      </c>
      <c r="D594" t="s">
        <v>195</v>
      </c>
      <c r="E594" t="s">
        <v>196</v>
      </c>
      <c r="F594" t="s">
        <v>3554</v>
      </c>
      <c r="G594" t="s">
        <v>3682</v>
      </c>
      <c r="H594">
        <v>172</v>
      </c>
      <c r="I594" t="s">
        <v>3682</v>
      </c>
      <c r="J594">
        <v>89433</v>
      </c>
      <c r="K594" t="s">
        <v>4494</v>
      </c>
      <c r="L594" t="s">
        <v>197</v>
      </c>
      <c r="M594" t="s">
        <v>2304</v>
      </c>
      <c r="N594" t="s">
        <v>4402</v>
      </c>
      <c r="O594" t="s">
        <v>2305</v>
      </c>
      <c r="R594">
        <f>1</f>
        <v>1</v>
      </c>
      <c r="S594">
        <f>14</f>
        <v>14</v>
      </c>
      <c r="T594">
        <f>7.5</f>
        <v>7.5</v>
      </c>
      <c r="U594">
        <f>359</f>
        <v>359</v>
      </c>
      <c r="X594">
        <f>0</f>
        <v>0</v>
      </c>
      <c r="Y594">
        <f>0.02</f>
        <v>0.02</v>
      </c>
      <c r="Z594">
        <f>0</f>
        <v>0</v>
      </c>
      <c r="AA594">
        <f>0</f>
        <v>0</v>
      </c>
      <c r="AB594">
        <f>0</f>
        <v>0</v>
      </c>
      <c r="AC594">
        <f>0</f>
        <v>0</v>
      </c>
      <c r="AD594">
        <f>0</f>
        <v>0</v>
      </c>
      <c r="AE594">
        <f>0</f>
        <v>0</v>
      </c>
      <c r="AG594" t="s">
        <v>180</v>
      </c>
    </row>
    <row r="595" spans="1:165" x14ac:dyDescent="0.25">
      <c r="A595" t="s">
        <v>2306</v>
      </c>
      <c r="B595" t="s">
        <v>170</v>
      </c>
      <c r="C595" s="1">
        <v>46090</v>
      </c>
      <c r="D595" t="s">
        <v>195</v>
      </c>
      <c r="E595" t="s">
        <v>196</v>
      </c>
      <c r="F595" t="s">
        <v>3554</v>
      </c>
      <c r="G595" t="s">
        <v>3682</v>
      </c>
      <c r="H595">
        <v>172</v>
      </c>
      <c r="I595" t="s">
        <v>3682</v>
      </c>
      <c r="J595">
        <v>89433</v>
      </c>
      <c r="K595" t="s">
        <v>4494</v>
      </c>
      <c r="L595" t="s">
        <v>197</v>
      </c>
      <c r="M595" t="s">
        <v>2307</v>
      </c>
      <c r="N595" t="s">
        <v>4403</v>
      </c>
      <c r="O595" t="s">
        <v>2308</v>
      </c>
      <c r="Q595" t="s">
        <v>4404</v>
      </c>
      <c r="R595">
        <f>1</f>
        <v>1</v>
      </c>
      <c r="S595">
        <f>12.6</f>
        <v>12.6</v>
      </c>
      <c r="T595">
        <f>7.6</f>
        <v>7.6</v>
      </c>
      <c r="U595">
        <f>358</f>
        <v>358</v>
      </c>
      <c r="X595">
        <f>0</f>
        <v>0</v>
      </c>
      <c r="Y595">
        <f>0.02</f>
        <v>0.02</v>
      </c>
      <c r="Z595">
        <f>0</f>
        <v>0</v>
      </c>
      <c r="AA595">
        <f>0</f>
        <v>0</v>
      </c>
      <c r="AB595">
        <f>0</f>
        <v>0</v>
      </c>
      <c r="AC595">
        <f>0</f>
        <v>0</v>
      </c>
      <c r="AD595">
        <f>0</f>
        <v>0</v>
      </c>
      <c r="AE595">
        <f>0</f>
        <v>0</v>
      </c>
      <c r="AG595" t="s">
        <v>180</v>
      </c>
    </row>
    <row r="596" spans="1:165" x14ac:dyDescent="0.25">
      <c r="A596" t="s">
        <v>2309</v>
      </c>
      <c r="B596" t="s">
        <v>170</v>
      </c>
      <c r="C596" s="1">
        <v>46125</v>
      </c>
      <c r="D596" t="s">
        <v>222</v>
      </c>
      <c r="E596" t="s">
        <v>223</v>
      </c>
      <c r="F596" t="s">
        <v>296</v>
      </c>
      <c r="G596" t="s">
        <v>297</v>
      </c>
      <c r="H596">
        <v>154</v>
      </c>
      <c r="I596" t="s">
        <v>3283</v>
      </c>
      <c r="J596">
        <v>55177</v>
      </c>
      <c r="K596" t="s">
        <v>4494</v>
      </c>
      <c r="L596" t="s">
        <v>4510</v>
      </c>
      <c r="M596" t="s">
        <v>4822</v>
      </c>
      <c r="N596" t="s">
        <v>2310</v>
      </c>
      <c r="O596" t="s">
        <v>2311</v>
      </c>
      <c r="R596">
        <f>1</f>
        <v>1</v>
      </c>
      <c r="S596">
        <f>13.4</f>
        <v>13.4</v>
      </c>
      <c r="T596">
        <f>7.2</f>
        <v>7.2</v>
      </c>
      <c r="U596">
        <f>577</f>
        <v>577</v>
      </c>
      <c r="V596">
        <f>0.2</f>
        <v>0.2</v>
      </c>
      <c r="X596">
        <f>1</f>
        <v>1</v>
      </c>
      <c r="Y596" t="s">
        <v>180</v>
      </c>
      <c r="Z596">
        <f>0</f>
        <v>0</v>
      </c>
      <c r="AA596" t="s">
        <v>179</v>
      </c>
      <c r="AB596" t="s">
        <v>179</v>
      </c>
      <c r="AC596">
        <f>0</f>
        <v>0</v>
      </c>
      <c r="AD596">
        <f>0</f>
        <v>0</v>
      </c>
      <c r="AE596">
        <f>0</f>
        <v>0</v>
      </c>
      <c r="AG596" t="s">
        <v>180</v>
      </c>
      <c r="BQ596" t="s">
        <v>300</v>
      </c>
    </row>
    <row r="597" spans="1:165" x14ac:dyDescent="0.25">
      <c r="A597" t="s">
        <v>2312</v>
      </c>
      <c r="B597" t="s">
        <v>170</v>
      </c>
      <c r="C597" s="1">
        <v>46087</v>
      </c>
      <c r="D597" t="s">
        <v>222</v>
      </c>
      <c r="E597" t="s">
        <v>223</v>
      </c>
      <c r="F597" t="s">
        <v>296</v>
      </c>
      <c r="G597" t="s">
        <v>297</v>
      </c>
      <c r="H597">
        <v>154</v>
      </c>
      <c r="I597" t="s">
        <v>3283</v>
      </c>
      <c r="J597">
        <v>55177</v>
      </c>
      <c r="K597" t="s">
        <v>4494</v>
      </c>
      <c r="L597" t="s">
        <v>4510</v>
      </c>
      <c r="M597" t="s">
        <v>4405</v>
      </c>
      <c r="N597" t="s">
        <v>2313</v>
      </c>
      <c r="O597" t="s">
        <v>2314</v>
      </c>
      <c r="R597">
        <f>1</f>
        <v>1</v>
      </c>
      <c r="S597">
        <f>10.6</f>
        <v>10.6</v>
      </c>
      <c r="T597">
        <f>7.4</f>
        <v>7.4</v>
      </c>
      <c r="U597">
        <f>581</f>
        <v>581</v>
      </c>
      <c r="V597">
        <f>0.22</f>
        <v>0.22</v>
      </c>
      <c r="X597">
        <f>1</f>
        <v>1</v>
      </c>
      <c r="Y597" t="s">
        <v>180</v>
      </c>
      <c r="Z597">
        <f>0</f>
        <v>0</v>
      </c>
      <c r="AA597" t="s">
        <v>179</v>
      </c>
      <c r="AB597" t="s">
        <v>179</v>
      </c>
      <c r="AC597">
        <f>0</f>
        <v>0</v>
      </c>
      <c r="AD597">
        <f>0</f>
        <v>0</v>
      </c>
      <c r="AE597">
        <f>0</f>
        <v>0</v>
      </c>
      <c r="AG597" t="s">
        <v>180</v>
      </c>
      <c r="BQ597" t="s">
        <v>300</v>
      </c>
    </row>
    <row r="598" spans="1:165" x14ac:dyDescent="0.25">
      <c r="A598" t="s">
        <v>2315</v>
      </c>
      <c r="B598" t="s">
        <v>170</v>
      </c>
      <c r="C598" s="1">
        <v>46091</v>
      </c>
      <c r="D598" t="s">
        <v>222</v>
      </c>
      <c r="E598" t="s">
        <v>223</v>
      </c>
      <c r="F598" t="s">
        <v>224</v>
      </c>
      <c r="G598" t="s">
        <v>3825</v>
      </c>
      <c r="H598">
        <v>209</v>
      </c>
      <c r="I598" t="s">
        <v>225</v>
      </c>
      <c r="J598">
        <v>16765</v>
      </c>
      <c r="K598" t="s">
        <v>4494</v>
      </c>
      <c r="L598" t="s">
        <v>226</v>
      </c>
      <c r="M598" t="s">
        <v>4406</v>
      </c>
      <c r="N598" t="s">
        <v>2316</v>
      </c>
      <c r="O598" t="s">
        <v>2317</v>
      </c>
      <c r="R598">
        <f>1</f>
        <v>1</v>
      </c>
      <c r="S598">
        <f>11.2</f>
        <v>11.2</v>
      </c>
      <c r="T598">
        <f>7.4</f>
        <v>7.4</v>
      </c>
      <c r="U598">
        <f>359</f>
        <v>359</v>
      </c>
      <c r="X598">
        <f>1</f>
        <v>1</v>
      </c>
      <c r="Y598" t="s">
        <v>180</v>
      </c>
      <c r="Z598">
        <f>0</f>
        <v>0</v>
      </c>
      <c r="AA598" t="s">
        <v>179</v>
      </c>
      <c r="AB598" t="s">
        <v>179</v>
      </c>
      <c r="AC598">
        <f>0</f>
        <v>0</v>
      </c>
      <c r="AD598">
        <f>0</f>
        <v>0</v>
      </c>
      <c r="AE598">
        <f>0</f>
        <v>0</v>
      </c>
      <c r="AG598" t="s">
        <v>180</v>
      </c>
    </row>
    <row r="599" spans="1:165" x14ac:dyDescent="0.25">
      <c r="A599" t="s">
        <v>2318</v>
      </c>
      <c r="B599" t="s">
        <v>170</v>
      </c>
      <c r="C599" s="1">
        <v>46111</v>
      </c>
      <c r="D599" t="s">
        <v>238</v>
      </c>
      <c r="E599" t="s">
        <v>239</v>
      </c>
      <c r="F599" t="s">
        <v>240</v>
      </c>
      <c r="G599" t="s">
        <v>241</v>
      </c>
      <c r="H599">
        <v>132</v>
      </c>
      <c r="I599" t="s">
        <v>241</v>
      </c>
      <c r="J599">
        <v>22721</v>
      </c>
      <c r="K599" t="s">
        <v>4494</v>
      </c>
      <c r="L599" t="s">
        <v>176</v>
      </c>
      <c r="M599" t="s">
        <v>3427</v>
      </c>
      <c r="N599" t="s">
        <v>2319</v>
      </c>
      <c r="O599" t="s">
        <v>2320</v>
      </c>
      <c r="R599">
        <f>1</f>
        <v>1</v>
      </c>
      <c r="S599">
        <f>12.9</f>
        <v>12.9</v>
      </c>
      <c r="T599">
        <f>7.4</f>
        <v>7.4</v>
      </c>
      <c r="U599">
        <f>449</f>
        <v>449</v>
      </c>
      <c r="X599">
        <f>0</f>
        <v>0</v>
      </c>
      <c r="Y599">
        <f>0.14</f>
        <v>0.14000000000000001</v>
      </c>
      <c r="Z599">
        <f>0</f>
        <v>0</v>
      </c>
      <c r="AA599" t="s">
        <v>179</v>
      </c>
      <c r="AB599" t="s">
        <v>179</v>
      </c>
      <c r="AC599">
        <f>0</f>
        <v>0</v>
      </c>
      <c r="AD599">
        <f>0</f>
        <v>0</v>
      </c>
      <c r="AE599">
        <f>0</f>
        <v>0</v>
      </c>
      <c r="AG599" t="s">
        <v>220</v>
      </c>
    </row>
    <row r="600" spans="1:165" x14ac:dyDescent="0.25">
      <c r="A600" t="s">
        <v>2321</v>
      </c>
      <c r="B600" t="s">
        <v>170</v>
      </c>
      <c r="C600" s="1">
        <v>46098</v>
      </c>
      <c r="D600" t="s">
        <v>238</v>
      </c>
      <c r="E600" t="s">
        <v>239</v>
      </c>
      <c r="F600" t="s">
        <v>240</v>
      </c>
      <c r="G600" t="s">
        <v>241</v>
      </c>
      <c r="H600">
        <v>132</v>
      </c>
      <c r="I600" t="s">
        <v>241</v>
      </c>
      <c r="J600">
        <v>22721</v>
      </c>
      <c r="K600" t="s">
        <v>4494</v>
      </c>
      <c r="L600" t="s">
        <v>176</v>
      </c>
      <c r="M600" t="s">
        <v>2322</v>
      </c>
      <c r="N600" t="s">
        <v>2323</v>
      </c>
      <c r="O600" t="s">
        <v>2324</v>
      </c>
      <c r="R600">
        <f>1</f>
        <v>1</v>
      </c>
      <c r="S600">
        <f>12.7</f>
        <v>12.7</v>
      </c>
      <c r="T600">
        <f>7.5</f>
        <v>7.5</v>
      </c>
      <c r="U600">
        <f>443</f>
        <v>443</v>
      </c>
      <c r="X600">
        <f>0</f>
        <v>0</v>
      </c>
      <c r="Y600">
        <f>0.08</f>
        <v>0.08</v>
      </c>
      <c r="Z600">
        <f>0</f>
        <v>0</v>
      </c>
      <c r="AA600" t="s">
        <v>179</v>
      </c>
      <c r="AB600" t="s">
        <v>179</v>
      </c>
      <c r="AC600">
        <f>0</f>
        <v>0</v>
      </c>
      <c r="AD600">
        <f>0</f>
        <v>0</v>
      </c>
      <c r="AE600">
        <f>0</f>
        <v>0</v>
      </c>
      <c r="AG600" t="s">
        <v>220</v>
      </c>
    </row>
    <row r="601" spans="1:165" x14ac:dyDescent="0.25">
      <c r="A601" t="s">
        <v>2325</v>
      </c>
      <c r="B601" t="s">
        <v>170</v>
      </c>
      <c r="C601" s="1">
        <v>46084</v>
      </c>
      <c r="D601" t="s">
        <v>238</v>
      </c>
      <c r="E601" t="s">
        <v>239</v>
      </c>
      <c r="F601" t="s">
        <v>240</v>
      </c>
      <c r="G601" t="s">
        <v>4237</v>
      </c>
      <c r="H601">
        <v>592</v>
      </c>
      <c r="I601" t="s">
        <v>4237</v>
      </c>
      <c r="J601">
        <v>13513</v>
      </c>
      <c r="K601" t="s">
        <v>4494</v>
      </c>
      <c r="L601" t="s">
        <v>3562</v>
      </c>
      <c r="M601" t="s">
        <v>4082</v>
      </c>
      <c r="N601" t="s">
        <v>2326</v>
      </c>
      <c r="O601" t="s">
        <v>2327</v>
      </c>
      <c r="R601">
        <f>1</f>
        <v>1</v>
      </c>
      <c r="S601">
        <f>9.9</f>
        <v>9.9</v>
      </c>
      <c r="T601">
        <f>7.5</f>
        <v>7.5</v>
      </c>
      <c r="U601">
        <f>404</f>
        <v>404</v>
      </c>
      <c r="X601">
        <f>0</f>
        <v>0</v>
      </c>
      <c r="Y601" t="s">
        <v>243</v>
      </c>
      <c r="Z601">
        <f>0</f>
        <v>0</v>
      </c>
      <c r="AA601" t="s">
        <v>179</v>
      </c>
      <c r="AB601" t="s">
        <v>179</v>
      </c>
      <c r="AC601">
        <f>0</f>
        <v>0</v>
      </c>
      <c r="AD601">
        <f>0</f>
        <v>0</v>
      </c>
      <c r="AE601">
        <f>0</f>
        <v>0</v>
      </c>
      <c r="AG601" t="s">
        <v>220</v>
      </c>
    </row>
    <row r="602" spans="1:165" x14ac:dyDescent="0.25">
      <c r="A602" t="s">
        <v>2328</v>
      </c>
      <c r="B602" t="s">
        <v>170</v>
      </c>
      <c r="C602" s="1">
        <v>46098</v>
      </c>
      <c r="D602" t="s">
        <v>238</v>
      </c>
      <c r="E602" t="s">
        <v>239</v>
      </c>
      <c r="F602" t="s">
        <v>240</v>
      </c>
      <c r="G602" t="s">
        <v>4237</v>
      </c>
      <c r="H602">
        <v>592</v>
      </c>
      <c r="I602" t="s">
        <v>4237</v>
      </c>
      <c r="J602">
        <v>13513</v>
      </c>
      <c r="K602" t="s">
        <v>4494</v>
      </c>
      <c r="L602" t="s">
        <v>3562</v>
      </c>
      <c r="M602" t="s">
        <v>4083</v>
      </c>
      <c r="N602" t="s">
        <v>2329</v>
      </c>
      <c r="O602" t="s">
        <v>2330</v>
      </c>
      <c r="R602">
        <f>1</f>
        <v>1</v>
      </c>
      <c r="S602">
        <f>11.3</f>
        <v>11.3</v>
      </c>
      <c r="T602">
        <f>7.8</f>
        <v>7.8</v>
      </c>
      <c r="U602">
        <f>402</f>
        <v>402</v>
      </c>
      <c r="X602">
        <f>0</f>
        <v>0</v>
      </c>
      <c r="Y602">
        <f>0.19</f>
        <v>0.19</v>
      </c>
      <c r="Z602">
        <f>0</f>
        <v>0</v>
      </c>
      <c r="AA602" t="s">
        <v>179</v>
      </c>
      <c r="AB602" t="s">
        <v>179</v>
      </c>
      <c r="AC602">
        <f>0</f>
        <v>0</v>
      </c>
      <c r="AD602">
        <f>0</f>
        <v>0</v>
      </c>
      <c r="AE602">
        <f>0</f>
        <v>0</v>
      </c>
      <c r="AG602" t="s">
        <v>220</v>
      </c>
    </row>
    <row r="603" spans="1:165" x14ac:dyDescent="0.25">
      <c r="A603" t="s">
        <v>2331</v>
      </c>
      <c r="B603" t="s">
        <v>766</v>
      </c>
      <c r="C603" s="1">
        <v>46114</v>
      </c>
      <c r="D603" t="s">
        <v>238</v>
      </c>
      <c r="E603" t="s">
        <v>239</v>
      </c>
      <c r="F603" t="s">
        <v>240</v>
      </c>
      <c r="G603" t="s">
        <v>241</v>
      </c>
      <c r="H603">
        <v>132</v>
      </c>
      <c r="I603" t="s">
        <v>241</v>
      </c>
      <c r="J603">
        <v>22721</v>
      </c>
      <c r="K603" t="s">
        <v>4494</v>
      </c>
      <c r="L603" t="s">
        <v>176</v>
      </c>
      <c r="M603" t="s">
        <v>3642</v>
      </c>
      <c r="N603" t="s">
        <v>3643</v>
      </c>
      <c r="O603" t="s">
        <v>2332</v>
      </c>
      <c r="R603">
        <f>1</f>
        <v>1</v>
      </c>
      <c r="S603">
        <f>10</f>
        <v>10</v>
      </c>
      <c r="T603">
        <f>7.4</f>
        <v>7.4</v>
      </c>
      <c r="U603">
        <f>419</f>
        <v>419</v>
      </c>
      <c r="X603">
        <f>0</f>
        <v>0</v>
      </c>
      <c r="Y603" t="s">
        <v>180</v>
      </c>
      <c r="Z603">
        <f>0</f>
        <v>0</v>
      </c>
      <c r="AA603">
        <f>47</f>
        <v>47</v>
      </c>
      <c r="AB603">
        <f>163</f>
        <v>163</v>
      </c>
      <c r="AC603">
        <f>0</f>
        <v>0</v>
      </c>
      <c r="AD603">
        <f>0</f>
        <v>0</v>
      </c>
      <c r="AE603">
        <f>0</f>
        <v>0</v>
      </c>
      <c r="AG603" t="s">
        <v>220</v>
      </c>
    </row>
    <row r="604" spans="1:165" x14ac:dyDescent="0.25">
      <c r="A604" t="s">
        <v>2333</v>
      </c>
      <c r="B604" t="s">
        <v>170</v>
      </c>
      <c r="C604" s="1">
        <v>46083</v>
      </c>
      <c r="D604" t="s">
        <v>195</v>
      </c>
      <c r="E604" t="s">
        <v>448</v>
      </c>
      <c r="F604" t="s">
        <v>1036</v>
      </c>
      <c r="G604" t="s">
        <v>2334</v>
      </c>
      <c r="H604">
        <v>197</v>
      </c>
      <c r="I604" t="s">
        <v>2335</v>
      </c>
      <c r="J604">
        <v>19851</v>
      </c>
      <c r="K604" t="s">
        <v>4494</v>
      </c>
      <c r="L604" t="s">
        <v>3644</v>
      </c>
      <c r="M604" t="s">
        <v>2336</v>
      </c>
      <c r="N604" t="s">
        <v>4407</v>
      </c>
      <c r="O604" t="s">
        <v>2337</v>
      </c>
      <c r="R604">
        <f>1</f>
        <v>1</v>
      </c>
      <c r="S604">
        <f>10.3</f>
        <v>10.3</v>
      </c>
      <c r="T604">
        <f>8</f>
        <v>8</v>
      </c>
      <c r="U604">
        <f>333</f>
        <v>333</v>
      </c>
      <c r="X604">
        <f>0</f>
        <v>0</v>
      </c>
      <c r="Y604">
        <f>0.02</f>
        <v>0.02</v>
      </c>
      <c r="Z604">
        <f>0</f>
        <v>0</v>
      </c>
      <c r="AA604">
        <f>0</f>
        <v>0</v>
      </c>
      <c r="AB604">
        <f>0</f>
        <v>0</v>
      </c>
      <c r="AC604">
        <f>0</f>
        <v>0</v>
      </c>
      <c r="AD604">
        <f>0</f>
        <v>0</v>
      </c>
      <c r="AE604">
        <f>0</f>
        <v>0</v>
      </c>
      <c r="AG604" t="s">
        <v>180</v>
      </c>
    </row>
    <row r="605" spans="1:165" x14ac:dyDescent="0.25">
      <c r="A605" t="s">
        <v>2338</v>
      </c>
      <c r="B605" t="s">
        <v>170</v>
      </c>
      <c r="C605" s="1">
        <v>46083</v>
      </c>
      <c r="D605" t="s">
        <v>195</v>
      </c>
      <c r="E605" t="s">
        <v>448</v>
      </c>
      <c r="F605" t="s">
        <v>1036</v>
      </c>
      <c r="G605" t="s">
        <v>2334</v>
      </c>
      <c r="H605">
        <v>197</v>
      </c>
      <c r="I605" t="s">
        <v>2335</v>
      </c>
      <c r="J605">
        <v>19851</v>
      </c>
      <c r="K605" t="s">
        <v>4494</v>
      </c>
      <c r="L605" t="s">
        <v>3644</v>
      </c>
      <c r="M605" t="s">
        <v>2339</v>
      </c>
      <c r="N605" t="s">
        <v>2340</v>
      </c>
      <c r="O605" t="s">
        <v>2341</v>
      </c>
      <c r="R605">
        <f>1</f>
        <v>1</v>
      </c>
      <c r="S605">
        <f>9.8</f>
        <v>9.8000000000000007</v>
      </c>
      <c r="T605">
        <f>7.9</f>
        <v>7.9</v>
      </c>
      <c r="U605">
        <f>269</f>
        <v>269</v>
      </c>
      <c r="X605">
        <f>0</f>
        <v>0</v>
      </c>
      <c r="Y605">
        <f>0.05</f>
        <v>0.05</v>
      </c>
      <c r="Z605">
        <f>0</f>
        <v>0</v>
      </c>
      <c r="AA605">
        <f>0</f>
        <v>0</v>
      </c>
      <c r="AB605">
        <f>0</f>
        <v>0</v>
      </c>
      <c r="AC605">
        <f>0</f>
        <v>0</v>
      </c>
      <c r="AD605">
        <f>0</f>
        <v>0</v>
      </c>
      <c r="AE605">
        <f>0</f>
        <v>0</v>
      </c>
      <c r="AG605" t="s">
        <v>180</v>
      </c>
      <c r="BU605">
        <f>15</f>
        <v>15</v>
      </c>
    </row>
    <row r="606" spans="1:165" x14ac:dyDescent="0.25">
      <c r="A606" t="s">
        <v>2342</v>
      </c>
      <c r="B606" t="s">
        <v>170</v>
      </c>
      <c r="C606" s="1">
        <v>46079</v>
      </c>
      <c r="D606" t="s">
        <v>251</v>
      </c>
      <c r="E606" t="s">
        <v>252</v>
      </c>
      <c r="F606" t="s">
        <v>253</v>
      </c>
      <c r="G606" t="s">
        <v>254</v>
      </c>
      <c r="H606">
        <v>76</v>
      </c>
      <c r="I606" t="s">
        <v>254</v>
      </c>
      <c r="J606">
        <v>11982</v>
      </c>
      <c r="K606" t="s">
        <v>4492</v>
      </c>
      <c r="L606" t="s">
        <v>3553</v>
      </c>
      <c r="M606" t="s">
        <v>4823</v>
      </c>
      <c r="N606" t="s">
        <v>4824</v>
      </c>
      <c r="O606" t="s">
        <v>2343</v>
      </c>
      <c r="Q606" t="s">
        <v>257</v>
      </c>
      <c r="R606">
        <f>1</f>
        <v>1</v>
      </c>
      <c r="S606">
        <f>8.4</f>
        <v>8.4</v>
      </c>
      <c r="T606">
        <f>7.8</f>
        <v>7.8</v>
      </c>
      <c r="U606">
        <f>353</f>
        <v>353</v>
      </c>
      <c r="V606">
        <f>0.09</f>
        <v>0.09</v>
      </c>
      <c r="X606">
        <f>0</f>
        <v>0</v>
      </c>
      <c r="Y606" t="s">
        <v>180</v>
      </c>
      <c r="Z606">
        <f>0</f>
        <v>0</v>
      </c>
      <c r="AA606">
        <f>0</f>
        <v>0</v>
      </c>
      <c r="AB606">
        <f>0</f>
        <v>0</v>
      </c>
      <c r="AD606">
        <f>0</f>
        <v>0</v>
      </c>
      <c r="AE606">
        <f>0</f>
        <v>0</v>
      </c>
      <c r="AG606" t="s">
        <v>180</v>
      </c>
      <c r="FF606" t="s">
        <v>646</v>
      </c>
      <c r="FG606" t="s">
        <v>646</v>
      </c>
      <c r="FI606" t="s">
        <v>646</v>
      </c>
    </row>
    <row r="607" spans="1:165" x14ac:dyDescent="0.25">
      <c r="A607" t="s">
        <v>2344</v>
      </c>
      <c r="B607" t="s">
        <v>170</v>
      </c>
      <c r="C607" s="1">
        <v>46085</v>
      </c>
      <c r="D607" t="s">
        <v>302</v>
      </c>
      <c r="E607" t="s">
        <v>303</v>
      </c>
      <c r="F607" t="s">
        <v>3645</v>
      </c>
      <c r="G607" t="s">
        <v>3769</v>
      </c>
      <c r="H607">
        <v>798</v>
      </c>
      <c r="I607" t="s">
        <v>2345</v>
      </c>
      <c r="J607">
        <v>18000</v>
      </c>
      <c r="K607" t="s">
        <v>4494</v>
      </c>
      <c r="L607" t="s">
        <v>2346</v>
      </c>
      <c r="M607" t="s">
        <v>4084</v>
      </c>
      <c r="N607" t="s">
        <v>3770</v>
      </c>
      <c r="O607" t="s">
        <v>2347</v>
      </c>
      <c r="R607">
        <f>1</f>
        <v>1</v>
      </c>
      <c r="S607">
        <f>10.6</f>
        <v>10.6</v>
      </c>
      <c r="T607">
        <f>7.8</f>
        <v>7.8</v>
      </c>
      <c r="U607">
        <f>509</f>
        <v>509</v>
      </c>
      <c r="X607">
        <f>0</f>
        <v>0</v>
      </c>
      <c r="Y607" t="s">
        <v>180</v>
      </c>
      <c r="Z607">
        <f>0</f>
        <v>0</v>
      </c>
      <c r="AA607" t="s">
        <v>179</v>
      </c>
      <c r="AB607" t="s">
        <v>179</v>
      </c>
      <c r="AC607">
        <f>0</f>
        <v>0</v>
      </c>
      <c r="AD607">
        <f>0</f>
        <v>0</v>
      </c>
      <c r="AE607">
        <f>0</f>
        <v>0</v>
      </c>
      <c r="AG607" t="s">
        <v>180</v>
      </c>
      <c r="BQ607" t="s">
        <v>646</v>
      </c>
    </row>
    <row r="608" spans="1:165" x14ac:dyDescent="0.25">
      <c r="A608" t="s">
        <v>2348</v>
      </c>
      <c r="B608" t="s">
        <v>170</v>
      </c>
      <c r="C608" s="1">
        <v>46085</v>
      </c>
      <c r="D608" t="s">
        <v>251</v>
      </c>
      <c r="E608" t="s">
        <v>252</v>
      </c>
      <c r="F608" t="s">
        <v>265</v>
      </c>
      <c r="G608" t="s">
        <v>4408</v>
      </c>
      <c r="H608">
        <v>854</v>
      </c>
      <c r="I608" t="s">
        <v>4408</v>
      </c>
      <c r="J608">
        <v>12117</v>
      </c>
      <c r="K608" t="s">
        <v>4494</v>
      </c>
      <c r="L608" t="s">
        <v>3566</v>
      </c>
      <c r="M608" t="s">
        <v>4825</v>
      </c>
      <c r="N608" t="s">
        <v>4826</v>
      </c>
      <c r="O608" t="s">
        <v>2349</v>
      </c>
      <c r="Q608" t="s">
        <v>257</v>
      </c>
      <c r="R608">
        <f>1</f>
        <v>1</v>
      </c>
      <c r="S608">
        <f>7.2</f>
        <v>7.2</v>
      </c>
      <c r="T608">
        <f>8.1</f>
        <v>8.1</v>
      </c>
      <c r="U608">
        <f>181</f>
        <v>181</v>
      </c>
      <c r="X608">
        <f>0</f>
        <v>0</v>
      </c>
      <c r="Y608" t="s">
        <v>180</v>
      </c>
      <c r="Z608">
        <f>0</f>
        <v>0</v>
      </c>
      <c r="AA608">
        <f>0</f>
        <v>0</v>
      </c>
      <c r="AB608">
        <f>3</f>
        <v>3</v>
      </c>
      <c r="AC608">
        <f>0</f>
        <v>0</v>
      </c>
      <c r="AD608">
        <f>0</f>
        <v>0</v>
      </c>
      <c r="AE608">
        <f>0</f>
        <v>0</v>
      </c>
      <c r="AG608" t="s">
        <v>180</v>
      </c>
    </row>
    <row r="609" spans="1:165" x14ac:dyDescent="0.25">
      <c r="A609" t="s">
        <v>2350</v>
      </c>
      <c r="B609" t="s">
        <v>170</v>
      </c>
      <c r="C609" s="1">
        <v>46099</v>
      </c>
      <c r="D609" t="s">
        <v>251</v>
      </c>
      <c r="E609" t="s">
        <v>252</v>
      </c>
      <c r="F609" t="s">
        <v>265</v>
      </c>
      <c r="G609" t="s">
        <v>3829</v>
      </c>
      <c r="H609">
        <v>889</v>
      </c>
      <c r="I609" t="s">
        <v>3830</v>
      </c>
      <c r="J609">
        <v>10779</v>
      </c>
      <c r="K609" t="s">
        <v>4494</v>
      </c>
      <c r="L609" t="s">
        <v>266</v>
      </c>
      <c r="M609" t="s">
        <v>4827</v>
      </c>
      <c r="N609" t="s">
        <v>4828</v>
      </c>
      <c r="O609" t="s">
        <v>2351</v>
      </c>
      <c r="Q609" t="s">
        <v>257</v>
      </c>
      <c r="R609">
        <f>1</f>
        <v>1</v>
      </c>
      <c r="S609">
        <f>9.5</f>
        <v>9.5</v>
      </c>
      <c r="T609">
        <f>8.1</f>
        <v>8.1</v>
      </c>
      <c r="U609">
        <f>167</f>
        <v>167</v>
      </c>
      <c r="V609">
        <f>0.08</f>
        <v>0.08</v>
      </c>
      <c r="X609">
        <f>0</f>
        <v>0</v>
      </c>
      <c r="Y609" t="s">
        <v>180</v>
      </c>
      <c r="Z609">
        <f>0</f>
        <v>0</v>
      </c>
      <c r="AA609">
        <f>0</f>
        <v>0</v>
      </c>
      <c r="AB609">
        <f>0</f>
        <v>0</v>
      </c>
      <c r="AC609">
        <f>0</f>
        <v>0</v>
      </c>
      <c r="AD609">
        <f>0</f>
        <v>0</v>
      </c>
      <c r="AE609">
        <f>0</f>
        <v>0</v>
      </c>
      <c r="AG609" t="s">
        <v>180</v>
      </c>
    </row>
    <row r="610" spans="1:165" x14ac:dyDescent="0.25">
      <c r="A610" t="s">
        <v>2352</v>
      </c>
      <c r="B610" t="s">
        <v>170</v>
      </c>
      <c r="C610" s="1">
        <v>46091</v>
      </c>
      <c r="D610" t="s">
        <v>184</v>
      </c>
      <c r="E610" t="s">
        <v>185</v>
      </c>
      <c r="F610" t="s">
        <v>269</v>
      </c>
      <c r="G610" t="s">
        <v>270</v>
      </c>
      <c r="H610">
        <v>346</v>
      </c>
      <c r="I610" t="s">
        <v>270</v>
      </c>
      <c r="J610">
        <v>21617</v>
      </c>
      <c r="K610" t="s">
        <v>4492</v>
      </c>
      <c r="L610" t="s">
        <v>271</v>
      </c>
      <c r="M610" t="s">
        <v>4829</v>
      </c>
      <c r="N610" t="s">
        <v>4085</v>
      </c>
      <c r="O610" t="s">
        <v>2353</v>
      </c>
      <c r="Q610" t="s">
        <v>274</v>
      </c>
      <c r="R610">
        <f>1</f>
        <v>1</v>
      </c>
      <c r="S610">
        <f>10.1</f>
        <v>10.1</v>
      </c>
      <c r="T610">
        <f>8</f>
        <v>8</v>
      </c>
      <c r="U610">
        <f>224</f>
        <v>224</v>
      </c>
      <c r="X610">
        <f>0</f>
        <v>0</v>
      </c>
      <c r="Y610" t="s">
        <v>180</v>
      </c>
      <c r="Z610">
        <f>0</f>
        <v>0</v>
      </c>
      <c r="AA610">
        <f>10</f>
        <v>10</v>
      </c>
      <c r="AB610">
        <f>10</f>
        <v>10</v>
      </c>
      <c r="AD610">
        <f>0</f>
        <v>0</v>
      </c>
      <c r="AE610">
        <f>0</f>
        <v>0</v>
      </c>
      <c r="AG610" t="s">
        <v>180</v>
      </c>
    </row>
    <row r="611" spans="1:165" x14ac:dyDescent="0.25">
      <c r="A611" t="s">
        <v>2354</v>
      </c>
      <c r="B611" t="s">
        <v>170</v>
      </c>
      <c r="C611" s="1">
        <v>46091</v>
      </c>
      <c r="D611" t="s">
        <v>184</v>
      </c>
      <c r="E611" t="s">
        <v>185</v>
      </c>
      <c r="F611" t="s">
        <v>269</v>
      </c>
      <c r="G611" t="s">
        <v>270</v>
      </c>
      <c r="H611">
        <v>346</v>
      </c>
      <c r="I611" t="s">
        <v>270</v>
      </c>
      <c r="J611">
        <v>21617</v>
      </c>
      <c r="K611" t="s">
        <v>4492</v>
      </c>
      <c r="L611" t="s">
        <v>271</v>
      </c>
      <c r="M611" t="s">
        <v>4830</v>
      </c>
      <c r="N611" t="s">
        <v>2355</v>
      </c>
      <c r="O611" t="s">
        <v>2356</v>
      </c>
      <c r="Q611" t="s">
        <v>274</v>
      </c>
      <c r="R611">
        <f>1</f>
        <v>1</v>
      </c>
      <c r="S611">
        <f>10.2</f>
        <v>10.199999999999999</v>
      </c>
      <c r="T611">
        <f>8.1</f>
        <v>8.1</v>
      </c>
      <c r="U611">
        <f>223</f>
        <v>223</v>
      </c>
      <c r="X611">
        <f>0</f>
        <v>0</v>
      </c>
      <c r="Y611" t="s">
        <v>180</v>
      </c>
      <c r="Z611">
        <f>0</f>
        <v>0</v>
      </c>
      <c r="AA611">
        <f>0</f>
        <v>0</v>
      </c>
      <c r="AB611">
        <f>0</f>
        <v>0</v>
      </c>
      <c r="AD611">
        <f>0</f>
        <v>0</v>
      </c>
      <c r="AE611">
        <f>0</f>
        <v>0</v>
      </c>
      <c r="AG611" t="s">
        <v>180</v>
      </c>
    </row>
    <row r="612" spans="1:165" x14ac:dyDescent="0.25">
      <c r="A612" t="s">
        <v>2357</v>
      </c>
      <c r="B612" t="s">
        <v>170</v>
      </c>
      <c r="C612" s="1">
        <v>46105</v>
      </c>
      <c r="D612" t="s">
        <v>251</v>
      </c>
      <c r="E612" t="s">
        <v>252</v>
      </c>
      <c r="F612" t="s">
        <v>280</v>
      </c>
      <c r="G612" t="s">
        <v>281</v>
      </c>
      <c r="H612">
        <v>104</v>
      </c>
      <c r="I612" t="s">
        <v>281</v>
      </c>
      <c r="J612">
        <v>61876</v>
      </c>
      <c r="K612" t="s">
        <v>4494</v>
      </c>
      <c r="L612" t="s">
        <v>3558</v>
      </c>
      <c r="M612" t="s">
        <v>4831</v>
      </c>
      <c r="N612" t="s">
        <v>2358</v>
      </c>
      <c r="O612" t="s">
        <v>2359</v>
      </c>
      <c r="Q612" t="s">
        <v>257</v>
      </c>
      <c r="R612">
        <f>1</f>
        <v>1</v>
      </c>
      <c r="S612">
        <f>9.7</f>
        <v>9.6999999999999993</v>
      </c>
      <c r="T612">
        <f>8</f>
        <v>8</v>
      </c>
      <c r="U612">
        <f>220</f>
        <v>220</v>
      </c>
      <c r="X612">
        <f>0</f>
        <v>0</v>
      </c>
      <c r="Y612" t="s">
        <v>180</v>
      </c>
      <c r="Z612">
        <f>0</f>
        <v>0</v>
      </c>
      <c r="AA612">
        <f>0</f>
        <v>0</v>
      </c>
      <c r="AB612">
        <f>0</f>
        <v>0</v>
      </c>
      <c r="AC612">
        <f>0</f>
        <v>0</v>
      </c>
      <c r="AD612">
        <f>0</f>
        <v>0</v>
      </c>
      <c r="AE612">
        <f>0</f>
        <v>0</v>
      </c>
      <c r="AG612" t="s">
        <v>180</v>
      </c>
    </row>
    <row r="613" spans="1:165" x14ac:dyDescent="0.25">
      <c r="A613" t="s">
        <v>2360</v>
      </c>
      <c r="B613" t="s">
        <v>170</v>
      </c>
      <c r="C613" s="1">
        <v>46105</v>
      </c>
      <c r="D613" t="s">
        <v>251</v>
      </c>
      <c r="E613" t="s">
        <v>252</v>
      </c>
      <c r="F613" t="s">
        <v>280</v>
      </c>
      <c r="G613" t="s">
        <v>281</v>
      </c>
      <c r="H613">
        <v>104</v>
      </c>
      <c r="I613" t="s">
        <v>281</v>
      </c>
      <c r="J613">
        <v>61876</v>
      </c>
      <c r="K613" t="s">
        <v>4494</v>
      </c>
      <c r="L613" t="s">
        <v>3558</v>
      </c>
      <c r="M613" t="s">
        <v>4832</v>
      </c>
      <c r="N613" t="s">
        <v>3771</v>
      </c>
      <c r="O613" t="s">
        <v>2361</v>
      </c>
      <c r="Q613" t="s">
        <v>257</v>
      </c>
      <c r="R613">
        <f>1</f>
        <v>1</v>
      </c>
      <c r="S613">
        <f>11.6</f>
        <v>11.6</v>
      </c>
      <c r="T613">
        <f>8.1</f>
        <v>8.1</v>
      </c>
      <c r="U613">
        <f>219</f>
        <v>219</v>
      </c>
      <c r="X613">
        <f>0</f>
        <v>0</v>
      </c>
      <c r="Y613" t="s">
        <v>180</v>
      </c>
      <c r="Z613">
        <f>0</f>
        <v>0</v>
      </c>
      <c r="AA613">
        <f>0</f>
        <v>0</v>
      </c>
      <c r="AB613">
        <f>0</f>
        <v>0</v>
      </c>
      <c r="AC613">
        <f>0</f>
        <v>0</v>
      </c>
      <c r="AD613">
        <f>0</f>
        <v>0</v>
      </c>
      <c r="AE613">
        <f>0</f>
        <v>0</v>
      </c>
      <c r="AG613" t="s">
        <v>180</v>
      </c>
    </row>
    <row r="614" spans="1:165" x14ac:dyDescent="0.25">
      <c r="A614" t="s">
        <v>2362</v>
      </c>
      <c r="B614" t="s">
        <v>170</v>
      </c>
      <c r="C614" s="1">
        <v>46129</v>
      </c>
      <c r="D614" t="s">
        <v>251</v>
      </c>
      <c r="E614" t="s">
        <v>252</v>
      </c>
      <c r="F614" t="s">
        <v>280</v>
      </c>
      <c r="G614" t="s">
        <v>281</v>
      </c>
      <c r="H614">
        <v>104</v>
      </c>
      <c r="I614" t="s">
        <v>281</v>
      </c>
      <c r="J614">
        <v>61876</v>
      </c>
      <c r="K614" t="s">
        <v>4494</v>
      </c>
      <c r="L614" t="s">
        <v>3558</v>
      </c>
      <c r="M614" t="s">
        <v>4505</v>
      </c>
      <c r="N614" t="s">
        <v>282</v>
      </c>
      <c r="O614" t="s">
        <v>283</v>
      </c>
      <c r="Q614" t="s">
        <v>257</v>
      </c>
      <c r="R614">
        <f>1</f>
        <v>1</v>
      </c>
      <c r="S614">
        <f>11.3</f>
        <v>11.3</v>
      </c>
      <c r="T614">
        <f>8</f>
        <v>8</v>
      </c>
      <c r="U614">
        <f>215</f>
        <v>215</v>
      </c>
      <c r="X614">
        <f>0</f>
        <v>0</v>
      </c>
      <c r="Y614" t="s">
        <v>180</v>
      </c>
      <c r="Z614">
        <f>0</f>
        <v>0</v>
      </c>
      <c r="AA614">
        <f>0</f>
        <v>0</v>
      </c>
      <c r="AB614">
        <f>10</f>
        <v>10</v>
      </c>
      <c r="AC614">
        <f>0</f>
        <v>0</v>
      </c>
      <c r="AD614">
        <f>0</f>
        <v>0</v>
      </c>
      <c r="AE614">
        <f>0</f>
        <v>0</v>
      </c>
      <c r="AG614" t="s">
        <v>180</v>
      </c>
    </row>
    <row r="615" spans="1:165" x14ac:dyDescent="0.25">
      <c r="A615" t="s">
        <v>2363</v>
      </c>
      <c r="B615" t="s">
        <v>170</v>
      </c>
      <c r="C615" s="1">
        <v>46105</v>
      </c>
      <c r="D615" t="s">
        <v>251</v>
      </c>
      <c r="E615" t="s">
        <v>252</v>
      </c>
      <c r="F615" t="s">
        <v>280</v>
      </c>
      <c r="G615" t="s">
        <v>281</v>
      </c>
      <c r="H615">
        <v>104</v>
      </c>
      <c r="I615" t="s">
        <v>281</v>
      </c>
      <c r="J615">
        <v>61876</v>
      </c>
      <c r="K615" t="s">
        <v>4494</v>
      </c>
      <c r="L615" t="s">
        <v>3558</v>
      </c>
      <c r="M615" t="s">
        <v>4833</v>
      </c>
      <c r="N615" t="s">
        <v>4086</v>
      </c>
      <c r="O615" t="s">
        <v>2364</v>
      </c>
      <c r="Q615" t="s">
        <v>257</v>
      </c>
      <c r="R615">
        <f>1</f>
        <v>1</v>
      </c>
      <c r="S615">
        <f>9.5</f>
        <v>9.5</v>
      </c>
      <c r="T615">
        <f>7.9</f>
        <v>7.9</v>
      </c>
      <c r="U615">
        <f>219</f>
        <v>219</v>
      </c>
      <c r="X615">
        <f>0</f>
        <v>0</v>
      </c>
      <c r="Y615" t="s">
        <v>180</v>
      </c>
      <c r="Z615">
        <f>0</f>
        <v>0</v>
      </c>
      <c r="AA615">
        <f>0</f>
        <v>0</v>
      </c>
      <c r="AB615">
        <f>0</f>
        <v>0</v>
      </c>
      <c r="AC615">
        <f>0</f>
        <v>0</v>
      </c>
      <c r="AD615">
        <f>0</f>
        <v>0</v>
      </c>
      <c r="AE615">
        <f>0</f>
        <v>0</v>
      </c>
      <c r="AG615" t="s">
        <v>180</v>
      </c>
    </row>
    <row r="616" spans="1:165" x14ac:dyDescent="0.25">
      <c r="A616" t="s">
        <v>2365</v>
      </c>
      <c r="B616" t="s">
        <v>170</v>
      </c>
      <c r="C616" s="1">
        <v>46097</v>
      </c>
      <c r="D616" t="s">
        <v>184</v>
      </c>
      <c r="E616" t="s">
        <v>185</v>
      </c>
      <c r="F616" t="s">
        <v>288</v>
      </c>
      <c r="G616" t="s">
        <v>3833</v>
      </c>
      <c r="H616">
        <v>334</v>
      </c>
      <c r="I616" t="s">
        <v>3834</v>
      </c>
      <c r="J616">
        <v>36909</v>
      </c>
      <c r="K616" t="s">
        <v>4492</v>
      </c>
      <c r="L616" t="s">
        <v>3282</v>
      </c>
      <c r="M616" t="s">
        <v>4834</v>
      </c>
      <c r="N616" t="s">
        <v>4835</v>
      </c>
      <c r="O616" t="s">
        <v>2366</v>
      </c>
      <c r="Q616" t="s">
        <v>257</v>
      </c>
      <c r="R616">
        <f>1</f>
        <v>1</v>
      </c>
      <c r="S616">
        <f>11.8</f>
        <v>11.8</v>
      </c>
      <c r="T616">
        <f>7.3</f>
        <v>7.3</v>
      </c>
      <c r="U616">
        <f>510</f>
        <v>510</v>
      </c>
      <c r="X616">
        <f>0</f>
        <v>0</v>
      </c>
      <c r="Y616" t="s">
        <v>180</v>
      </c>
      <c r="Z616">
        <f>0</f>
        <v>0</v>
      </c>
      <c r="AA616">
        <f>0</f>
        <v>0</v>
      </c>
      <c r="AB616">
        <f>3</f>
        <v>3</v>
      </c>
      <c r="AD616">
        <f>0</f>
        <v>0</v>
      </c>
      <c r="AE616">
        <f>0</f>
        <v>0</v>
      </c>
      <c r="AG616" t="s">
        <v>180</v>
      </c>
    </row>
    <row r="617" spans="1:165" x14ac:dyDescent="0.25">
      <c r="A617" t="s">
        <v>2367</v>
      </c>
      <c r="B617" t="s">
        <v>170</v>
      </c>
      <c r="C617" s="1">
        <v>46097</v>
      </c>
      <c r="D617" t="s">
        <v>184</v>
      </c>
      <c r="E617" t="s">
        <v>185</v>
      </c>
      <c r="F617" t="s">
        <v>288</v>
      </c>
      <c r="G617" t="s">
        <v>3833</v>
      </c>
      <c r="H617">
        <v>334</v>
      </c>
      <c r="I617" t="s">
        <v>3834</v>
      </c>
      <c r="J617">
        <v>36909</v>
      </c>
      <c r="K617" t="s">
        <v>4492</v>
      </c>
      <c r="L617" t="s">
        <v>3282</v>
      </c>
      <c r="M617" t="s">
        <v>3646</v>
      </c>
      <c r="N617" t="s">
        <v>3647</v>
      </c>
      <c r="O617" t="s">
        <v>2368</v>
      </c>
      <c r="Q617" t="s">
        <v>3527</v>
      </c>
      <c r="R617">
        <f>1</f>
        <v>1</v>
      </c>
      <c r="S617">
        <f>12</f>
        <v>12</v>
      </c>
      <c r="T617">
        <f>7.4</f>
        <v>7.4</v>
      </c>
      <c r="U617">
        <f>540</f>
        <v>540</v>
      </c>
      <c r="X617">
        <f>0</f>
        <v>0</v>
      </c>
      <c r="Y617" t="s">
        <v>180</v>
      </c>
      <c r="Z617">
        <f>0</f>
        <v>0</v>
      </c>
      <c r="AA617">
        <f>6</f>
        <v>6</v>
      </c>
      <c r="AB617">
        <f>2</f>
        <v>2</v>
      </c>
      <c r="AD617">
        <f>0</f>
        <v>0</v>
      </c>
      <c r="AE617">
        <f>0</f>
        <v>0</v>
      </c>
      <c r="AG617" t="s">
        <v>180</v>
      </c>
    </row>
    <row r="618" spans="1:165" x14ac:dyDescent="0.25">
      <c r="A618" t="s">
        <v>2369</v>
      </c>
      <c r="B618" t="s">
        <v>170</v>
      </c>
      <c r="C618" s="1">
        <v>46097</v>
      </c>
      <c r="D618" t="s">
        <v>184</v>
      </c>
      <c r="E618" t="s">
        <v>185</v>
      </c>
      <c r="F618" t="s">
        <v>288</v>
      </c>
      <c r="G618" t="s">
        <v>3833</v>
      </c>
      <c r="H618">
        <v>334</v>
      </c>
      <c r="I618" t="s">
        <v>3834</v>
      </c>
      <c r="J618">
        <v>36909</v>
      </c>
      <c r="K618" t="s">
        <v>4492</v>
      </c>
      <c r="L618" t="s">
        <v>3282</v>
      </c>
      <c r="M618" t="s">
        <v>4836</v>
      </c>
      <c r="N618" t="s">
        <v>3648</v>
      </c>
      <c r="O618" t="s">
        <v>2370</v>
      </c>
      <c r="Q618" t="s">
        <v>257</v>
      </c>
      <c r="R618">
        <f>1</f>
        <v>1</v>
      </c>
      <c r="S618">
        <f>15</f>
        <v>15</v>
      </c>
      <c r="T618">
        <f>7.3</f>
        <v>7.3</v>
      </c>
      <c r="U618">
        <f>570</f>
        <v>570</v>
      </c>
      <c r="X618">
        <f>0</f>
        <v>0</v>
      </c>
      <c r="Y618" t="s">
        <v>180</v>
      </c>
      <c r="Z618">
        <f>0</f>
        <v>0</v>
      </c>
      <c r="AA618">
        <f>0</f>
        <v>0</v>
      </c>
      <c r="AB618">
        <f>0</f>
        <v>0</v>
      </c>
      <c r="AD618">
        <f>0</f>
        <v>0</v>
      </c>
      <c r="AE618">
        <f>0</f>
        <v>0</v>
      </c>
      <c r="AG618" t="s">
        <v>180</v>
      </c>
    </row>
    <row r="619" spans="1:165" x14ac:dyDescent="0.25">
      <c r="A619" t="s">
        <v>2371</v>
      </c>
      <c r="B619" t="s">
        <v>170</v>
      </c>
      <c r="C619" s="1">
        <v>46097</v>
      </c>
      <c r="D619" t="s">
        <v>184</v>
      </c>
      <c r="E619" t="s">
        <v>185</v>
      </c>
      <c r="F619" t="s">
        <v>288</v>
      </c>
      <c r="G619" t="s">
        <v>3833</v>
      </c>
      <c r="H619">
        <v>334</v>
      </c>
      <c r="I619" t="s">
        <v>3834</v>
      </c>
      <c r="J619">
        <v>36909</v>
      </c>
      <c r="K619" t="s">
        <v>4492</v>
      </c>
      <c r="L619" t="s">
        <v>3282</v>
      </c>
      <c r="M619" t="s">
        <v>4837</v>
      </c>
      <c r="N619" t="s">
        <v>4087</v>
      </c>
      <c r="O619" t="s">
        <v>2372</v>
      </c>
      <c r="Q619" t="s">
        <v>257</v>
      </c>
      <c r="R619">
        <f>1</f>
        <v>1</v>
      </c>
      <c r="S619">
        <f>11.2</f>
        <v>11.2</v>
      </c>
      <c r="T619">
        <f>7.4</f>
        <v>7.4</v>
      </c>
      <c r="U619">
        <f>583</f>
        <v>583</v>
      </c>
      <c r="X619">
        <f>0</f>
        <v>0</v>
      </c>
      <c r="Y619" t="s">
        <v>180</v>
      </c>
      <c r="Z619">
        <f>0</f>
        <v>0</v>
      </c>
      <c r="AA619">
        <f>0</f>
        <v>0</v>
      </c>
      <c r="AB619">
        <f>0</f>
        <v>0</v>
      </c>
      <c r="AD619">
        <f>0</f>
        <v>0</v>
      </c>
      <c r="AE619">
        <f>0</f>
        <v>0</v>
      </c>
      <c r="AG619" t="s">
        <v>180</v>
      </c>
    </row>
    <row r="620" spans="1:165" x14ac:dyDescent="0.25">
      <c r="A620" t="s">
        <v>2373</v>
      </c>
      <c r="B620" t="s">
        <v>170</v>
      </c>
      <c r="C620" s="1">
        <v>46128</v>
      </c>
      <c r="D620" t="s">
        <v>184</v>
      </c>
      <c r="E620" t="s">
        <v>185</v>
      </c>
      <c r="F620" t="s">
        <v>288</v>
      </c>
      <c r="G620" t="s">
        <v>3833</v>
      </c>
      <c r="H620">
        <v>334</v>
      </c>
      <c r="I620" t="s">
        <v>3834</v>
      </c>
      <c r="J620">
        <v>36909</v>
      </c>
      <c r="K620" t="s">
        <v>4492</v>
      </c>
      <c r="L620" t="s">
        <v>3282</v>
      </c>
      <c r="M620" t="s">
        <v>4838</v>
      </c>
      <c r="N620" t="s">
        <v>4088</v>
      </c>
      <c r="O620" t="s">
        <v>2374</v>
      </c>
      <c r="Q620" t="s">
        <v>257</v>
      </c>
      <c r="R620">
        <f>1</f>
        <v>1</v>
      </c>
      <c r="S620">
        <f>14.1</f>
        <v>14.1</v>
      </c>
      <c r="T620">
        <f>7.3</f>
        <v>7.3</v>
      </c>
      <c r="U620">
        <f>570</f>
        <v>570</v>
      </c>
      <c r="X620">
        <f>0</f>
        <v>0</v>
      </c>
      <c r="Y620" t="s">
        <v>180</v>
      </c>
      <c r="Z620">
        <f>0</f>
        <v>0</v>
      </c>
      <c r="AA620">
        <f>0</f>
        <v>0</v>
      </c>
      <c r="AB620">
        <f>0</f>
        <v>0</v>
      </c>
      <c r="AD620">
        <f>0</f>
        <v>0</v>
      </c>
      <c r="AE620">
        <f>0</f>
        <v>0</v>
      </c>
      <c r="AG620" t="s">
        <v>180</v>
      </c>
    </row>
    <row r="621" spans="1:165" x14ac:dyDescent="0.25">
      <c r="A621" t="s">
        <v>2375</v>
      </c>
      <c r="B621" t="s">
        <v>170</v>
      </c>
      <c r="C621" s="1">
        <v>46084</v>
      </c>
      <c r="D621" t="s">
        <v>251</v>
      </c>
      <c r="E621" t="s">
        <v>252</v>
      </c>
      <c r="F621" t="s">
        <v>3842</v>
      </c>
      <c r="G621" t="s">
        <v>4517</v>
      </c>
      <c r="H621">
        <v>68</v>
      </c>
      <c r="I621" t="s">
        <v>3843</v>
      </c>
      <c r="J621">
        <v>19573</v>
      </c>
      <c r="K621" t="s">
        <v>4492</v>
      </c>
      <c r="L621" t="s">
        <v>3561</v>
      </c>
      <c r="M621" t="s">
        <v>2376</v>
      </c>
      <c r="N621" t="s">
        <v>4089</v>
      </c>
      <c r="O621" t="s">
        <v>2377</v>
      </c>
      <c r="Q621" t="s">
        <v>257</v>
      </c>
      <c r="R621">
        <f>1</f>
        <v>1</v>
      </c>
      <c r="S621">
        <f>11.9</f>
        <v>11.9</v>
      </c>
      <c r="T621">
        <f>7.8</f>
        <v>7.8</v>
      </c>
      <c r="U621">
        <f>260</f>
        <v>260</v>
      </c>
      <c r="V621">
        <f>0.1</f>
        <v>0.1</v>
      </c>
      <c r="X621">
        <f>0</f>
        <v>0</v>
      </c>
      <c r="Y621">
        <f>0.76</f>
        <v>0.76</v>
      </c>
      <c r="Z621">
        <f>0</f>
        <v>0</v>
      </c>
      <c r="AA621">
        <f>0</f>
        <v>0</v>
      </c>
      <c r="AB621">
        <f>0</f>
        <v>0</v>
      </c>
      <c r="AD621">
        <f>0</f>
        <v>0</v>
      </c>
      <c r="AE621">
        <f>0</f>
        <v>0</v>
      </c>
      <c r="AG621" t="s">
        <v>180</v>
      </c>
      <c r="FF621" t="s">
        <v>646</v>
      </c>
      <c r="FG621" t="s">
        <v>646</v>
      </c>
      <c r="FI621" t="s">
        <v>646</v>
      </c>
    </row>
    <row r="622" spans="1:165" x14ac:dyDescent="0.25">
      <c r="A622" t="s">
        <v>2378</v>
      </c>
      <c r="B622" t="s">
        <v>170</v>
      </c>
      <c r="C622" s="1">
        <v>46105</v>
      </c>
      <c r="D622" t="s">
        <v>251</v>
      </c>
      <c r="E622" t="s">
        <v>252</v>
      </c>
      <c r="F622" t="s">
        <v>280</v>
      </c>
      <c r="G622" t="s">
        <v>281</v>
      </c>
      <c r="H622">
        <v>104</v>
      </c>
      <c r="I622" t="s">
        <v>281</v>
      </c>
      <c r="J622">
        <v>61876</v>
      </c>
      <c r="K622" t="s">
        <v>4494</v>
      </c>
      <c r="L622" t="s">
        <v>3558</v>
      </c>
      <c r="M622" t="s">
        <v>4839</v>
      </c>
      <c r="N622" t="s">
        <v>4090</v>
      </c>
      <c r="O622" t="s">
        <v>2379</v>
      </c>
      <c r="Q622" t="s">
        <v>257</v>
      </c>
      <c r="R622">
        <f>1</f>
        <v>1</v>
      </c>
      <c r="S622">
        <f>9.4</f>
        <v>9.4</v>
      </c>
      <c r="T622">
        <f>8</f>
        <v>8</v>
      </c>
      <c r="U622">
        <f>281</f>
        <v>281</v>
      </c>
      <c r="X622">
        <f>0</f>
        <v>0</v>
      </c>
      <c r="Y622" t="s">
        <v>180</v>
      </c>
      <c r="Z622">
        <f>0</f>
        <v>0</v>
      </c>
      <c r="AA622">
        <f>0</f>
        <v>0</v>
      </c>
      <c r="AB622">
        <f>0</f>
        <v>0</v>
      </c>
      <c r="AC622">
        <f>0</f>
        <v>0</v>
      </c>
      <c r="AD622">
        <f>0</f>
        <v>0</v>
      </c>
      <c r="AE622">
        <f>0</f>
        <v>0</v>
      </c>
      <c r="AG622" t="s">
        <v>180</v>
      </c>
    </row>
    <row r="623" spans="1:165" x14ac:dyDescent="0.25">
      <c r="A623" t="s">
        <v>2380</v>
      </c>
      <c r="B623" t="s">
        <v>170</v>
      </c>
      <c r="C623" s="1">
        <v>46105</v>
      </c>
      <c r="D623" t="s">
        <v>251</v>
      </c>
      <c r="E623" t="s">
        <v>252</v>
      </c>
      <c r="F623" t="s">
        <v>280</v>
      </c>
      <c r="G623" t="s">
        <v>281</v>
      </c>
      <c r="H623">
        <v>104</v>
      </c>
      <c r="I623" t="s">
        <v>281</v>
      </c>
      <c r="J623">
        <v>61876</v>
      </c>
      <c r="K623" t="s">
        <v>4494</v>
      </c>
      <c r="L623" t="s">
        <v>3558</v>
      </c>
      <c r="M623" t="s">
        <v>4840</v>
      </c>
      <c r="N623" t="s">
        <v>4091</v>
      </c>
      <c r="O623" t="s">
        <v>2381</v>
      </c>
      <c r="Q623" t="s">
        <v>257</v>
      </c>
      <c r="R623">
        <f>1</f>
        <v>1</v>
      </c>
      <c r="S623">
        <f>10</f>
        <v>10</v>
      </c>
      <c r="T623">
        <f>8</f>
        <v>8</v>
      </c>
      <c r="U623">
        <f>284</f>
        <v>284</v>
      </c>
      <c r="X623">
        <f>0</f>
        <v>0</v>
      </c>
      <c r="Y623" t="s">
        <v>180</v>
      </c>
      <c r="Z623">
        <f>0</f>
        <v>0</v>
      </c>
      <c r="AA623">
        <f>0</f>
        <v>0</v>
      </c>
      <c r="AB623">
        <f>0</f>
        <v>0</v>
      </c>
      <c r="AC623">
        <f>0</f>
        <v>0</v>
      </c>
      <c r="AD623">
        <f>0</f>
        <v>0</v>
      </c>
      <c r="AE623">
        <f>0</f>
        <v>0</v>
      </c>
      <c r="AG623" t="s">
        <v>180</v>
      </c>
      <c r="FF623" t="s">
        <v>646</v>
      </c>
      <c r="FG623" t="s">
        <v>646</v>
      </c>
      <c r="FI623" t="s">
        <v>646</v>
      </c>
    </row>
    <row r="624" spans="1:165" x14ac:dyDescent="0.25">
      <c r="A624" t="s">
        <v>2382</v>
      </c>
      <c r="B624" t="s">
        <v>170</v>
      </c>
      <c r="C624" s="1">
        <v>46100</v>
      </c>
      <c r="D624" t="s">
        <v>222</v>
      </c>
      <c r="E624" t="s">
        <v>223</v>
      </c>
      <c r="F624" t="s">
        <v>3685</v>
      </c>
      <c r="G624" t="s">
        <v>3686</v>
      </c>
      <c r="H624">
        <v>1127</v>
      </c>
      <c r="I624" t="s">
        <v>3686</v>
      </c>
      <c r="J624">
        <v>13130</v>
      </c>
      <c r="K624" t="s">
        <v>4492</v>
      </c>
      <c r="L624" t="s">
        <v>291</v>
      </c>
      <c r="M624" t="s">
        <v>4841</v>
      </c>
      <c r="N624" t="s">
        <v>4092</v>
      </c>
      <c r="O624" t="s">
        <v>2383</v>
      </c>
      <c r="R624">
        <f>1</f>
        <v>1</v>
      </c>
      <c r="S624">
        <f>13</f>
        <v>13</v>
      </c>
      <c r="T624">
        <f>7.1</f>
        <v>7.1</v>
      </c>
      <c r="U624">
        <f>533</f>
        <v>533</v>
      </c>
      <c r="X624">
        <f>1</f>
        <v>1</v>
      </c>
      <c r="Y624" t="s">
        <v>180</v>
      </c>
      <c r="Z624">
        <f>0</f>
        <v>0</v>
      </c>
      <c r="AA624" t="s">
        <v>179</v>
      </c>
      <c r="AB624" t="s">
        <v>179</v>
      </c>
      <c r="AD624">
        <f>0</f>
        <v>0</v>
      </c>
      <c r="AE624">
        <f>0</f>
        <v>0</v>
      </c>
      <c r="AG624" t="s">
        <v>180</v>
      </c>
    </row>
    <row r="625" spans="1:69" x14ac:dyDescent="0.25">
      <c r="A625" t="s">
        <v>2384</v>
      </c>
      <c r="B625" t="s">
        <v>170</v>
      </c>
      <c r="C625" s="1">
        <v>46100</v>
      </c>
      <c r="D625" t="s">
        <v>222</v>
      </c>
      <c r="E625" t="s">
        <v>223</v>
      </c>
      <c r="F625" t="s">
        <v>3685</v>
      </c>
      <c r="G625" t="s">
        <v>3686</v>
      </c>
      <c r="H625">
        <v>1127</v>
      </c>
      <c r="I625" t="s">
        <v>3686</v>
      </c>
      <c r="J625">
        <v>13130</v>
      </c>
      <c r="K625" t="s">
        <v>4492</v>
      </c>
      <c r="L625" t="s">
        <v>291</v>
      </c>
      <c r="M625" t="s">
        <v>3772</v>
      </c>
      <c r="N625" t="s">
        <v>3428</v>
      </c>
      <c r="O625" t="s">
        <v>2385</v>
      </c>
      <c r="R625">
        <f>1</f>
        <v>1</v>
      </c>
      <c r="S625">
        <f>11.2</f>
        <v>11.2</v>
      </c>
      <c r="T625">
        <f>7.8</f>
        <v>7.8</v>
      </c>
      <c r="U625">
        <f>278</f>
        <v>278</v>
      </c>
      <c r="X625">
        <f>1</f>
        <v>1</v>
      </c>
      <c r="Y625" t="s">
        <v>180</v>
      </c>
      <c r="Z625">
        <f>0</f>
        <v>0</v>
      </c>
      <c r="AA625" t="s">
        <v>179</v>
      </c>
      <c r="AB625">
        <f>18</f>
        <v>18</v>
      </c>
      <c r="AD625">
        <f>0</f>
        <v>0</v>
      </c>
      <c r="AE625">
        <f>0</f>
        <v>0</v>
      </c>
      <c r="AG625" t="s">
        <v>180</v>
      </c>
    </row>
    <row r="626" spans="1:69" x14ac:dyDescent="0.25">
      <c r="A626" t="s">
        <v>2386</v>
      </c>
      <c r="B626" t="s">
        <v>170</v>
      </c>
      <c r="C626" s="1">
        <v>46084</v>
      </c>
      <c r="D626" t="s">
        <v>302</v>
      </c>
      <c r="E626" t="s">
        <v>303</v>
      </c>
      <c r="F626" t="s">
        <v>304</v>
      </c>
      <c r="G626" t="s">
        <v>305</v>
      </c>
      <c r="H626">
        <v>782</v>
      </c>
      <c r="I626" t="s">
        <v>306</v>
      </c>
      <c r="J626">
        <v>28100</v>
      </c>
      <c r="K626" t="s">
        <v>4492</v>
      </c>
      <c r="L626" t="s">
        <v>271</v>
      </c>
      <c r="M626" t="s">
        <v>4093</v>
      </c>
      <c r="N626" t="s">
        <v>2387</v>
      </c>
      <c r="O626" t="s">
        <v>2388</v>
      </c>
      <c r="R626">
        <f>1</f>
        <v>1</v>
      </c>
      <c r="S626">
        <f>11.9</f>
        <v>11.9</v>
      </c>
      <c r="T626">
        <f>7.6</f>
        <v>7.6</v>
      </c>
      <c r="U626">
        <f>456</f>
        <v>456</v>
      </c>
      <c r="X626">
        <f>0</f>
        <v>0</v>
      </c>
      <c r="Y626" t="s">
        <v>180</v>
      </c>
      <c r="Z626">
        <f>0</f>
        <v>0</v>
      </c>
      <c r="AA626" t="s">
        <v>179</v>
      </c>
      <c r="AB626" t="s">
        <v>179</v>
      </c>
      <c r="AD626">
        <f>0</f>
        <v>0</v>
      </c>
      <c r="AE626">
        <f>0</f>
        <v>0</v>
      </c>
      <c r="AG626" t="s">
        <v>180</v>
      </c>
    </row>
    <row r="627" spans="1:69" x14ac:dyDescent="0.25">
      <c r="A627" t="s">
        <v>2389</v>
      </c>
      <c r="B627" t="s">
        <v>170</v>
      </c>
      <c r="C627" s="1">
        <v>46092</v>
      </c>
      <c r="D627" t="s">
        <v>222</v>
      </c>
      <c r="E627" t="s">
        <v>223</v>
      </c>
      <c r="F627" t="s">
        <v>4508</v>
      </c>
      <c r="G627" t="s">
        <v>3835</v>
      </c>
      <c r="H627">
        <v>1133</v>
      </c>
      <c r="I627" t="s">
        <v>3836</v>
      </c>
      <c r="J627">
        <v>12771</v>
      </c>
      <c r="K627" t="s">
        <v>4492</v>
      </c>
      <c r="L627" t="s">
        <v>291</v>
      </c>
      <c r="M627" t="s">
        <v>2390</v>
      </c>
      <c r="N627" t="s">
        <v>2391</v>
      </c>
      <c r="O627" t="s">
        <v>2392</v>
      </c>
      <c r="R627">
        <f>1</f>
        <v>1</v>
      </c>
      <c r="S627">
        <f>11.2</f>
        <v>11.2</v>
      </c>
      <c r="T627">
        <f>7.7</f>
        <v>7.7</v>
      </c>
      <c r="U627">
        <f>513</f>
        <v>513</v>
      </c>
      <c r="X627">
        <f>0</f>
        <v>0</v>
      </c>
      <c r="Y627" t="s">
        <v>180</v>
      </c>
      <c r="Z627">
        <f>0</f>
        <v>0</v>
      </c>
      <c r="AA627" t="s">
        <v>179</v>
      </c>
      <c r="AB627" t="s">
        <v>179</v>
      </c>
      <c r="AD627">
        <f>0</f>
        <v>0</v>
      </c>
      <c r="AE627">
        <f>0</f>
        <v>0</v>
      </c>
      <c r="AG627" t="s">
        <v>180</v>
      </c>
    </row>
    <row r="628" spans="1:69" x14ac:dyDescent="0.25">
      <c r="A628" t="s">
        <v>2393</v>
      </c>
      <c r="B628" t="s">
        <v>170</v>
      </c>
      <c r="C628" s="1">
        <v>46098</v>
      </c>
      <c r="D628" t="s">
        <v>222</v>
      </c>
      <c r="E628" t="s">
        <v>260</v>
      </c>
      <c r="F628" t="s">
        <v>3579</v>
      </c>
      <c r="G628" t="s">
        <v>3773</v>
      </c>
      <c r="H628">
        <v>316</v>
      </c>
      <c r="I628" t="s">
        <v>3773</v>
      </c>
      <c r="J628">
        <v>18031</v>
      </c>
      <c r="K628" t="s">
        <v>4492</v>
      </c>
      <c r="L628" t="s">
        <v>176</v>
      </c>
      <c r="M628" t="s">
        <v>4842</v>
      </c>
      <c r="N628" t="s">
        <v>4843</v>
      </c>
      <c r="O628" t="s">
        <v>2394</v>
      </c>
      <c r="Q628" t="s">
        <v>2395</v>
      </c>
      <c r="R628">
        <f>1</f>
        <v>1</v>
      </c>
      <c r="S628">
        <f>9.8</f>
        <v>9.8000000000000007</v>
      </c>
      <c r="T628">
        <f>7.5</f>
        <v>7.5</v>
      </c>
      <c r="U628">
        <f>541</f>
        <v>541</v>
      </c>
      <c r="X628">
        <f>0</f>
        <v>0</v>
      </c>
      <c r="Y628">
        <f>0.06</f>
        <v>0.06</v>
      </c>
      <c r="Z628">
        <f>0</f>
        <v>0</v>
      </c>
      <c r="AA628" t="s">
        <v>179</v>
      </c>
      <c r="AB628" t="s">
        <v>179</v>
      </c>
      <c r="AD628">
        <f>0</f>
        <v>0</v>
      </c>
      <c r="AE628">
        <f>0</f>
        <v>0</v>
      </c>
      <c r="AG628" t="s">
        <v>220</v>
      </c>
    </row>
    <row r="629" spans="1:69" x14ac:dyDescent="0.25">
      <c r="A629" t="s">
        <v>2396</v>
      </c>
      <c r="B629" t="s">
        <v>170</v>
      </c>
      <c r="C629" s="1">
        <v>46112</v>
      </c>
      <c r="D629" t="s">
        <v>222</v>
      </c>
      <c r="E629" t="s">
        <v>223</v>
      </c>
      <c r="F629" t="s">
        <v>296</v>
      </c>
      <c r="G629" t="s">
        <v>297</v>
      </c>
      <c r="H629">
        <v>154</v>
      </c>
      <c r="I629" t="s">
        <v>3283</v>
      </c>
      <c r="J629">
        <v>55177</v>
      </c>
      <c r="K629" t="s">
        <v>4494</v>
      </c>
      <c r="L629" t="s">
        <v>4510</v>
      </c>
      <c r="M629" t="s">
        <v>2397</v>
      </c>
      <c r="N629" t="s">
        <v>2398</v>
      </c>
      <c r="O629" t="s">
        <v>2399</v>
      </c>
      <c r="R629">
        <f>1</f>
        <v>1</v>
      </c>
      <c r="S629">
        <f>11.2</f>
        <v>11.2</v>
      </c>
      <c r="T629">
        <f>7.8</f>
        <v>7.8</v>
      </c>
      <c r="U629">
        <f>562</f>
        <v>562</v>
      </c>
      <c r="V629">
        <f>0.26</f>
        <v>0.26</v>
      </c>
      <c r="X629">
        <f>1</f>
        <v>1</v>
      </c>
      <c r="Y629" t="s">
        <v>180</v>
      </c>
      <c r="Z629">
        <f>0</f>
        <v>0</v>
      </c>
      <c r="AA629" t="s">
        <v>179</v>
      </c>
      <c r="AB629" t="s">
        <v>179</v>
      </c>
      <c r="AC629">
        <f>0</f>
        <v>0</v>
      </c>
      <c r="AD629">
        <f>0</f>
        <v>0</v>
      </c>
      <c r="AE629">
        <f>0</f>
        <v>0</v>
      </c>
      <c r="AG629" t="s">
        <v>180</v>
      </c>
      <c r="BQ629" t="s">
        <v>300</v>
      </c>
    </row>
    <row r="630" spans="1:69" x14ac:dyDescent="0.25">
      <c r="A630" t="s">
        <v>2400</v>
      </c>
      <c r="B630" t="s">
        <v>170</v>
      </c>
      <c r="C630" s="1">
        <v>46098</v>
      </c>
      <c r="D630" t="s">
        <v>184</v>
      </c>
      <c r="E630" t="s">
        <v>239</v>
      </c>
      <c r="F630" t="s">
        <v>276</v>
      </c>
      <c r="G630" t="s">
        <v>4227</v>
      </c>
      <c r="H630">
        <v>691</v>
      </c>
      <c r="I630" t="s">
        <v>4228</v>
      </c>
      <c r="J630">
        <v>20462</v>
      </c>
      <c r="K630" t="s">
        <v>4494</v>
      </c>
      <c r="L630" t="s">
        <v>277</v>
      </c>
      <c r="M630" t="s">
        <v>4844</v>
      </c>
      <c r="N630" t="s">
        <v>2401</v>
      </c>
      <c r="O630" t="s">
        <v>2402</v>
      </c>
      <c r="R630">
        <f>1</f>
        <v>1</v>
      </c>
      <c r="S630">
        <f>11.3</f>
        <v>11.3</v>
      </c>
      <c r="T630">
        <f>7.8</f>
        <v>7.8</v>
      </c>
      <c r="U630">
        <f>319</f>
        <v>319</v>
      </c>
      <c r="X630">
        <f>0</f>
        <v>0</v>
      </c>
      <c r="Y630" t="s">
        <v>243</v>
      </c>
      <c r="Z630">
        <f>0</f>
        <v>0</v>
      </c>
      <c r="AA630" t="s">
        <v>179</v>
      </c>
      <c r="AB630" t="s">
        <v>179</v>
      </c>
      <c r="AC630">
        <f>0</f>
        <v>0</v>
      </c>
      <c r="AD630">
        <f>0</f>
        <v>0</v>
      </c>
      <c r="AE630">
        <f>0</f>
        <v>0</v>
      </c>
      <c r="AG630" t="s">
        <v>220</v>
      </c>
    </row>
    <row r="631" spans="1:69" x14ac:dyDescent="0.25">
      <c r="A631" t="s">
        <v>2403</v>
      </c>
      <c r="B631" t="s">
        <v>170</v>
      </c>
      <c r="C631" s="1">
        <v>46135</v>
      </c>
      <c r="D631" t="s">
        <v>302</v>
      </c>
      <c r="E631" t="s">
        <v>303</v>
      </c>
      <c r="F631" t="s">
        <v>310</v>
      </c>
      <c r="G631" t="s">
        <v>311</v>
      </c>
      <c r="H631">
        <v>800</v>
      </c>
      <c r="I631" t="s">
        <v>4231</v>
      </c>
      <c r="J631">
        <v>27331</v>
      </c>
      <c r="K631" t="s">
        <v>4492</v>
      </c>
      <c r="L631" t="s">
        <v>325</v>
      </c>
      <c r="M631" t="s">
        <v>4409</v>
      </c>
      <c r="N631" t="s">
        <v>4410</v>
      </c>
      <c r="O631" t="s">
        <v>2404</v>
      </c>
      <c r="R631">
        <f>1</f>
        <v>1</v>
      </c>
      <c r="S631">
        <f>13.9</f>
        <v>13.9</v>
      </c>
      <c r="T631">
        <f>7.2</f>
        <v>7.2</v>
      </c>
      <c r="U631">
        <f>585</f>
        <v>585</v>
      </c>
      <c r="V631" t="s">
        <v>192</v>
      </c>
      <c r="X631">
        <f>0</f>
        <v>0</v>
      </c>
      <c r="Y631" t="s">
        <v>180</v>
      </c>
      <c r="Z631">
        <f>0</f>
        <v>0</v>
      </c>
      <c r="AA631" t="s">
        <v>179</v>
      </c>
      <c r="AB631" t="s">
        <v>179</v>
      </c>
      <c r="AD631">
        <f>0</f>
        <v>0</v>
      </c>
      <c r="AE631">
        <f>0</f>
        <v>0</v>
      </c>
      <c r="AG631" t="s">
        <v>180</v>
      </c>
    </row>
    <row r="632" spans="1:69" x14ac:dyDescent="0.25">
      <c r="A632" t="s">
        <v>2405</v>
      </c>
      <c r="B632" t="s">
        <v>170</v>
      </c>
      <c r="C632" s="1">
        <v>46120</v>
      </c>
      <c r="D632" t="s">
        <v>302</v>
      </c>
      <c r="E632" t="s">
        <v>303</v>
      </c>
      <c r="F632" t="s">
        <v>310</v>
      </c>
      <c r="G632" t="s">
        <v>311</v>
      </c>
      <c r="H632">
        <v>799</v>
      </c>
      <c r="I632" t="s">
        <v>3284</v>
      </c>
      <c r="J632">
        <v>84503</v>
      </c>
      <c r="K632" t="s">
        <v>4492</v>
      </c>
      <c r="L632" t="s">
        <v>271</v>
      </c>
      <c r="M632" t="s">
        <v>4230</v>
      </c>
      <c r="N632" t="s">
        <v>316</v>
      </c>
      <c r="O632" t="s">
        <v>317</v>
      </c>
      <c r="R632">
        <f>1</f>
        <v>1</v>
      </c>
      <c r="S632">
        <f>14.1</f>
        <v>14.1</v>
      </c>
      <c r="T632">
        <f>7.5</f>
        <v>7.5</v>
      </c>
      <c r="U632">
        <f>473</f>
        <v>473</v>
      </c>
      <c r="X632">
        <f>0</f>
        <v>0</v>
      </c>
      <c r="Y632" t="s">
        <v>180</v>
      </c>
      <c r="Z632">
        <f>0</f>
        <v>0</v>
      </c>
      <c r="AA632" t="s">
        <v>179</v>
      </c>
      <c r="AB632" t="s">
        <v>179</v>
      </c>
      <c r="AD632">
        <f>0</f>
        <v>0</v>
      </c>
      <c r="AE632">
        <f>0</f>
        <v>0</v>
      </c>
      <c r="AG632" t="s">
        <v>180</v>
      </c>
    </row>
    <row r="633" spans="1:69" x14ac:dyDescent="0.25">
      <c r="A633" t="s">
        <v>2406</v>
      </c>
      <c r="B633" t="s">
        <v>170</v>
      </c>
      <c r="C633" s="1">
        <v>46083</v>
      </c>
      <c r="D633" t="s">
        <v>302</v>
      </c>
      <c r="E633" t="s">
        <v>303</v>
      </c>
      <c r="F633" t="s">
        <v>310</v>
      </c>
      <c r="G633" t="s">
        <v>311</v>
      </c>
      <c r="H633">
        <v>799</v>
      </c>
      <c r="I633" t="s">
        <v>3284</v>
      </c>
      <c r="J633">
        <v>84503</v>
      </c>
      <c r="K633" t="s">
        <v>4492</v>
      </c>
      <c r="L633" t="s">
        <v>271</v>
      </c>
      <c r="M633" t="s">
        <v>3774</v>
      </c>
      <c r="N633" t="s">
        <v>2407</v>
      </c>
      <c r="O633" t="s">
        <v>2408</v>
      </c>
      <c r="R633">
        <f>1</f>
        <v>1</v>
      </c>
      <c r="S633">
        <f>9.8</f>
        <v>9.8000000000000007</v>
      </c>
      <c r="T633">
        <f>7.5</f>
        <v>7.5</v>
      </c>
      <c r="U633">
        <f>474</f>
        <v>474</v>
      </c>
      <c r="X633">
        <f>0</f>
        <v>0</v>
      </c>
      <c r="Y633" t="s">
        <v>180</v>
      </c>
      <c r="Z633">
        <f>0</f>
        <v>0</v>
      </c>
      <c r="AA633" t="s">
        <v>179</v>
      </c>
      <c r="AB633" t="s">
        <v>179</v>
      </c>
      <c r="AD633">
        <f>0</f>
        <v>0</v>
      </c>
      <c r="AE633">
        <f>0</f>
        <v>0</v>
      </c>
      <c r="AG633" t="s">
        <v>180</v>
      </c>
      <c r="AH633" t="s">
        <v>193</v>
      </c>
      <c r="AK633" t="s">
        <v>181</v>
      </c>
      <c r="AL633" t="s">
        <v>182</v>
      </c>
      <c r="AM633">
        <f>12</f>
        <v>12</v>
      </c>
      <c r="AN633">
        <f>0.24</f>
        <v>0.24</v>
      </c>
      <c r="AO633">
        <f>24</f>
        <v>24</v>
      </c>
      <c r="AP633">
        <f>20</f>
        <v>20</v>
      </c>
      <c r="AQ633">
        <f>0.12</f>
        <v>0.12</v>
      </c>
    </row>
    <row r="634" spans="1:69" x14ac:dyDescent="0.25">
      <c r="A634" t="s">
        <v>2409</v>
      </c>
      <c r="B634" t="s">
        <v>170</v>
      </c>
      <c r="C634" s="1">
        <v>46127</v>
      </c>
      <c r="D634" t="s">
        <v>302</v>
      </c>
      <c r="E634" t="s">
        <v>303</v>
      </c>
      <c r="F634" t="s">
        <v>310</v>
      </c>
      <c r="G634" t="s">
        <v>311</v>
      </c>
      <c r="H634">
        <v>799</v>
      </c>
      <c r="I634" t="s">
        <v>3284</v>
      </c>
      <c r="J634">
        <v>84503</v>
      </c>
      <c r="K634" t="s">
        <v>4492</v>
      </c>
      <c r="L634" t="s">
        <v>271</v>
      </c>
      <c r="M634" t="s">
        <v>319</v>
      </c>
      <c r="N634" t="s">
        <v>320</v>
      </c>
      <c r="O634" t="s">
        <v>321</v>
      </c>
      <c r="R634">
        <f>1</f>
        <v>1</v>
      </c>
      <c r="S634">
        <f>12.8</f>
        <v>12.8</v>
      </c>
      <c r="T634">
        <f>7.5</f>
        <v>7.5</v>
      </c>
      <c r="U634">
        <f>533</f>
        <v>533</v>
      </c>
      <c r="X634">
        <f>0</f>
        <v>0</v>
      </c>
      <c r="Y634" t="s">
        <v>180</v>
      </c>
      <c r="Z634">
        <f>0</f>
        <v>0</v>
      </c>
      <c r="AA634" t="s">
        <v>179</v>
      </c>
      <c r="AB634" t="s">
        <v>179</v>
      </c>
      <c r="AD634">
        <f>0</f>
        <v>0</v>
      </c>
      <c r="AE634">
        <f>0</f>
        <v>0</v>
      </c>
      <c r="AG634" t="s">
        <v>180</v>
      </c>
    </row>
    <row r="635" spans="1:69" x14ac:dyDescent="0.25">
      <c r="A635" t="s">
        <v>2410</v>
      </c>
      <c r="B635" t="s">
        <v>170</v>
      </c>
      <c r="C635" s="1">
        <v>46126</v>
      </c>
      <c r="D635" t="s">
        <v>302</v>
      </c>
      <c r="E635" t="s">
        <v>303</v>
      </c>
      <c r="F635" t="s">
        <v>310</v>
      </c>
      <c r="G635" t="s">
        <v>311</v>
      </c>
      <c r="H635">
        <v>799</v>
      </c>
      <c r="I635" t="s">
        <v>3284</v>
      </c>
      <c r="J635">
        <v>84503</v>
      </c>
      <c r="K635" t="s">
        <v>4492</v>
      </c>
      <c r="L635" t="s">
        <v>271</v>
      </c>
      <c r="M635" t="s">
        <v>3839</v>
      </c>
      <c r="N635" t="s">
        <v>4511</v>
      </c>
      <c r="O635" t="s">
        <v>323</v>
      </c>
      <c r="R635">
        <f>1</f>
        <v>1</v>
      </c>
      <c r="S635">
        <f>14.2</f>
        <v>14.2</v>
      </c>
      <c r="T635">
        <f>7.4</f>
        <v>7.4</v>
      </c>
      <c r="U635">
        <f>535</f>
        <v>535</v>
      </c>
      <c r="X635">
        <f>0</f>
        <v>0</v>
      </c>
      <c r="Y635" t="s">
        <v>180</v>
      </c>
      <c r="Z635">
        <f>0</f>
        <v>0</v>
      </c>
      <c r="AA635" t="s">
        <v>179</v>
      </c>
      <c r="AB635" t="s">
        <v>179</v>
      </c>
      <c r="AD635">
        <f>0</f>
        <v>0</v>
      </c>
      <c r="AE635">
        <f>0</f>
        <v>0</v>
      </c>
      <c r="AG635" t="s">
        <v>180</v>
      </c>
    </row>
    <row r="636" spans="1:69" x14ac:dyDescent="0.25">
      <c r="A636" t="s">
        <v>2411</v>
      </c>
      <c r="B636" t="s">
        <v>170</v>
      </c>
      <c r="C636" s="1">
        <v>46086</v>
      </c>
      <c r="D636" t="s">
        <v>302</v>
      </c>
      <c r="E636" t="s">
        <v>303</v>
      </c>
      <c r="F636" t="s">
        <v>310</v>
      </c>
      <c r="G636" t="s">
        <v>311</v>
      </c>
      <c r="H636">
        <v>800</v>
      </c>
      <c r="I636" t="s">
        <v>4231</v>
      </c>
      <c r="J636">
        <v>27331</v>
      </c>
      <c r="K636" t="s">
        <v>4492</v>
      </c>
      <c r="L636" t="s">
        <v>325</v>
      </c>
      <c r="M636" t="s">
        <v>4094</v>
      </c>
      <c r="N636" t="s">
        <v>2412</v>
      </c>
      <c r="O636" t="s">
        <v>2413</v>
      </c>
      <c r="R636">
        <f>1</f>
        <v>1</v>
      </c>
      <c r="S636">
        <f>9.5</f>
        <v>9.5</v>
      </c>
      <c r="T636">
        <f>7.4</f>
        <v>7.4</v>
      </c>
      <c r="U636">
        <f>600</f>
        <v>600</v>
      </c>
      <c r="V636">
        <f>0.1</f>
        <v>0.1</v>
      </c>
      <c r="X636">
        <f>0</f>
        <v>0</v>
      </c>
      <c r="Y636" t="s">
        <v>180</v>
      </c>
      <c r="Z636">
        <f>0</f>
        <v>0</v>
      </c>
      <c r="AA636" t="s">
        <v>179</v>
      </c>
      <c r="AB636" t="s">
        <v>179</v>
      </c>
      <c r="AD636">
        <f>0</f>
        <v>0</v>
      </c>
      <c r="AE636">
        <f>0</f>
        <v>0</v>
      </c>
      <c r="AG636" t="s">
        <v>180</v>
      </c>
    </row>
    <row r="637" spans="1:69" x14ac:dyDescent="0.25">
      <c r="A637" t="s">
        <v>2414</v>
      </c>
      <c r="B637" t="s">
        <v>170</v>
      </c>
      <c r="C637" s="1">
        <v>46091</v>
      </c>
      <c r="D637" t="s">
        <v>216</v>
      </c>
      <c r="E637" t="s">
        <v>217</v>
      </c>
      <c r="F637" t="s">
        <v>3555</v>
      </c>
      <c r="G637" t="s">
        <v>4512</v>
      </c>
      <c r="H637">
        <v>1471</v>
      </c>
      <c r="I637" t="s">
        <v>4512</v>
      </c>
      <c r="J637">
        <v>14988</v>
      </c>
      <c r="K637" t="s">
        <v>4494</v>
      </c>
      <c r="L637" t="s">
        <v>197</v>
      </c>
      <c r="M637" t="s">
        <v>4513</v>
      </c>
      <c r="N637" t="s">
        <v>4514</v>
      </c>
      <c r="O637" t="s">
        <v>335</v>
      </c>
      <c r="Q637" t="s">
        <v>3470</v>
      </c>
      <c r="R637">
        <f>1</f>
        <v>1</v>
      </c>
      <c r="S637">
        <f>10</f>
        <v>10</v>
      </c>
      <c r="T637">
        <f>8.1</f>
        <v>8.1</v>
      </c>
      <c r="U637">
        <f>210</f>
        <v>210</v>
      </c>
      <c r="X637">
        <f>1</f>
        <v>1</v>
      </c>
      <c r="Y637">
        <f>0.11</f>
        <v>0.11</v>
      </c>
      <c r="Z637">
        <f>0</f>
        <v>0</v>
      </c>
      <c r="AA637">
        <f>0</f>
        <v>0</v>
      </c>
      <c r="AB637">
        <f>1</f>
        <v>1</v>
      </c>
      <c r="AC637">
        <f>0</f>
        <v>0</v>
      </c>
      <c r="AD637">
        <f>0</f>
        <v>0</v>
      </c>
      <c r="AE637">
        <f>0</f>
        <v>0</v>
      </c>
      <c r="AG637" t="s">
        <v>220</v>
      </c>
    </row>
    <row r="638" spans="1:69" x14ac:dyDescent="0.25">
      <c r="A638" t="s">
        <v>2415</v>
      </c>
      <c r="B638" t="s">
        <v>170</v>
      </c>
      <c r="C638" s="1">
        <v>46127</v>
      </c>
      <c r="D638" t="s">
        <v>302</v>
      </c>
      <c r="E638" t="s">
        <v>303</v>
      </c>
      <c r="F638" t="s">
        <v>310</v>
      </c>
      <c r="G638" t="s">
        <v>311</v>
      </c>
      <c r="H638">
        <v>799</v>
      </c>
      <c r="I638" t="s">
        <v>3284</v>
      </c>
      <c r="J638">
        <v>84503</v>
      </c>
      <c r="K638" t="s">
        <v>4492</v>
      </c>
      <c r="L638" t="s">
        <v>271</v>
      </c>
      <c r="M638" t="s">
        <v>4233</v>
      </c>
      <c r="N638" t="s">
        <v>4515</v>
      </c>
      <c r="O638" t="s">
        <v>341</v>
      </c>
      <c r="R638">
        <f>1</f>
        <v>1</v>
      </c>
      <c r="S638">
        <f>12.2</f>
        <v>12.2</v>
      </c>
      <c r="T638">
        <f>7.5</f>
        <v>7.5</v>
      </c>
      <c r="U638">
        <f>470</f>
        <v>470</v>
      </c>
      <c r="X638">
        <f>0</f>
        <v>0</v>
      </c>
      <c r="Y638" t="s">
        <v>180</v>
      </c>
      <c r="Z638">
        <f>0</f>
        <v>0</v>
      </c>
      <c r="AA638" t="s">
        <v>179</v>
      </c>
      <c r="AB638" t="s">
        <v>179</v>
      </c>
      <c r="AD638">
        <f>0</f>
        <v>0</v>
      </c>
      <c r="AE638">
        <f>0</f>
        <v>0</v>
      </c>
      <c r="AG638" t="s">
        <v>180</v>
      </c>
    </row>
    <row r="639" spans="1:69" x14ac:dyDescent="0.25">
      <c r="A639" t="s">
        <v>2416</v>
      </c>
      <c r="B639" t="s">
        <v>170</v>
      </c>
      <c r="C639" s="1">
        <v>46093</v>
      </c>
      <c r="D639" t="s">
        <v>302</v>
      </c>
      <c r="E639" t="s">
        <v>303</v>
      </c>
      <c r="F639" t="s">
        <v>310</v>
      </c>
      <c r="G639" t="s">
        <v>311</v>
      </c>
      <c r="H639">
        <v>800</v>
      </c>
      <c r="I639" t="s">
        <v>4231</v>
      </c>
      <c r="J639">
        <v>27331</v>
      </c>
      <c r="K639" t="s">
        <v>4492</v>
      </c>
      <c r="L639" t="s">
        <v>325</v>
      </c>
      <c r="M639" t="s">
        <v>2417</v>
      </c>
      <c r="N639" t="s">
        <v>3649</v>
      </c>
      <c r="O639" t="s">
        <v>2418</v>
      </c>
      <c r="R639">
        <f>1</f>
        <v>1</v>
      </c>
      <c r="S639">
        <f>11.7</f>
        <v>11.7</v>
      </c>
      <c r="T639">
        <f>7.3</f>
        <v>7.3</v>
      </c>
      <c r="U639">
        <f>575</f>
        <v>575</v>
      </c>
      <c r="V639">
        <f>0.18</f>
        <v>0.18</v>
      </c>
      <c r="X639">
        <f>0</f>
        <v>0</v>
      </c>
      <c r="Y639" t="s">
        <v>180</v>
      </c>
      <c r="Z639">
        <f>0</f>
        <v>0</v>
      </c>
      <c r="AA639" t="s">
        <v>179</v>
      </c>
      <c r="AB639" t="s">
        <v>179</v>
      </c>
      <c r="AD639">
        <f>0</f>
        <v>0</v>
      </c>
      <c r="AE639">
        <f>0</f>
        <v>0</v>
      </c>
      <c r="AG639" t="s">
        <v>180</v>
      </c>
    </row>
    <row r="640" spans="1:69" x14ac:dyDescent="0.25">
      <c r="A640" t="s">
        <v>2419</v>
      </c>
      <c r="B640" t="s">
        <v>170</v>
      </c>
      <c r="C640" s="1">
        <v>46136</v>
      </c>
      <c r="D640" t="s">
        <v>302</v>
      </c>
      <c r="E640" t="s">
        <v>303</v>
      </c>
      <c r="F640" t="s">
        <v>310</v>
      </c>
      <c r="G640" t="s">
        <v>311</v>
      </c>
      <c r="H640">
        <v>800</v>
      </c>
      <c r="I640" t="s">
        <v>4231</v>
      </c>
      <c r="J640">
        <v>27331</v>
      </c>
      <c r="K640" t="s">
        <v>4492</v>
      </c>
      <c r="L640" t="s">
        <v>325</v>
      </c>
      <c r="M640" t="s">
        <v>2420</v>
      </c>
      <c r="N640" t="s">
        <v>3429</v>
      </c>
      <c r="O640" t="s">
        <v>2421</v>
      </c>
      <c r="R640">
        <f>1</f>
        <v>1</v>
      </c>
      <c r="S640">
        <f>13.5</f>
        <v>13.5</v>
      </c>
      <c r="T640">
        <f>7.5</f>
        <v>7.5</v>
      </c>
      <c r="U640">
        <f>446</f>
        <v>446</v>
      </c>
      <c r="V640">
        <f>0.17</f>
        <v>0.17</v>
      </c>
      <c r="X640">
        <f>0</f>
        <v>0</v>
      </c>
      <c r="Y640" t="s">
        <v>180</v>
      </c>
      <c r="Z640">
        <f>0</f>
        <v>0</v>
      </c>
      <c r="AA640" t="s">
        <v>179</v>
      </c>
      <c r="AB640" t="s">
        <v>179</v>
      </c>
      <c r="AD640">
        <f>0</f>
        <v>0</v>
      </c>
      <c r="AE640">
        <f>0</f>
        <v>0</v>
      </c>
      <c r="AG640" t="s">
        <v>180</v>
      </c>
    </row>
    <row r="641" spans="1:165" x14ac:dyDescent="0.25">
      <c r="A641" t="s">
        <v>2422</v>
      </c>
      <c r="B641" t="s">
        <v>170</v>
      </c>
      <c r="C641" s="1">
        <v>46112</v>
      </c>
      <c r="D641" t="s">
        <v>222</v>
      </c>
      <c r="E641" t="s">
        <v>223</v>
      </c>
      <c r="F641" t="s">
        <v>296</v>
      </c>
      <c r="G641" t="s">
        <v>297</v>
      </c>
      <c r="H641">
        <v>154</v>
      </c>
      <c r="I641" t="s">
        <v>3283</v>
      </c>
      <c r="J641">
        <v>55177</v>
      </c>
      <c r="K641" t="s">
        <v>4494</v>
      </c>
      <c r="L641" t="s">
        <v>4510</v>
      </c>
      <c r="M641" t="s">
        <v>4411</v>
      </c>
      <c r="N641" t="s">
        <v>2423</v>
      </c>
      <c r="O641" t="s">
        <v>2424</v>
      </c>
      <c r="R641">
        <f>1</f>
        <v>1</v>
      </c>
      <c r="S641">
        <f>11.3</f>
        <v>11.3</v>
      </c>
      <c r="T641">
        <f>7.5</f>
        <v>7.5</v>
      </c>
      <c r="U641">
        <f>530</f>
        <v>530</v>
      </c>
      <c r="V641">
        <f>0.21</f>
        <v>0.21</v>
      </c>
      <c r="X641">
        <f>1</f>
        <v>1</v>
      </c>
      <c r="Y641" t="s">
        <v>180</v>
      </c>
      <c r="Z641">
        <f>0</f>
        <v>0</v>
      </c>
      <c r="AA641" t="s">
        <v>179</v>
      </c>
      <c r="AB641" t="s">
        <v>179</v>
      </c>
      <c r="AC641">
        <f>0</f>
        <v>0</v>
      </c>
      <c r="AD641">
        <f>0</f>
        <v>0</v>
      </c>
      <c r="AE641">
        <f>0</f>
        <v>0</v>
      </c>
      <c r="AF641" t="s">
        <v>2425</v>
      </c>
      <c r="AG641" t="s">
        <v>180</v>
      </c>
      <c r="AU641" t="s">
        <v>2425</v>
      </c>
      <c r="AV641" t="s">
        <v>2425</v>
      </c>
      <c r="AW641" t="s">
        <v>2425</v>
      </c>
      <c r="BQ641" t="s">
        <v>300</v>
      </c>
    </row>
    <row r="642" spans="1:165" x14ac:dyDescent="0.25">
      <c r="A642" t="s">
        <v>2426</v>
      </c>
      <c r="B642" t="s">
        <v>170</v>
      </c>
      <c r="C642" s="1">
        <v>46112</v>
      </c>
      <c r="D642" t="s">
        <v>222</v>
      </c>
      <c r="E642" t="s">
        <v>223</v>
      </c>
      <c r="F642" t="s">
        <v>296</v>
      </c>
      <c r="G642" t="s">
        <v>297</v>
      </c>
      <c r="H642">
        <v>154</v>
      </c>
      <c r="I642" t="s">
        <v>3283</v>
      </c>
      <c r="J642">
        <v>55177</v>
      </c>
      <c r="K642" t="s">
        <v>4494</v>
      </c>
      <c r="L642" t="s">
        <v>4510</v>
      </c>
      <c r="M642" t="s">
        <v>2427</v>
      </c>
      <c r="N642" t="s">
        <v>4095</v>
      </c>
      <c r="O642" t="s">
        <v>2428</v>
      </c>
      <c r="R642">
        <f>1</f>
        <v>1</v>
      </c>
      <c r="S642">
        <f>11.3</f>
        <v>11.3</v>
      </c>
      <c r="T642">
        <f>7.6</f>
        <v>7.6</v>
      </c>
      <c r="U642">
        <f>514</f>
        <v>514</v>
      </c>
      <c r="V642">
        <f>0.2</f>
        <v>0.2</v>
      </c>
      <c r="X642">
        <f>1</f>
        <v>1</v>
      </c>
      <c r="Y642" t="s">
        <v>180</v>
      </c>
      <c r="Z642">
        <f>0</f>
        <v>0</v>
      </c>
      <c r="AA642" t="s">
        <v>179</v>
      </c>
      <c r="AB642" t="s">
        <v>179</v>
      </c>
      <c r="AC642">
        <f>0</f>
        <v>0</v>
      </c>
      <c r="AD642">
        <f>0</f>
        <v>0</v>
      </c>
      <c r="AE642">
        <f>0</f>
        <v>0</v>
      </c>
      <c r="AG642" t="s">
        <v>180</v>
      </c>
      <c r="BQ642" t="s">
        <v>300</v>
      </c>
    </row>
    <row r="643" spans="1:165" x14ac:dyDescent="0.25">
      <c r="A643" t="s">
        <v>2429</v>
      </c>
      <c r="B643" t="s">
        <v>170</v>
      </c>
      <c r="C643" s="1">
        <v>46083</v>
      </c>
      <c r="D643" t="s">
        <v>216</v>
      </c>
      <c r="E643" t="s">
        <v>217</v>
      </c>
      <c r="F643" t="s">
        <v>3555</v>
      </c>
      <c r="G643" t="s">
        <v>4512</v>
      </c>
      <c r="H643">
        <v>1471</v>
      </c>
      <c r="I643" t="s">
        <v>4512</v>
      </c>
      <c r="J643">
        <v>14988</v>
      </c>
      <c r="K643" t="s">
        <v>4494</v>
      </c>
      <c r="L643" t="s">
        <v>197</v>
      </c>
      <c r="M643" t="s">
        <v>4096</v>
      </c>
      <c r="N643" t="s">
        <v>4845</v>
      </c>
      <c r="O643" t="s">
        <v>2430</v>
      </c>
      <c r="Q643" t="s">
        <v>4846</v>
      </c>
      <c r="R643">
        <f>1</f>
        <v>1</v>
      </c>
      <c r="S643">
        <f>13</f>
        <v>13</v>
      </c>
      <c r="T643">
        <f>8.2</f>
        <v>8.1999999999999993</v>
      </c>
      <c r="U643">
        <f>211</f>
        <v>211</v>
      </c>
      <c r="X643">
        <f>1</f>
        <v>1</v>
      </c>
      <c r="Y643">
        <f>0.09</f>
        <v>0.09</v>
      </c>
      <c r="Z643">
        <f>0</f>
        <v>0</v>
      </c>
      <c r="AA643">
        <f>0</f>
        <v>0</v>
      </c>
      <c r="AB643">
        <f>0</f>
        <v>0</v>
      </c>
      <c r="AC643">
        <f>0</f>
        <v>0</v>
      </c>
      <c r="AD643">
        <f>0</f>
        <v>0</v>
      </c>
      <c r="AE643">
        <f>0</f>
        <v>0</v>
      </c>
      <c r="AG643" t="s">
        <v>220</v>
      </c>
    </row>
    <row r="644" spans="1:165" x14ac:dyDescent="0.25">
      <c r="A644" t="s">
        <v>2431</v>
      </c>
      <c r="B644" t="s">
        <v>170</v>
      </c>
      <c r="C644" s="1">
        <v>46128</v>
      </c>
      <c r="D644" t="s">
        <v>222</v>
      </c>
      <c r="E644" t="s">
        <v>260</v>
      </c>
      <c r="F644" t="s">
        <v>3579</v>
      </c>
      <c r="G644" t="s">
        <v>3773</v>
      </c>
      <c r="H644">
        <v>316</v>
      </c>
      <c r="I644" t="s">
        <v>3773</v>
      </c>
      <c r="J644">
        <v>18031</v>
      </c>
      <c r="K644" t="s">
        <v>4492</v>
      </c>
      <c r="L644" t="s">
        <v>176</v>
      </c>
      <c r="M644" t="s">
        <v>4847</v>
      </c>
      <c r="N644" t="s">
        <v>2432</v>
      </c>
      <c r="O644" t="s">
        <v>2433</v>
      </c>
      <c r="R644">
        <f>1</f>
        <v>1</v>
      </c>
      <c r="S644">
        <f>13.5</f>
        <v>13.5</v>
      </c>
      <c r="T644">
        <f>7.6</f>
        <v>7.6</v>
      </c>
      <c r="U644">
        <f>342</f>
        <v>342</v>
      </c>
      <c r="X644">
        <f>0</f>
        <v>0</v>
      </c>
      <c r="Y644">
        <f>0.12</f>
        <v>0.12</v>
      </c>
      <c r="Z644">
        <f>0</f>
        <v>0</v>
      </c>
      <c r="AA644" t="s">
        <v>179</v>
      </c>
      <c r="AB644" t="s">
        <v>179</v>
      </c>
      <c r="AD644">
        <f>0</f>
        <v>0</v>
      </c>
      <c r="AE644">
        <f>0</f>
        <v>0</v>
      </c>
      <c r="AG644" t="s">
        <v>220</v>
      </c>
    </row>
    <row r="645" spans="1:165" x14ac:dyDescent="0.25">
      <c r="A645" t="s">
        <v>2434</v>
      </c>
      <c r="B645" t="s">
        <v>170</v>
      </c>
      <c r="C645" s="1">
        <v>46126</v>
      </c>
      <c r="D645" t="s">
        <v>216</v>
      </c>
      <c r="E645" t="s">
        <v>217</v>
      </c>
      <c r="F645" t="s">
        <v>3555</v>
      </c>
      <c r="G645" t="s">
        <v>4512</v>
      </c>
      <c r="H645">
        <v>1471</v>
      </c>
      <c r="I645" t="s">
        <v>4512</v>
      </c>
      <c r="J645">
        <v>14988</v>
      </c>
      <c r="K645" t="s">
        <v>4494</v>
      </c>
      <c r="L645" t="s">
        <v>197</v>
      </c>
      <c r="M645" t="s">
        <v>2435</v>
      </c>
      <c r="N645" t="s">
        <v>4097</v>
      </c>
      <c r="O645" t="s">
        <v>2436</v>
      </c>
      <c r="Q645" t="s">
        <v>3478</v>
      </c>
      <c r="R645">
        <f>1</f>
        <v>1</v>
      </c>
      <c r="S645">
        <f>13.5</f>
        <v>13.5</v>
      </c>
      <c r="T645">
        <f>8.4</f>
        <v>8.4</v>
      </c>
      <c r="U645">
        <f>221</f>
        <v>221</v>
      </c>
      <c r="X645">
        <f>1</f>
        <v>1</v>
      </c>
      <c r="Y645">
        <f>0.13</f>
        <v>0.13</v>
      </c>
      <c r="Z645">
        <f>0</f>
        <v>0</v>
      </c>
      <c r="AA645">
        <f>0</f>
        <v>0</v>
      </c>
      <c r="AB645">
        <f>0</f>
        <v>0</v>
      </c>
      <c r="AC645">
        <f>0</f>
        <v>0</v>
      </c>
      <c r="AD645">
        <f>0</f>
        <v>0</v>
      </c>
      <c r="AE645">
        <f>0</f>
        <v>0</v>
      </c>
      <c r="AG645" t="s">
        <v>220</v>
      </c>
    </row>
    <row r="646" spans="1:165" x14ac:dyDescent="0.25">
      <c r="A646" t="s">
        <v>2437</v>
      </c>
      <c r="B646" t="s">
        <v>170</v>
      </c>
      <c r="C646" s="1">
        <v>46105</v>
      </c>
      <c r="D646" t="s">
        <v>171</v>
      </c>
      <c r="E646" t="s">
        <v>172</v>
      </c>
      <c r="F646" t="s">
        <v>173</v>
      </c>
      <c r="G646" t="s">
        <v>174</v>
      </c>
      <c r="H646">
        <v>10</v>
      </c>
      <c r="I646" t="s">
        <v>175</v>
      </c>
      <c r="J646">
        <v>41781</v>
      </c>
      <c r="K646" t="s">
        <v>4492</v>
      </c>
      <c r="L646" t="s">
        <v>176</v>
      </c>
      <c r="M646" t="s">
        <v>4848</v>
      </c>
      <c r="N646" t="s">
        <v>2438</v>
      </c>
      <c r="O646" t="s">
        <v>2439</v>
      </c>
      <c r="R646">
        <f>1</f>
        <v>1</v>
      </c>
      <c r="S646">
        <f>8.8</f>
        <v>8.8000000000000007</v>
      </c>
      <c r="T646">
        <f>7.1</f>
        <v>7.1</v>
      </c>
      <c r="U646">
        <f>507</f>
        <v>507</v>
      </c>
      <c r="X646">
        <f>0</f>
        <v>0</v>
      </c>
      <c r="Y646">
        <f>0.1</f>
        <v>0.1</v>
      </c>
      <c r="Z646">
        <f>0</f>
        <v>0</v>
      </c>
      <c r="AA646" t="s">
        <v>179</v>
      </c>
      <c r="AB646" t="s">
        <v>179</v>
      </c>
      <c r="AD646">
        <f>0</f>
        <v>0</v>
      </c>
      <c r="AE646">
        <f>0</f>
        <v>0</v>
      </c>
      <c r="AG646" t="s">
        <v>180</v>
      </c>
    </row>
    <row r="647" spans="1:165" x14ac:dyDescent="0.25">
      <c r="A647" t="s">
        <v>2440</v>
      </c>
      <c r="B647" t="s">
        <v>170</v>
      </c>
      <c r="C647" s="1">
        <v>46105</v>
      </c>
      <c r="D647" t="s">
        <v>251</v>
      </c>
      <c r="E647" t="s">
        <v>252</v>
      </c>
      <c r="F647" t="s">
        <v>280</v>
      </c>
      <c r="G647" t="s">
        <v>281</v>
      </c>
      <c r="H647">
        <v>104</v>
      </c>
      <c r="I647" t="s">
        <v>281</v>
      </c>
      <c r="J647">
        <v>61876</v>
      </c>
      <c r="K647" t="s">
        <v>4494</v>
      </c>
      <c r="L647" t="s">
        <v>3558</v>
      </c>
      <c r="M647" t="s">
        <v>3430</v>
      </c>
      <c r="N647" t="s">
        <v>2441</v>
      </c>
      <c r="O647" t="s">
        <v>2442</v>
      </c>
      <c r="Q647" t="s">
        <v>257</v>
      </c>
      <c r="R647">
        <f>1</f>
        <v>1</v>
      </c>
      <c r="S647">
        <f>10.2</f>
        <v>10.199999999999999</v>
      </c>
      <c r="T647">
        <f>8</f>
        <v>8</v>
      </c>
      <c r="U647">
        <f>284</f>
        <v>284</v>
      </c>
      <c r="X647">
        <f>0</f>
        <v>0</v>
      </c>
      <c r="Y647" t="s">
        <v>180</v>
      </c>
      <c r="Z647">
        <f>0</f>
        <v>0</v>
      </c>
      <c r="AA647">
        <f>0</f>
        <v>0</v>
      </c>
      <c r="AB647">
        <f>0</f>
        <v>0</v>
      </c>
      <c r="AC647">
        <f>0</f>
        <v>0</v>
      </c>
      <c r="AD647">
        <f>0</f>
        <v>0</v>
      </c>
      <c r="AE647">
        <f>0</f>
        <v>0</v>
      </c>
      <c r="AG647" t="s">
        <v>180</v>
      </c>
    </row>
    <row r="648" spans="1:165" x14ac:dyDescent="0.25">
      <c r="A648" t="s">
        <v>2443</v>
      </c>
      <c r="B648" t="s">
        <v>170</v>
      </c>
      <c r="C648" s="1">
        <v>46098</v>
      </c>
      <c r="D648" t="s">
        <v>251</v>
      </c>
      <c r="E648" t="s">
        <v>252</v>
      </c>
      <c r="F648" t="s">
        <v>4244</v>
      </c>
      <c r="G648" t="s">
        <v>3775</v>
      </c>
      <c r="H648">
        <v>622</v>
      </c>
      <c r="I648" t="s">
        <v>3775</v>
      </c>
      <c r="J648">
        <v>50</v>
      </c>
      <c r="K648" t="s">
        <v>4492</v>
      </c>
      <c r="L648" t="s">
        <v>3566</v>
      </c>
      <c r="M648" t="s">
        <v>4543</v>
      </c>
      <c r="N648" t="s">
        <v>3776</v>
      </c>
      <c r="O648" t="s">
        <v>2444</v>
      </c>
      <c r="Q648" t="s">
        <v>3777</v>
      </c>
      <c r="R648">
        <f>1</f>
        <v>1</v>
      </c>
      <c r="S648">
        <f>8.9</f>
        <v>8.9</v>
      </c>
      <c r="T648">
        <f>7.8</f>
        <v>7.8</v>
      </c>
      <c r="U648">
        <f>280</f>
        <v>280</v>
      </c>
      <c r="X648">
        <f>0</f>
        <v>0</v>
      </c>
      <c r="Y648">
        <f>0.21</f>
        <v>0.21</v>
      </c>
      <c r="Z648">
        <f>0</f>
        <v>0</v>
      </c>
      <c r="AA648">
        <f>7</f>
        <v>7</v>
      </c>
      <c r="AB648">
        <f>0</f>
        <v>0</v>
      </c>
      <c r="AD648">
        <f>0</f>
        <v>0</v>
      </c>
      <c r="AE648">
        <f>0</f>
        <v>0</v>
      </c>
      <c r="AG648" t="s">
        <v>180</v>
      </c>
    </row>
    <row r="649" spans="1:165" x14ac:dyDescent="0.25">
      <c r="A649" t="s">
        <v>2445</v>
      </c>
      <c r="B649" t="s">
        <v>170</v>
      </c>
      <c r="C649" s="1">
        <v>46092</v>
      </c>
      <c r="D649" t="s">
        <v>171</v>
      </c>
      <c r="E649" t="s">
        <v>172</v>
      </c>
      <c r="F649" t="s">
        <v>173</v>
      </c>
      <c r="G649" t="s">
        <v>174</v>
      </c>
      <c r="H649">
        <v>10</v>
      </c>
      <c r="I649" t="s">
        <v>175</v>
      </c>
      <c r="J649">
        <v>41781</v>
      </c>
      <c r="K649" t="s">
        <v>4492</v>
      </c>
      <c r="L649" t="s">
        <v>176</v>
      </c>
      <c r="M649" t="s">
        <v>4543</v>
      </c>
      <c r="N649" t="s">
        <v>4849</v>
      </c>
      <c r="O649" t="s">
        <v>2446</v>
      </c>
      <c r="R649">
        <f>1</f>
        <v>1</v>
      </c>
      <c r="S649">
        <f>8.1</f>
        <v>8.1</v>
      </c>
      <c r="T649">
        <f>7.1</f>
        <v>7.1</v>
      </c>
      <c r="U649">
        <f>493</f>
        <v>493</v>
      </c>
      <c r="X649">
        <f>0</f>
        <v>0</v>
      </c>
      <c r="Y649">
        <f>0.1</f>
        <v>0.1</v>
      </c>
      <c r="Z649">
        <f>0</f>
        <v>0</v>
      </c>
      <c r="AA649" t="s">
        <v>179</v>
      </c>
      <c r="AB649" t="s">
        <v>179</v>
      </c>
      <c r="AD649">
        <f>0</f>
        <v>0</v>
      </c>
      <c r="AE649">
        <f>0</f>
        <v>0</v>
      </c>
      <c r="AG649" t="s">
        <v>180</v>
      </c>
    </row>
    <row r="650" spans="1:165" x14ac:dyDescent="0.25">
      <c r="A650" t="s">
        <v>2447</v>
      </c>
      <c r="B650" t="s">
        <v>170</v>
      </c>
      <c r="C650" s="1">
        <v>46106</v>
      </c>
      <c r="D650" t="s">
        <v>238</v>
      </c>
      <c r="E650" t="s">
        <v>260</v>
      </c>
      <c r="F650" t="s">
        <v>261</v>
      </c>
      <c r="G650" t="s">
        <v>3828</v>
      </c>
      <c r="H650">
        <v>145</v>
      </c>
      <c r="I650" t="s">
        <v>3828</v>
      </c>
      <c r="J650">
        <v>14228</v>
      </c>
      <c r="K650" t="s">
        <v>4492</v>
      </c>
      <c r="L650" t="s">
        <v>262</v>
      </c>
      <c r="M650" t="s">
        <v>4850</v>
      </c>
      <c r="N650" t="s">
        <v>4851</v>
      </c>
      <c r="O650" t="s">
        <v>2448</v>
      </c>
      <c r="R650">
        <f>1</f>
        <v>1</v>
      </c>
      <c r="S650">
        <f>12.8</f>
        <v>12.8</v>
      </c>
      <c r="T650">
        <f>7.4</f>
        <v>7.4</v>
      </c>
      <c r="U650">
        <f>411</f>
        <v>411</v>
      </c>
      <c r="V650">
        <f>0.07</f>
        <v>7.0000000000000007E-2</v>
      </c>
      <c r="X650">
        <f>0</f>
        <v>0</v>
      </c>
      <c r="Y650">
        <f>0.14</f>
        <v>0.14000000000000001</v>
      </c>
      <c r="Z650">
        <f>0</f>
        <v>0</v>
      </c>
      <c r="AA650" t="s">
        <v>179</v>
      </c>
      <c r="AB650" t="s">
        <v>179</v>
      </c>
      <c r="AD650">
        <f>0</f>
        <v>0</v>
      </c>
      <c r="AE650">
        <f>0</f>
        <v>0</v>
      </c>
      <c r="AG650" t="s">
        <v>220</v>
      </c>
    </row>
    <row r="651" spans="1:165" x14ac:dyDescent="0.25">
      <c r="A651" t="s">
        <v>2449</v>
      </c>
      <c r="B651" t="s">
        <v>170</v>
      </c>
      <c r="C651" s="1">
        <v>46132</v>
      </c>
      <c r="D651" t="s">
        <v>222</v>
      </c>
      <c r="E651" t="s">
        <v>223</v>
      </c>
      <c r="F651" t="s">
        <v>296</v>
      </c>
      <c r="G651" t="s">
        <v>297</v>
      </c>
      <c r="H651">
        <v>154</v>
      </c>
      <c r="I651" t="s">
        <v>3283</v>
      </c>
      <c r="J651">
        <v>55177</v>
      </c>
      <c r="K651" t="s">
        <v>4494</v>
      </c>
      <c r="L651" t="s">
        <v>4510</v>
      </c>
      <c r="M651" t="s">
        <v>381</v>
      </c>
      <c r="N651" t="s">
        <v>4518</v>
      </c>
      <c r="O651" t="s">
        <v>382</v>
      </c>
      <c r="R651">
        <f>1</f>
        <v>1</v>
      </c>
      <c r="S651">
        <f>14.4</f>
        <v>14.4</v>
      </c>
      <c r="T651">
        <f>7.7</f>
        <v>7.7</v>
      </c>
      <c r="U651">
        <f>479</f>
        <v>479</v>
      </c>
      <c r="V651">
        <f>0.24</f>
        <v>0.24</v>
      </c>
      <c r="X651">
        <f>1</f>
        <v>1</v>
      </c>
      <c r="Y651" t="s">
        <v>180</v>
      </c>
      <c r="Z651">
        <f>0</f>
        <v>0</v>
      </c>
      <c r="AA651" t="s">
        <v>179</v>
      </c>
      <c r="AB651" t="s">
        <v>179</v>
      </c>
      <c r="AC651">
        <f>0</f>
        <v>0</v>
      </c>
      <c r="AD651">
        <f>0</f>
        <v>0</v>
      </c>
      <c r="AE651">
        <f>0</f>
        <v>0</v>
      </c>
      <c r="AG651" t="s">
        <v>180</v>
      </c>
      <c r="BQ651" t="s">
        <v>300</v>
      </c>
      <c r="CF651" t="s">
        <v>285</v>
      </c>
      <c r="CG651" t="s">
        <v>285</v>
      </c>
      <c r="CH651" t="s">
        <v>285</v>
      </c>
      <c r="CI651" t="s">
        <v>285</v>
      </c>
      <c r="CJ651" t="s">
        <v>285</v>
      </c>
      <c r="CK651" t="s">
        <v>285</v>
      </c>
      <c r="CL651" t="s">
        <v>285</v>
      </c>
      <c r="CM651" t="s">
        <v>285</v>
      </c>
      <c r="CN651" t="s">
        <v>286</v>
      </c>
      <c r="CO651" t="s">
        <v>285</v>
      </c>
      <c r="CP651" t="s">
        <v>192</v>
      </c>
      <c r="CQ651" t="s">
        <v>192</v>
      </c>
      <c r="CR651" t="s">
        <v>192</v>
      </c>
      <c r="CS651" t="s">
        <v>192</v>
      </c>
      <c r="CT651" t="s">
        <v>286</v>
      </c>
      <c r="CU651" t="s">
        <v>286</v>
      </c>
      <c r="CV651" t="s">
        <v>285</v>
      </c>
      <c r="CW651" t="s">
        <v>285</v>
      </c>
      <c r="CX651" t="s">
        <v>286</v>
      </c>
      <c r="CY651" t="s">
        <v>192</v>
      </c>
      <c r="CZ651" t="s">
        <v>285</v>
      </c>
      <c r="DA651" t="s">
        <v>285</v>
      </c>
      <c r="DB651" t="s">
        <v>182</v>
      </c>
      <c r="DC651" t="s">
        <v>286</v>
      </c>
      <c r="DD651" t="s">
        <v>286</v>
      </c>
      <c r="DE651" t="s">
        <v>286</v>
      </c>
      <c r="DF651" t="s">
        <v>286</v>
      </c>
      <c r="DG651" t="s">
        <v>286</v>
      </c>
      <c r="DH651" t="s">
        <v>286</v>
      </c>
      <c r="DI651" t="s">
        <v>286</v>
      </c>
      <c r="DJ651" t="s">
        <v>286</v>
      </c>
      <c r="DK651" t="s">
        <v>286</v>
      </c>
      <c r="DL651" t="s">
        <v>286</v>
      </c>
      <c r="DM651" t="s">
        <v>286</v>
      </c>
      <c r="DN651" t="s">
        <v>286</v>
      </c>
      <c r="DO651" t="s">
        <v>286</v>
      </c>
      <c r="DP651" t="s">
        <v>286</v>
      </c>
      <c r="DQ651" t="s">
        <v>286</v>
      </c>
      <c r="DR651" t="s">
        <v>286</v>
      </c>
      <c r="DS651" t="s">
        <v>286</v>
      </c>
      <c r="DT651" t="s">
        <v>286</v>
      </c>
      <c r="DU651" t="s">
        <v>286</v>
      </c>
      <c r="DV651" t="s">
        <v>285</v>
      </c>
      <c r="DW651" t="s">
        <v>286</v>
      </c>
      <c r="DX651" t="s">
        <v>286</v>
      </c>
      <c r="DY651" t="s">
        <v>286</v>
      </c>
      <c r="DZ651" t="s">
        <v>285</v>
      </c>
      <c r="EA651" t="s">
        <v>285</v>
      </c>
      <c r="EB651" t="s">
        <v>286</v>
      </c>
      <c r="EC651" t="s">
        <v>192</v>
      </c>
      <c r="ED651" t="s">
        <v>286</v>
      </c>
      <c r="EE651" t="s">
        <v>286</v>
      </c>
      <c r="EF651" t="s">
        <v>286</v>
      </c>
      <c r="EG651" t="s">
        <v>285</v>
      </c>
      <c r="EH651" t="s">
        <v>286</v>
      </c>
      <c r="EI651" t="s">
        <v>286</v>
      </c>
      <c r="EJ651" t="s">
        <v>286</v>
      </c>
      <c r="EK651" t="s">
        <v>286</v>
      </c>
      <c r="EL651" t="s">
        <v>285</v>
      </c>
      <c r="EM651" t="s">
        <v>286</v>
      </c>
      <c r="EN651" t="s">
        <v>285</v>
      </c>
      <c r="EO651" t="s">
        <v>285</v>
      </c>
      <c r="EP651" t="s">
        <v>285</v>
      </c>
      <c r="EQ651" t="s">
        <v>285</v>
      </c>
      <c r="ER651" t="s">
        <v>285</v>
      </c>
      <c r="ES651" t="s">
        <v>285</v>
      </c>
      <c r="ET651" t="s">
        <v>285</v>
      </c>
      <c r="EU651" t="s">
        <v>285</v>
      </c>
      <c r="EV651" t="s">
        <v>192</v>
      </c>
      <c r="EW651" t="s">
        <v>286</v>
      </c>
      <c r="EX651" t="s">
        <v>285</v>
      </c>
      <c r="EY651" t="s">
        <v>285</v>
      </c>
      <c r="EZ651" t="s">
        <v>192</v>
      </c>
      <c r="FA651" t="s">
        <v>285</v>
      </c>
    </row>
    <row r="652" spans="1:165" x14ac:dyDescent="0.25">
      <c r="A652" t="s">
        <v>2450</v>
      </c>
      <c r="B652" t="s">
        <v>170</v>
      </c>
      <c r="C652" s="1">
        <v>46083</v>
      </c>
      <c r="D652" t="s">
        <v>171</v>
      </c>
      <c r="E652" t="s">
        <v>172</v>
      </c>
      <c r="F652" t="s">
        <v>173</v>
      </c>
      <c r="G652" t="s">
        <v>174</v>
      </c>
      <c r="H652">
        <v>10</v>
      </c>
      <c r="I652" t="s">
        <v>175</v>
      </c>
      <c r="J652">
        <v>41781</v>
      </c>
      <c r="K652" t="s">
        <v>4492</v>
      </c>
      <c r="L652" t="s">
        <v>176</v>
      </c>
      <c r="M652" t="s">
        <v>1215</v>
      </c>
      <c r="N652" t="s">
        <v>4852</v>
      </c>
      <c r="O652" t="s">
        <v>2451</v>
      </c>
      <c r="R652">
        <f>1</f>
        <v>1</v>
      </c>
      <c r="S652">
        <f>6.1</f>
        <v>6.1</v>
      </c>
      <c r="T652">
        <f>7.2</f>
        <v>7.2</v>
      </c>
      <c r="U652">
        <f>486</f>
        <v>486</v>
      </c>
      <c r="X652">
        <f>0</f>
        <v>0</v>
      </c>
      <c r="Y652">
        <f>0.1</f>
        <v>0.1</v>
      </c>
      <c r="Z652">
        <f>0</f>
        <v>0</v>
      </c>
      <c r="AA652" t="s">
        <v>179</v>
      </c>
      <c r="AB652" t="s">
        <v>179</v>
      </c>
      <c r="AD652">
        <f>0</f>
        <v>0</v>
      </c>
      <c r="AE652">
        <f>0</f>
        <v>0</v>
      </c>
      <c r="AG652" t="s">
        <v>180</v>
      </c>
    </row>
    <row r="653" spans="1:165" x14ac:dyDescent="0.25">
      <c r="A653" t="s">
        <v>2452</v>
      </c>
      <c r="B653" t="s">
        <v>170</v>
      </c>
      <c r="C653" s="1">
        <v>46127</v>
      </c>
      <c r="D653" t="s">
        <v>238</v>
      </c>
      <c r="E653" t="s">
        <v>239</v>
      </c>
      <c r="F653" t="s">
        <v>240</v>
      </c>
      <c r="G653" t="s">
        <v>241</v>
      </c>
      <c r="H653">
        <v>132</v>
      </c>
      <c r="I653" t="s">
        <v>241</v>
      </c>
      <c r="J653">
        <v>22721</v>
      </c>
      <c r="K653" t="s">
        <v>4494</v>
      </c>
      <c r="L653" t="s">
        <v>176</v>
      </c>
      <c r="M653" t="s">
        <v>2453</v>
      </c>
      <c r="N653" t="s">
        <v>4853</v>
      </c>
      <c r="O653" t="s">
        <v>2454</v>
      </c>
      <c r="R653">
        <f>1</f>
        <v>1</v>
      </c>
      <c r="S653">
        <f>16.3</f>
        <v>16.3</v>
      </c>
      <c r="T653">
        <f>7.4</f>
        <v>7.4</v>
      </c>
      <c r="U653">
        <f>433</f>
        <v>433</v>
      </c>
      <c r="X653">
        <f>1</f>
        <v>1</v>
      </c>
      <c r="Y653" t="s">
        <v>180</v>
      </c>
      <c r="Z653">
        <f>0</f>
        <v>0</v>
      </c>
      <c r="AA653" t="s">
        <v>179</v>
      </c>
      <c r="AB653" t="s">
        <v>179</v>
      </c>
      <c r="AC653">
        <f>0</f>
        <v>0</v>
      </c>
      <c r="AD653">
        <f>0</f>
        <v>0</v>
      </c>
      <c r="AE653">
        <f>0</f>
        <v>0</v>
      </c>
      <c r="AG653" t="s">
        <v>220</v>
      </c>
    </row>
    <row r="654" spans="1:165" x14ac:dyDescent="0.25">
      <c r="A654" t="s">
        <v>2455</v>
      </c>
      <c r="B654" t="s">
        <v>170</v>
      </c>
      <c r="C654" s="1">
        <v>46087</v>
      </c>
      <c r="D654" t="s">
        <v>251</v>
      </c>
      <c r="E654" t="s">
        <v>252</v>
      </c>
      <c r="F654" t="s">
        <v>280</v>
      </c>
      <c r="G654" t="s">
        <v>281</v>
      </c>
      <c r="H654">
        <v>104</v>
      </c>
      <c r="I654" t="s">
        <v>281</v>
      </c>
      <c r="J654">
        <v>61876</v>
      </c>
      <c r="K654" t="s">
        <v>4494</v>
      </c>
      <c r="L654" t="s">
        <v>3558</v>
      </c>
      <c r="M654" t="s">
        <v>4854</v>
      </c>
      <c r="N654" t="s">
        <v>3650</v>
      </c>
      <c r="O654" t="s">
        <v>2456</v>
      </c>
      <c r="Q654" t="s">
        <v>257</v>
      </c>
      <c r="R654">
        <f>1</f>
        <v>1</v>
      </c>
      <c r="S654">
        <f>8.1</f>
        <v>8.1</v>
      </c>
      <c r="T654">
        <f>7.8</f>
        <v>7.8</v>
      </c>
      <c r="U654">
        <f>375</f>
        <v>375</v>
      </c>
      <c r="X654">
        <f>0</f>
        <v>0</v>
      </c>
      <c r="Y654" t="s">
        <v>180</v>
      </c>
      <c r="Z654">
        <f>0</f>
        <v>0</v>
      </c>
      <c r="AA654">
        <f>0</f>
        <v>0</v>
      </c>
      <c r="AB654">
        <f>0</f>
        <v>0</v>
      </c>
      <c r="AC654">
        <f>0</f>
        <v>0</v>
      </c>
      <c r="AD654">
        <f>0</f>
        <v>0</v>
      </c>
      <c r="AE654">
        <f>0</f>
        <v>0</v>
      </c>
      <c r="AG654" t="s">
        <v>180</v>
      </c>
      <c r="FF654" t="s">
        <v>646</v>
      </c>
      <c r="FG654" t="s">
        <v>646</v>
      </c>
      <c r="FI654" t="s">
        <v>646</v>
      </c>
    </row>
    <row r="655" spans="1:165" x14ac:dyDescent="0.25">
      <c r="A655" t="s">
        <v>2457</v>
      </c>
      <c r="B655" t="s">
        <v>170</v>
      </c>
      <c r="C655" s="1">
        <v>46099</v>
      </c>
      <c r="D655" t="s">
        <v>251</v>
      </c>
      <c r="E655" t="s">
        <v>252</v>
      </c>
      <c r="F655" t="s">
        <v>265</v>
      </c>
      <c r="G655" t="s">
        <v>2458</v>
      </c>
      <c r="H655">
        <v>1697</v>
      </c>
      <c r="I655" t="s">
        <v>2459</v>
      </c>
      <c r="J655">
        <v>42</v>
      </c>
      <c r="K655" t="s">
        <v>4494</v>
      </c>
      <c r="L655" t="s">
        <v>3567</v>
      </c>
      <c r="M655" t="s">
        <v>3431</v>
      </c>
      <c r="N655" t="s">
        <v>2460</v>
      </c>
      <c r="Q655" t="s">
        <v>257</v>
      </c>
      <c r="R655">
        <f>1</f>
        <v>1</v>
      </c>
      <c r="S655">
        <f>6.7</f>
        <v>6.7</v>
      </c>
      <c r="T655">
        <f>8</f>
        <v>8</v>
      </c>
      <c r="U655">
        <f>292</f>
        <v>292</v>
      </c>
      <c r="X655">
        <f>0</f>
        <v>0</v>
      </c>
      <c r="Y655" t="s">
        <v>180</v>
      </c>
      <c r="Z655">
        <f>0</f>
        <v>0</v>
      </c>
      <c r="AA655">
        <f>0</f>
        <v>0</v>
      </c>
      <c r="AB655">
        <f>0</f>
        <v>0</v>
      </c>
      <c r="AC655">
        <f>0</f>
        <v>0</v>
      </c>
      <c r="AD655">
        <f>0</f>
        <v>0</v>
      </c>
      <c r="AE655">
        <f>0</f>
        <v>0</v>
      </c>
      <c r="AG655" t="s">
        <v>180</v>
      </c>
    </row>
    <row r="656" spans="1:165" x14ac:dyDescent="0.25">
      <c r="A656" t="s">
        <v>2461</v>
      </c>
      <c r="B656" t="s">
        <v>170</v>
      </c>
      <c r="C656" s="1">
        <v>46120</v>
      </c>
      <c r="D656" t="s">
        <v>251</v>
      </c>
      <c r="E656" t="s">
        <v>252</v>
      </c>
      <c r="F656" t="s">
        <v>3842</v>
      </c>
      <c r="G656" t="s">
        <v>4517</v>
      </c>
      <c r="H656">
        <v>68</v>
      </c>
      <c r="I656" t="s">
        <v>3843</v>
      </c>
      <c r="J656">
        <v>19573</v>
      </c>
      <c r="K656" t="s">
        <v>4492</v>
      </c>
      <c r="L656" t="s">
        <v>3561</v>
      </c>
      <c r="M656" t="s">
        <v>2462</v>
      </c>
      <c r="N656" t="s">
        <v>3778</v>
      </c>
      <c r="O656" t="s">
        <v>2463</v>
      </c>
      <c r="Q656" t="s">
        <v>3528</v>
      </c>
      <c r="R656">
        <f>1</f>
        <v>1</v>
      </c>
      <c r="S656">
        <f>10.3</f>
        <v>10.3</v>
      </c>
      <c r="T656">
        <f>7.8</f>
        <v>7.8</v>
      </c>
      <c r="U656">
        <f>275</f>
        <v>275</v>
      </c>
      <c r="V656">
        <f>0.06</f>
        <v>0.06</v>
      </c>
      <c r="X656">
        <f>0</f>
        <v>0</v>
      </c>
      <c r="Y656">
        <f>0.16</f>
        <v>0.16</v>
      </c>
      <c r="Z656">
        <f>0</f>
        <v>0</v>
      </c>
      <c r="AA656">
        <f>0</f>
        <v>0</v>
      </c>
      <c r="AB656">
        <f>0</f>
        <v>0</v>
      </c>
      <c r="AD656">
        <f>0</f>
        <v>0</v>
      </c>
      <c r="AE656">
        <f>0</f>
        <v>0</v>
      </c>
      <c r="AG656" t="s">
        <v>180</v>
      </c>
    </row>
    <row r="657" spans="1:165" x14ac:dyDescent="0.25">
      <c r="A657" t="s">
        <v>2464</v>
      </c>
      <c r="B657" t="s">
        <v>170</v>
      </c>
      <c r="C657" s="1">
        <v>46097</v>
      </c>
      <c r="D657" t="s">
        <v>184</v>
      </c>
      <c r="E657" t="s">
        <v>185</v>
      </c>
      <c r="F657" t="s">
        <v>384</v>
      </c>
      <c r="G657" t="s">
        <v>385</v>
      </c>
      <c r="H657">
        <v>1709</v>
      </c>
      <c r="I657" t="s">
        <v>4412</v>
      </c>
      <c r="J657">
        <v>38347</v>
      </c>
      <c r="K657" t="s">
        <v>4492</v>
      </c>
      <c r="L657" t="s">
        <v>271</v>
      </c>
      <c r="M657" t="s">
        <v>4855</v>
      </c>
      <c r="N657" t="s">
        <v>4856</v>
      </c>
      <c r="O657" t="s">
        <v>2465</v>
      </c>
      <c r="R657">
        <f>1</f>
        <v>1</v>
      </c>
      <c r="S657">
        <f>15.1</f>
        <v>15.1</v>
      </c>
      <c r="T657">
        <f>7.4</f>
        <v>7.4</v>
      </c>
      <c r="U657">
        <f>460</f>
        <v>460</v>
      </c>
      <c r="X657">
        <f>0</f>
        <v>0</v>
      </c>
      <c r="Y657" t="s">
        <v>180</v>
      </c>
      <c r="Z657">
        <f>0</f>
        <v>0</v>
      </c>
      <c r="AA657" t="s">
        <v>179</v>
      </c>
      <c r="AB657" t="s">
        <v>179</v>
      </c>
      <c r="AD657">
        <f>0</f>
        <v>0</v>
      </c>
      <c r="AE657">
        <f>0</f>
        <v>0</v>
      </c>
      <c r="AG657" t="s">
        <v>180</v>
      </c>
      <c r="FF657">
        <f>0.29</f>
        <v>0.28999999999999998</v>
      </c>
      <c r="FG657" t="s">
        <v>180</v>
      </c>
      <c r="FI657">
        <f>0.29</f>
        <v>0.28999999999999998</v>
      </c>
    </row>
    <row r="658" spans="1:165" x14ac:dyDescent="0.25">
      <c r="A658" t="s">
        <v>2466</v>
      </c>
      <c r="B658" t="s">
        <v>170</v>
      </c>
      <c r="C658" s="1">
        <v>46115</v>
      </c>
      <c r="D658" t="s">
        <v>184</v>
      </c>
      <c r="E658" t="s">
        <v>185</v>
      </c>
      <c r="F658" t="s">
        <v>384</v>
      </c>
      <c r="G658" t="s">
        <v>385</v>
      </c>
      <c r="H658">
        <v>1702</v>
      </c>
      <c r="I658" t="s">
        <v>3849</v>
      </c>
      <c r="J658">
        <v>37633</v>
      </c>
      <c r="K658" t="s">
        <v>4492</v>
      </c>
      <c r="L658" t="s">
        <v>271</v>
      </c>
      <c r="M658" t="s">
        <v>2467</v>
      </c>
      <c r="N658" t="s">
        <v>2468</v>
      </c>
      <c r="O658" t="s">
        <v>2469</v>
      </c>
      <c r="R658">
        <f>1</f>
        <v>1</v>
      </c>
      <c r="S658">
        <f>8.1</f>
        <v>8.1</v>
      </c>
      <c r="T658">
        <f>7.6</f>
        <v>7.6</v>
      </c>
      <c r="U658">
        <f>486</f>
        <v>486</v>
      </c>
      <c r="X658">
        <f>0</f>
        <v>0</v>
      </c>
      <c r="Y658" t="s">
        <v>180</v>
      </c>
      <c r="Z658">
        <f>0</f>
        <v>0</v>
      </c>
      <c r="AA658" t="s">
        <v>179</v>
      </c>
      <c r="AB658" t="s">
        <v>179</v>
      </c>
      <c r="AD658">
        <f>0</f>
        <v>0</v>
      </c>
      <c r="AE658">
        <f>0</f>
        <v>0</v>
      </c>
      <c r="AG658" t="s">
        <v>180</v>
      </c>
    </row>
    <row r="659" spans="1:165" x14ac:dyDescent="0.25">
      <c r="A659" t="s">
        <v>2470</v>
      </c>
      <c r="B659" t="s">
        <v>170</v>
      </c>
      <c r="C659" s="1">
        <v>46122</v>
      </c>
      <c r="D659" t="s">
        <v>184</v>
      </c>
      <c r="E659" t="s">
        <v>185</v>
      </c>
      <c r="F659" t="s">
        <v>384</v>
      </c>
      <c r="G659" t="s">
        <v>385</v>
      </c>
      <c r="H659">
        <v>1702</v>
      </c>
      <c r="I659" t="s">
        <v>3849</v>
      </c>
      <c r="J659">
        <v>37633</v>
      </c>
      <c r="K659" t="s">
        <v>4492</v>
      </c>
      <c r="L659" t="s">
        <v>271</v>
      </c>
      <c r="M659" t="s">
        <v>2471</v>
      </c>
      <c r="N659" t="s">
        <v>2472</v>
      </c>
      <c r="O659" t="s">
        <v>2473</v>
      </c>
      <c r="R659">
        <f>1</f>
        <v>1</v>
      </c>
      <c r="S659">
        <f>11.7</f>
        <v>11.7</v>
      </c>
      <c r="T659">
        <f>7.6</f>
        <v>7.6</v>
      </c>
      <c r="U659">
        <f>481</f>
        <v>481</v>
      </c>
      <c r="X659">
        <f>0</f>
        <v>0</v>
      </c>
      <c r="Y659" t="s">
        <v>180</v>
      </c>
      <c r="Z659">
        <f>0</f>
        <v>0</v>
      </c>
      <c r="AA659" t="s">
        <v>179</v>
      </c>
      <c r="AB659" t="s">
        <v>179</v>
      </c>
      <c r="AD659">
        <f>0</f>
        <v>0</v>
      </c>
      <c r="AE659">
        <f>0</f>
        <v>0</v>
      </c>
      <c r="AG659" t="s">
        <v>180</v>
      </c>
    </row>
    <row r="660" spans="1:165" x14ac:dyDescent="0.25">
      <c r="A660" t="s">
        <v>2474</v>
      </c>
      <c r="B660" t="s">
        <v>170</v>
      </c>
      <c r="C660" s="1">
        <v>46094</v>
      </c>
      <c r="D660" t="s">
        <v>184</v>
      </c>
      <c r="E660" t="s">
        <v>185</v>
      </c>
      <c r="F660" t="s">
        <v>384</v>
      </c>
      <c r="G660" t="s">
        <v>385</v>
      </c>
      <c r="H660">
        <v>1705</v>
      </c>
      <c r="I660" t="s">
        <v>405</v>
      </c>
      <c r="J660">
        <v>28423</v>
      </c>
      <c r="K660" t="s">
        <v>4492</v>
      </c>
      <c r="L660" t="s">
        <v>3562</v>
      </c>
      <c r="M660" t="s">
        <v>4098</v>
      </c>
      <c r="N660" t="s">
        <v>4099</v>
      </c>
      <c r="O660" t="s">
        <v>2475</v>
      </c>
      <c r="R660">
        <f>1</f>
        <v>1</v>
      </c>
      <c r="S660">
        <f>13.5</f>
        <v>13.5</v>
      </c>
      <c r="T660">
        <f>7.4</f>
        <v>7.4</v>
      </c>
      <c r="U660">
        <f>426</f>
        <v>426</v>
      </c>
      <c r="X660">
        <f>0</f>
        <v>0</v>
      </c>
      <c r="Y660" t="s">
        <v>180</v>
      </c>
      <c r="Z660">
        <f>0</f>
        <v>0</v>
      </c>
      <c r="AA660" t="s">
        <v>179</v>
      </c>
      <c r="AB660" t="s">
        <v>179</v>
      </c>
      <c r="AD660">
        <f>0</f>
        <v>0</v>
      </c>
      <c r="AE660">
        <f>0</f>
        <v>0</v>
      </c>
      <c r="AG660" t="s">
        <v>180</v>
      </c>
    </row>
    <row r="661" spans="1:165" x14ac:dyDescent="0.25">
      <c r="A661" t="s">
        <v>2476</v>
      </c>
      <c r="B661" t="s">
        <v>170</v>
      </c>
      <c r="C661" s="1">
        <v>46127</v>
      </c>
      <c r="D661" t="s">
        <v>184</v>
      </c>
      <c r="E661" t="s">
        <v>185</v>
      </c>
      <c r="F661" t="s">
        <v>384</v>
      </c>
      <c r="G661" t="s">
        <v>385</v>
      </c>
      <c r="H661">
        <v>1705</v>
      </c>
      <c r="I661" t="s">
        <v>405</v>
      </c>
      <c r="J661">
        <v>28423</v>
      </c>
      <c r="K661" t="s">
        <v>4492</v>
      </c>
      <c r="L661" t="s">
        <v>3562</v>
      </c>
      <c r="M661" t="s">
        <v>4857</v>
      </c>
      <c r="N661" t="s">
        <v>2477</v>
      </c>
      <c r="O661" t="s">
        <v>2478</v>
      </c>
      <c r="R661">
        <f>1</f>
        <v>1</v>
      </c>
      <c r="S661">
        <f>13</f>
        <v>13</v>
      </c>
      <c r="T661">
        <f>7</f>
        <v>7</v>
      </c>
      <c r="U661">
        <f>322</f>
        <v>322</v>
      </c>
      <c r="X661">
        <f>0</f>
        <v>0</v>
      </c>
      <c r="Y661" t="s">
        <v>180</v>
      </c>
      <c r="Z661">
        <f>0</f>
        <v>0</v>
      </c>
      <c r="AA661" t="s">
        <v>179</v>
      </c>
      <c r="AB661" t="s">
        <v>179</v>
      </c>
      <c r="AD661">
        <f>0</f>
        <v>0</v>
      </c>
      <c r="AE661">
        <f>0</f>
        <v>0</v>
      </c>
      <c r="AG661" t="s">
        <v>180</v>
      </c>
    </row>
    <row r="662" spans="1:165" x14ac:dyDescent="0.25">
      <c r="A662" t="s">
        <v>2479</v>
      </c>
      <c r="B662" t="s">
        <v>170</v>
      </c>
      <c r="C662" s="1">
        <v>46092</v>
      </c>
      <c r="D662" t="s">
        <v>184</v>
      </c>
      <c r="E662" t="s">
        <v>185</v>
      </c>
      <c r="F662" t="s">
        <v>384</v>
      </c>
      <c r="G662" t="s">
        <v>385</v>
      </c>
      <c r="H662">
        <v>1705</v>
      </c>
      <c r="I662" t="s">
        <v>405</v>
      </c>
      <c r="J662">
        <v>28423</v>
      </c>
      <c r="K662" t="s">
        <v>4492</v>
      </c>
      <c r="L662" t="s">
        <v>3562</v>
      </c>
      <c r="M662" t="s">
        <v>2480</v>
      </c>
      <c r="N662" t="s">
        <v>2481</v>
      </c>
      <c r="O662" t="s">
        <v>2482</v>
      </c>
      <c r="R662">
        <f>1</f>
        <v>1</v>
      </c>
      <c r="S662">
        <f>11.3</f>
        <v>11.3</v>
      </c>
      <c r="T662">
        <f>7.2</f>
        <v>7.2</v>
      </c>
      <c r="U662">
        <f>284</f>
        <v>284</v>
      </c>
      <c r="X662">
        <f>0</f>
        <v>0</v>
      </c>
      <c r="Y662" t="s">
        <v>180</v>
      </c>
      <c r="Z662">
        <f>0</f>
        <v>0</v>
      </c>
      <c r="AA662" t="s">
        <v>179</v>
      </c>
      <c r="AB662" t="s">
        <v>179</v>
      </c>
      <c r="AD662">
        <f>0</f>
        <v>0</v>
      </c>
      <c r="AE662">
        <f>0</f>
        <v>0</v>
      </c>
      <c r="AG662" t="s">
        <v>180</v>
      </c>
      <c r="FF662" t="s">
        <v>180</v>
      </c>
      <c r="FG662">
        <f>0.46</f>
        <v>0.46</v>
      </c>
      <c r="FI662">
        <f>0.46</f>
        <v>0.46</v>
      </c>
    </row>
    <row r="663" spans="1:165" x14ac:dyDescent="0.25">
      <c r="A663" t="s">
        <v>2483</v>
      </c>
      <c r="B663" t="s">
        <v>170</v>
      </c>
      <c r="C663" s="1">
        <v>46127</v>
      </c>
      <c r="D663" t="s">
        <v>184</v>
      </c>
      <c r="E663" t="s">
        <v>185</v>
      </c>
      <c r="F663" t="s">
        <v>384</v>
      </c>
      <c r="G663" t="s">
        <v>385</v>
      </c>
      <c r="H663">
        <v>1709</v>
      </c>
      <c r="I663" t="s">
        <v>4412</v>
      </c>
      <c r="J663">
        <v>38347</v>
      </c>
      <c r="K663" t="s">
        <v>4492</v>
      </c>
      <c r="L663" t="s">
        <v>271</v>
      </c>
      <c r="M663" t="s">
        <v>4100</v>
      </c>
      <c r="N663" t="s">
        <v>4858</v>
      </c>
      <c r="O663" t="s">
        <v>2484</v>
      </c>
      <c r="R663">
        <f>1</f>
        <v>1</v>
      </c>
      <c r="S663">
        <f>14.8</f>
        <v>14.8</v>
      </c>
      <c r="T663">
        <f>7</f>
        <v>7</v>
      </c>
      <c r="U663">
        <f>309</f>
        <v>309</v>
      </c>
      <c r="X663">
        <f>0</f>
        <v>0</v>
      </c>
      <c r="Y663" t="s">
        <v>180</v>
      </c>
      <c r="Z663">
        <f>0</f>
        <v>0</v>
      </c>
      <c r="AA663" t="s">
        <v>179</v>
      </c>
      <c r="AB663" t="s">
        <v>179</v>
      </c>
      <c r="AD663">
        <f>0</f>
        <v>0</v>
      </c>
      <c r="AE663">
        <f>0</f>
        <v>0</v>
      </c>
      <c r="AG663" t="s">
        <v>180</v>
      </c>
    </row>
    <row r="664" spans="1:165" x14ac:dyDescent="0.25">
      <c r="A664" t="s">
        <v>2485</v>
      </c>
      <c r="B664" t="s">
        <v>170</v>
      </c>
      <c r="C664" s="1">
        <v>46101</v>
      </c>
      <c r="D664" t="s">
        <v>184</v>
      </c>
      <c r="E664" t="s">
        <v>185</v>
      </c>
      <c r="F664" t="s">
        <v>384</v>
      </c>
      <c r="G664" t="s">
        <v>385</v>
      </c>
      <c r="H664">
        <v>1709</v>
      </c>
      <c r="I664" t="s">
        <v>4412</v>
      </c>
      <c r="J664">
        <v>38347</v>
      </c>
      <c r="K664" t="s">
        <v>4492</v>
      </c>
      <c r="L664" t="s">
        <v>271</v>
      </c>
      <c r="M664" t="s">
        <v>3651</v>
      </c>
      <c r="N664" t="s">
        <v>4859</v>
      </c>
      <c r="O664" t="s">
        <v>2486</v>
      </c>
      <c r="R664">
        <f>1</f>
        <v>1</v>
      </c>
      <c r="S664">
        <f>10.3</f>
        <v>10.3</v>
      </c>
      <c r="T664">
        <f>7.5</f>
        <v>7.5</v>
      </c>
      <c r="U664">
        <f>518</f>
        <v>518</v>
      </c>
      <c r="X664">
        <f>0</f>
        <v>0</v>
      </c>
      <c r="Y664">
        <f>0.1</f>
        <v>0.1</v>
      </c>
      <c r="Z664">
        <f>0</f>
        <v>0</v>
      </c>
      <c r="AA664" t="s">
        <v>179</v>
      </c>
      <c r="AB664" t="s">
        <v>179</v>
      </c>
      <c r="AD664">
        <f>0</f>
        <v>0</v>
      </c>
      <c r="AE664">
        <f>0</f>
        <v>0</v>
      </c>
      <c r="AG664" t="s">
        <v>180</v>
      </c>
    </row>
    <row r="665" spans="1:165" x14ac:dyDescent="0.25">
      <c r="A665" t="s">
        <v>2487</v>
      </c>
      <c r="B665" t="s">
        <v>170</v>
      </c>
      <c r="C665" s="1">
        <v>46112</v>
      </c>
      <c r="D665" t="s">
        <v>184</v>
      </c>
      <c r="E665" t="s">
        <v>185</v>
      </c>
      <c r="F665" t="s">
        <v>384</v>
      </c>
      <c r="G665" t="s">
        <v>385</v>
      </c>
      <c r="H665">
        <v>1709</v>
      </c>
      <c r="I665" t="s">
        <v>4412</v>
      </c>
      <c r="J665">
        <v>38347</v>
      </c>
      <c r="K665" t="s">
        <v>4492</v>
      </c>
      <c r="L665" t="s">
        <v>271</v>
      </c>
      <c r="M665" t="s">
        <v>4860</v>
      </c>
      <c r="N665" t="s">
        <v>4861</v>
      </c>
      <c r="O665" t="s">
        <v>2488</v>
      </c>
      <c r="R665">
        <f>1</f>
        <v>1</v>
      </c>
      <c r="S665">
        <f>12.9</f>
        <v>12.9</v>
      </c>
      <c r="T665">
        <f>7.3</f>
        <v>7.3</v>
      </c>
      <c r="U665">
        <f>516</f>
        <v>516</v>
      </c>
      <c r="X665">
        <f>0</f>
        <v>0</v>
      </c>
      <c r="Y665" t="s">
        <v>180</v>
      </c>
      <c r="Z665">
        <f>0</f>
        <v>0</v>
      </c>
      <c r="AA665" t="s">
        <v>179</v>
      </c>
      <c r="AB665">
        <f>54</f>
        <v>54</v>
      </c>
      <c r="AD665">
        <f>0</f>
        <v>0</v>
      </c>
      <c r="AE665">
        <f>0</f>
        <v>0</v>
      </c>
      <c r="AG665" t="s">
        <v>180</v>
      </c>
    </row>
    <row r="666" spans="1:165" x14ac:dyDescent="0.25">
      <c r="A666" t="s">
        <v>2489</v>
      </c>
      <c r="B666" t="s">
        <v>170</v>
      </c>
      <c r="C666" s="1">
        <v>46098</v>
      </c>
      <c r="D666" t="s">
        <v>216</v>
      </c>
      <c r="E666" t="s">
        <v>217</v>
      </c>
      <c r="F666" t="s">
        <v>408</v>
      </c>
      <c r="G666" t="s">
        <v>413</v>
      </c>
      <c r="H666">
        <v>367</v>
      </c>
      <c r="I666" t="s">
        <v>414</v>
      </c>
      <c r="J666">
        <v>29670</v>
      </c>
      <c r="K666" t="s">
        <v>4494</v>
      </c>
      <c r="L666" t="s">
        <v>3565</v>
      </c>
      <c r="M666" t="s">
        <v>3652</v>
      </c>
      <c r="N666" t="s">
        <v>2490</v>
      </c>
      <c r="R666">
        <f>1</f>
        <v>1</v>
      </c>
      <c r="S666">
        <f>10.7</f>
        <v>10.7</v>
      </c>
      <c r="T666">
        <f>8.1</f>
        <v>8.1</v>
      </c>
      <c r="U666">
        <f>241</f>
        <v>241</v>
      </c>
      <c r="X666">
        <f>1</f>
        <v>1</v>
      </c>
      <c r="Y666">
        <f>0.11</f>
        <v>0.11</v>
      </c>
      <c r="Z666">
        <f>0</f>
        <v>0</v>
      </c>
      <c r="AA666">
        <f>0</f>
        <v>0</v>
      </c>
      <c r="AB666">
        <f>31</f>
        <v>31</v>
      </c>
      <c r="AC666">
        <f>0</f>
        <v>0</v>
      </c>
      <c r="AD666">
        <f>0</f>
        <v>0</v>
      </c>
      <c r="AE666">
        <f>0</f>
        <v>0</v>
      </c>
      <c r="AG666" t="s">
        <v>220</v>
      </c>
      <c r="BQ666" t="s">
        <v>300</v>
      </c>
      <c r="BU666">
        <f>12</f>
        <v>12</v>
      </c>
      <c r="CD666" t="s">
        <v>2425</v>
      </c>
    </row>
    <row r="667" spans="1:165" x14ac:dyDescent="0.25">
      <c r="A667" t="s">
        <v>2491</v>
      </c>
      <c r="B667" t="s">
        <v>170</v>
      </c>
      <c r="C667" s="1">
        <v>46091</v>
      </c>
      <c r="D667" t="s">
        <v>216</v>
      </c>
      <c r="E667" t="s">
        <v>217</v>
      </c>
      <c r="F667" t="s">
        <v>408</v>
      </c>
      <c r="G667" t="s">
        <v>413</v>
      </c>
      <c r="H667">
        <v>367</v>
      </c>
      <c r="I667" t="s">
        <v>414</v>
      </c>
      <c r="J667">
        <v>29670</v>
      </c>
      <c r="K667" t="s">
        <v>4494</v>
      </c>
      <c r="L667" t="s">
        <v>3565</v>
      </c>
      <c r="M667" t="s">
        <v>4862</v>
      </c>
      <c r="N667" t="s">
        <v>3432</v>
      </c>
      <c r="Q667" t="s">
        <v>3468</v>
      </c>
      <c r="R667">
        <f>1</f>
        <v>1</v>
      </c>
      <c r="S667">
        <f>10.3</f>
        <v>10.3</v>
      </c>
      <c r="T667">
        <f>8</f>
        <v>8</v>
      </c>
      <c r="U667">
        <f>227</f>
        <v>227</v>
      </c>
      <c r="X667">
        <f>1</f>
        <v>1</v>
      </c>
      <c r="Y667">
        <f>0.17</f>
        <v>0.17</v>
      </c>
      <c r="Z667">
        <f>0</f>
        <v>0</v>
      </c>
      <c r="AA667">
        <f>0</f>
        <v>0</v>
      </c>
      <c r="AB667">
        <f>0</f>
        <v>0</v>
      </c>
      <c r="AC667">
        <f>0</f>
        <v>0</v>
      </c>
      <c r="AD667">
        <f>0</f>
        <v>0</v>
      </c>
      <c r="AE667">
        <f>0</f>
        <v>0</v>
      </c>
      <c r="AG667" t="s">
        <v>220</v>
      </c>
      <c r="BQ667" t="s">
        <v>300</v>
      </c>
    </row>
    <row r="668" spans="1:165" x14ac:dyDescent="0.25">
      <c r="A668" t="s">
        <v>2492</v>
      </c>
      <c r="B668" t="s">
        <v>170</v>
      </c>
      <c r="C668" s="1">
        <v>46141</v>
      </c>
      <c r="D668" t="s">
        <v>222</v>
      </c>
      <c r="E668" t="s">
        <v>223</v>
      </c>
      <c r="F668" t="s">
        <v>3896</v>
      </c>
      <c r="G668" t="s">
        <v>4101</v>
      </c>
      <c r="H668">
        <v>1121</v>
      </c>
      <c r="I668" t="s">
        <v>4101</v>
      </c>
      <c r="J668">
        <v>14612</v>
      </c>
      <c r="K668" t="s">
        <v>4492</v>
      </c>
      <c r="L668" t="s">
        <v>291</v>
      </c>
      <c r="M668" t="s">
        <v>4413</v>
      </c>
      <c r="N668" t="s">
        <v>4102</v>
      </c>
      <c r="R668">
        <f>1</f>
        <v>1</v>
      </c>
      <c r="S668">
        <f>14.6</f>
        <v>14.6</v>
      </c>
      <c r="T668">
        <f>7.7</f>
        <v>7.7</v>
      </c>
      <c r="U668">
        <f>515</f>
        <v>515</v>
      </c>
      <c r="X668">
        <f>0</f>
        <v>0</v>
      </c>
      <c r="Y668" t="s">
        <v>180</v>
      </c>
      <c r="Z668">
        <f>0</f>
        <v>0</v>
      </c>
      <c r="AA668">
        <f>40</f>
        <v>40</v>
      </c>
      <c r="AB668" t="s">
        <v>179</v>
      </c>
      <c r="AD668">
        <f>0</f>
        <v>0</v>
      </c>
      <c r="AE668">
        <f>0</f>
        <v>0</v>
      </c>
      <c r="AG668" t="s">
        <v>180</v>
      </c>
    </row>
    <row r="669" spans="1:165" x14ac:dyDescent="0.25">
      <c r="A669" t="s">
        <v>2493</v>
      </c>
      <c r="B669" t="s">
        <v>170</v>
      </c>
      <c r="C669" s="1">
        <v>46104</v>
      </c>
      <c r="D669" t="s">
        <v>222</v>
      </c>
      <c r="E669" t="s">
        <v>223</v>
      </c>
      <c r="F669" t="s">
        <v>3896</v>
      </c>
      <c r="G669" t="s">
        <v>4101</v>
      </c>
      <c r="H669">
        <v>1121</v>
      </c>
      <c r="I669" t="s">
        <v>4101</v>
      </c>
      <c r="J669">
        <v>14612</v>
      </c>
      <c r="K669" t="s">
        <v>4492</v>
      </c>
      <c r="L669" t="s">
        <v>291</v>
      </c>
      <c r="M669" t="s">
        <v>4103</v>
      </c>
      <c r="N669" t="s">
        <v>2494</v>
      </c>
      <c r="R669">
        <f>1</f>
        <v>1</v>
      </c>
      <c r="S669">
        <f>9.5</f>
        <v>9.5</v>
      </c>
      <c r="T669">
        <f>7.5</f>
        <v>7.5</v>
      </c>
      <c r="U669">
        <f>502</f>
        <v>502</v>
      </c>
      <c r="X669">
        <f>1</f>
        <v>1</v>
      </c>
      <c r="Y669" t="s">
        <v>180</v>
      </c>
      <c r="Z669">
        <f>0</f>
        <v>0</v>
      </c>
      <c r="AA669" t="s">
        <v>179</v>
      </c>
      <c r="AB669" t="s">
        <v>179</v>
      </c>
      <c r="AD669">
        <f>0</f>
        <v>0</v>
      </c>
      <c r="AE669">
        <f>0</f>
        <v>0</v>
      </c>
      <c r="AG669" t="s">
        <v>180</v>
      </c>
    </row>
    <row r="670" spans="1:165" x14ac:dyDescent="0.25">
      <c r="A670" t="s">
        <v>2495</v>
      </c>
      <c r="B670" t="s">
        <v>170</v>
      </c>
      <c r="C670" s="1">
        <v>46104</v>
      </c>
      <c r="D670" t="s">
        <v>222</v>
      </c>
      <c r="E670" t="s">
        <v>223</v>
      </c>
      <c r="F670" t="s">
        <v>3896</v>
      </c>
      <c r="G670" t="s">
        <v>4101</v>
      </c>
      <c r="H670">
        <v>1121</v>
      </c>
      <c r="I670" t="s">
        <v>4101</v>
      </c>
      <c r="J670">
        <v>14612</v>
      </c>
      <c r="K670" t="s">
        <v>4492</v>
      </c>
      <c r="L670" t="s">
        <v>291</v>
      </c>
      <c r="M670" t="s">
        <v>2496</v>
      </c>
      <c r="N670" t="s">
        <v>2497</v>
      </c>
      <c r="Q670" t="s">
        <v>3529</v>
      </c>
      <c r="R670">
        <f>1</f>
        <v>1</v>
      </c>
      <c r="S670">
        <f>8.2</f>
        <v>8.1999999999999993</v>
      </c>
      <c r="T670">
        <f>7.8</f>
        <v>7.8</v>
      </c>
      <c r="U670">
        <f>510</f>
        <v>510</v>
      </c>
      <c r="X670">
        <f>1</f>
        <v>1</v>
      </c>
      <c r="Y670" t="s">
        <v>180</v>
      </c>
      <c r="Z670">
        <f>0</f>
        <v>0</v>
      </c>
      <c r="AA670" t="s">
        <v>179</v>
      </c>
      <c r="AB670">
        <f>17</f>
        <v>17</v>
      </c>
      <c r="AD670">
        <f>0</f>
        <v>0</v>
      </c>
      <c r="AE670">
        <f>0</f>
        <v>0</v>
      </c>
      <c r="AG670" t="s">
        <v>180</v>
      </c>
    </row>
    <row r="671" spans="1:165" x14ac:dyDescent="0.25">
      <c r="A671" t="s">
        <v>2498</v>
      </c>
      <c r="B671" t="s">
        <v>170</v>
      </c>
      <c r="C671" s="1">
        <v>46114</v>
      </c>
      <c r="D671" t="s">
        <v>171</v>
      </c>
      <c r="E671" t="s">
        <v>172</v>
      </c>
      <c r="F671" t="s">
        <v>173</v>
      </c>
      <c r="G671" t="s">
        <v>174</v>
      </c>
      <c r="H671">
        <v>10</v>
      </c>
      <c r="I671" t="s">
        <v>175</v>
      </c>
      <c r="J671">
        <v>41781</v>
      </c>
      <c r="K671" t="s">
        <v>4492</v>
      </c>
      <c r="L671" t="s">
        <v>176</v>
      </c>
      <c r="M671" t="s">
        <v>4863</v>
      </c>
      <c r="N671" t="s">
        <v>4864</v>
      </c>
      <c r="O671" t="s">
        <v>2499</v>
      </c>
      <c r="Q671" t="s">
        <v>3530</v>
      </c>
      <c r="R671">
        <f>1</f>
        <v>1</v>
      </c>
      <c r="S671">
        <f>9.6</f>
        <v>9.6</v>
      </c>
      <c r="T671">
        <f>7.4</f>
        <v>7.4</v>
      </c>
      <c r="U671">
        <f>506</f>
        <v>506</v>
      </c>
      <c r="X671">
        <f>0</f>
        <v>0</v>
      </c>
      <c r="Y671">
        <f>0.1</f>
        <v>0.1</v>
      </c>
      <c r="Z671">
        <f>0</f>
        <v>0</v>
      </c>
      <c r="AA671" t="s">
        <v>179</v>
      </c>
      <c r="AB671" t="s">
        <v>179</v>
      </c>
      <c r="AD671">
        <f>0</f>
        <v>0</v>
      </c>
      <c r="AE671">
        <f>0</f>
        <v>0</v>
      </c>
      <c r="AG671" t="s">
        <v>180</v>
      </c>
      <c r="FF671" t="s">
        <v>180</v>
      </c>
      <c r="FG671" t="s">
        <v>180</v>
      </c>
      <c r="FI671" t="s">
        <v>220</v>
      </c>
    </row>
    <row r="672" spans="1:165" x14ac:dyDescent="0.25">
      <c r="A672" t="s">
        <v>2500</v>
      </c>
      <c r="B672" t="s">
        <v>170</v>
      </c>
      <c r="C672" s="1">
        <v>46126</v>
      </c>
      <c r="D672" t="s">
        <v>171</v>
      </c>
      <c r="E672" t="s">
        <v>172</v>
      </c>
      <c r="F672" t="s">
        <v>173</v>
      </c>
      <c r="G672" t="s">
        <v>174</v>
      </c>
      <c r="H672">
        <v>10</v>
      </c>
      <c r="I672" t="s">
        <v>175</v>
      </c>
      <c r="J672">
        <v>41781</v>
      </c>
      <c r="K672" t="s">
        <v>4492</v>
      </c>
      <c r="L672" t="s">
        <v>176</v>
      </c>
      <c r="M672" t="s">
        <v>2501</v>
      </c>
      <c r="N672" t="s">
        <v>2502</v>
      </c>
      <c r="O672" t="s">
        <v>2503</v>
      </c>
      <c r="R672">
        <f>1</f>
        <v>1</v>
      </c>
      <c r="S672">
        <f>13.2</f>
        <v>13.2</v>
      </c>
      <c r="T672">
        <f>7</f>
        <v>7</v>
      </c>
      <c r="U672">
        <f>514</f>
        <v>514</v>
      </c>
      <c r="X672">
        <f>0</f>
        <v>0</v>
      </c>
      <c r="Y672">
        <f>0.1</f>
        <v>0.1</v>
      </c>
      <c r="Z672">
        <f>0</f>
        <v>0</v>
      </c>
      <c r="AA672" t="s">
        <v>179</v>
      </c>
      <c r="AB672" t="s">
        <v>179</v>
      </c>
      <c r="AD672">
        <f>0</f>
        <v>0</v>
      </c>
      <c r="AE672">
        <f>0</f>
        <v>0</v>
      </c>
      <c r="AG672" t="s">
        <v>180</v>
      </c>
      <c r="CC672">
        <f>0.5</f>
        <v>0.5</v>
      </c>
    </row>
    <row r="673" spans="1:43" x14ac:dyDescent="0.25">
      <c r="A673" t="s">
        <v>2504</v>
      </c>
      <c r="B673" t="s">
        <v>170</v>
      </c>
      <c r="C673" s="1">
        <v>46120</v>
      </c>
      <c r="D673" t="s">
        <v>171</v>
      </c>
      <c r="E673" t="s">
        <v>172</v>
      </c>
      <c r="F673" t="s">
        <v>173</v>
      </c>
      <c r="G673" t="s">
        <v>174</v>
      </c>
      <c r="H673">
        <v>10</v>
      </c>
      <c r="I673" t="s">
        <v>175</v>
      </c>
      <c r="J673">
        <v>41781</v>
      </c>
      <c r="K673" t="s">
        <v>4492</v>
      </c>
      <c r="L673" t="s">
        <v>176</v>
      </c>
      <c r="M673" t="s">
        <v>4104</v>
      </c>
      <c r="N673" t="s">
        <v>4865</v>
      </c>
      <c r="O673" t="s">
        <v>2505</v>
      </c>
      <c r="R673">
        <f>1</f>
        <v>1</v>
      </c>
      <c r="S673">
        <f>13.7</f>
        <v>13.7</v>
      </c>
      <c r="T673">
        <f>7</f>
        <v>7</v>
      </c>
      <c r="U673">
        <f>512</f>
        <v>512</v>
      </c>
      <c r="X673">
        <f>0</f>
        <v>0</v>
      </c>
      <c r="Y673">
        <f>0.1</f>
        <v>0.1</v>
      </c>
      <c r="Z673">
        <f>0</f>
        <v>0</v>
      </c>
      <c r="AA673" t="s">
        <v>179</v>
      </c>
      <c r="AB673" t="s">
        <v>179</v>
      </c>
      <c r="AD673">
        <f>0</f>
        <v>0</v>
      </c>
      <c r="AE673">
        <f>0</f>
        <v>0</v>
      </c>
      <c r="AG673" t="s">
        <v>180</v>
      </c>
    </row>
    <row r="674" spans="1:43" x14ac:dyDescent="0.25">
      <c r="A674" t="s">
        <v>2506</v>
      </c>
      <c r="B674" t="s">
        <v>170</v>
      </c>
      <c r="C674" s="1">
        <v>46079</v>
      </c>
      <c r="D674" t="s">
        <v>251</v>
      </c>
      <c r="E674" t="s">
        <v>252</v>
      </c>
      <c r="F674" t="s">
        <v>361</v>
      </c>
      <c r="G674" t="s">
        <v>2507</v>
      </c>
      <c r="H674">
        <v>1654</v>
      </c>
      <c r="I674" t="s">
        <v>2507</v>
      </c>
      <c r="J674">
        <v>30</v>
      </c>
      <c r="K674" t="s">
        <v>4492</v>
      </c>
      <c r="L674" t="s">
        <v>3567</v>
      </c>
      <c r="M674" t="s">
        <v>2508</v>
      </c>
      <c r="N674" t="s">
        <v>2509</v>
      </c>
      <c r="Q674" t="s">
        <v>3472</v>
      </c>
      <c r="R674">
        <f>1</f>
        <v>1</v>
      </c>
      <c r="S674">
        <f>4</f>
        <v>4</v>
      </c>
      <c r="T674">
        <f>7.6</f>
        <v>7.6</v>
      </c>
      <c r="U674">
        <f>242</f>
        <v>242</v>
      </c>
      <c r="X674">
        <f>0</f>
        <v>0</v>
      </c>
      <c r="Y674">
        <f>0.4</f>
        <v>0.4</v>
      </c>
      <c r="Z674">
        <f>0</f>
        <v>0</v>
      </c>
      <c r="AA674">
        <f>4</f>
        <v>4</v>
      </c>
      <c r="AB674">
        <f>0</f>
        <v>0</v>
      </c>
      <c r="AD674">
        <f>0</f>
        <v>0</v>
      </c>
      <c r="AE674">
        <f>0</f>
        <v>0</v>
      </c>
      <c r="AG674" t="s">
        <v>180</v>
      </c>
    </row>
    <row r="675" spans="1:43" x14ac:dyDescent="0.25">
      <c r="A675" t="s">
        <v>2510</v>
      </c>
      <c r="B675" t="s">
        <v>170</v>
      </c>
      <c r="C675" s="1">
        <v>46094</v>
      </c>
      <c r="D675" t="s">
        <v>184</v>
      </c>
      <c r="E675" t="s">
        <v>185</v>
      </c>
      <c r="F675" t="s">
        <v>384</v>
      </c>
      <c r="G675" t="s">
        <v>385</v>
      </c>
      <c r="H675">
        <v>1702</v>
      </c>
      <c r="I675" t="s">
        <v>3849</v>
      </c>
      <c r="J675">
        <v>37633</v>
      </c>
      <c r="K675" t="s">
        <v>4492</v>
      </c>
      <c r="L675" t="s">
        <v>271</v>
      </c>
      <c r="M675" t="s">
        <v>4105</v>
      </c>
      <c r="N675" t="s">
        <v>4106</v>
      </c>
      <c r="O675" t="s">
        <v>2511</v>
      </c>
      <c r="R675">
        <f>1</f>
        <v>1</v>
      </c>
      <c r="S675">
        <f>17.4</f>
        <v>17.399999999999999</v>
      </c>
      <c r="T675">
        <f>7.4</f>
        <v>7.4</v>
      </c>
      <c r="U675">
        <f>483</f>
        <v>483</v>
      </c>
      <c r="X675">
        <f>0</f>
        <v>0</v>
      </c>
      <c r="Y675" t="s">
        <v>180</v>
      </c>
      <c r="Z675">
        <f>0</f>
        <v>0</v>
      </c>
      <c r="AA675" t="s">
        <v>179</v>
      </c>
      <c r="AB675" t="s">
        <v>179</v>
      </c>
      <c r="AD675">
        <f>0</f>
        <v>0</v>
      </c>
      <c r="AE675">
        <f>0</f>
        <v>0</v>
      </c>
      <c r="AG675" t="s">
        <v>180</v>
      </c>
    </row>
    <row r="676" spans="1:43" x14ac:dyDescent="0.25">
      <c r="A676" t="s">
        <v>2512</v>
      </c>
      <c r="B676" t="s">
        <v>170</v>
      </c>
      <c r="C676" s="1">
        <v>46106</v>
      </c>
      <c r="D676" t="s">
        <v>222</v>
      </c>
      <c r="E676" t="s">
        <v>260</v>
      </c>
      <c r="F676" t="s">
        <v>3579</v>
      </c>
      <c r="G676" t="s">
        <v>3773</v>
      </c>
      <c r="H676">
        <v>316</v>
      </c>
      <c r="I676" t="s">
        <v>3773</v>
      </c>
      <c r="J676">
        <v>18031</v>
      </c>
      <c r="K676" t="s">
        <v>4492</v>
      </c>
      <c r="L676" t="s">
        <v>176</v>
      </c>
      <c r="M676" t="s">
        <v>2513</v>
      </c>
      <c r="N676" t="s">
        <v>4107</v>
      </c>
      <c r="R676">
        <f>1</f>
        <v>1</v>
      </c>
      <c r="S676">
        <f>11.6</f>
        <v>11.6</v>
      </c>
      <c r="T676">
        <f>7.3</f>
        <v>7.3</v>
      </c>
      <c r="U676">
        <f>338</f>
        <v>338</v>
      </c>
      <c r="X676">
        <f>0</f>
        <v>0</v>
      </c>
      <c r="Y676">
        <f>0.31</f>
        <v>0.31</v>
      </c>
      <c r="Z676">
        <f>0</f>
        <v>0</v>
      </c>
      <c r="AA676" t="s">
        <v>179</v>
      </c>
      <c r="AB676" t="s">
        <v>179</v>
      </c>
      <c r="AD676">
        <f>0</f>
        <v>0</v>
      </c>
      <c r="AE676">
        <f>0</f>
        <v>0</v>
      </c>
      <c r="AG676" t="s">
        <v>220</v>
      </c>
    </row>
    <row r="677" spans="1:43" x14ac:dyDescent="0.25">
      <c r="A677" t="s">
        <v>2514</v>
      </c>
      <c r="B677" t="s">
        <v>170</v>
      </c>
      <c r="C677" s="1">
        <v>46121</v>
      </c>
      <c r="D677" t="s">
        <v>171</v>
      </c>
      <c r="E677" t="s">
        <v>172</v>
      </c>
      <c r="F677" t="s">
        <v>441</v>
      </c>
      <c r="G677" t="s">
        <v>442</v>
      </c>
      <c r="H677">
        <v>1679</v>
      </c>
      <c r="I677" t="s">
        <v>443</v>
      </c>
      <c r="J677">
        <v>12250</v>
      </c>
      <c r="K677" t="s">
        <v>4492</v>
      </c>
      <c r="L677" t="s">
        <v>369</v>
      </c>
      <c r="M677" t="s">
        <v>4866</v>
      </c>
      <c r="N677" t="s">
        <v>4867</v>
      </c>
      <c r="O677" t="s">
        <v>2515</v>
      </c>
      <c r="R677">
        <f>1</f>
        <v>1</v>
      </c>
      <c r="S677">
        <f>12.2</f>
        <v>12.2</v>
      </c>
      <c r="T677">
        <f>7.2</f>
        <v>7.2</v>
      </c>
      <c r="U677">
        <f>245</f>
        <v>245</v>
      </c>
      <c r="V677">
        <f>0.06</f>
        <v>0.06</v>
      </c>
      <c r="X677">
        <f>0</f>
        <v>0</v>
      </c>
      <c r="Y677">
        <f>0.1</f>
        <v>0.1</v>
      </c>
      <c r="Z677">
        <f>0</f>
        <v>0</v>
      </c>
      <c r="AA677" t="s">
        <v>179</v>
      </c>
      <c r="AB677" t="s">
        <v>179</v>
      </c>
      <c r="AD677">
        <f>0</f>
        <v>0</v>
      </c>
      <c r="AE677">
        <f>0</f>
        <v>0</v>
      </c>
      <c r="AG677" t="s">
        <v>180</v>
      </c>
    </row>
    <row r="678" spans="1:43" x14ac:dyDescent="0.25">
      <c r="A678" t="s">
        <v>2516</v>
      </c>
      <c r="B678" t="s">
        <v>170</v>
      </c>
      <c r="C678" s="1">
        <v>46091</v>
      </c>
      <c r="D678" t="s">
        <v>184</v>
      </c>
      <c r="E678" t="s">
        <v>185</v>
      </c>
      <c r="F678" t="s">
        <v>419</v>
      </c>
      <c r="G678" t="s">
        <v>420</v>
      </c>
      <c r="H678">
        <v>1175</v>
      </c>
      <c r="I678" t="s">
        <v>420</v>
      </c>
      <c r="J678">
        <v>14500</v>
      </c>
      <c r="K678" t="s">
        <v>4492</v>
      </c>
      <c r="L678" t="s">
        <v>176</v>
      </c>
      <c r="M678" t="s">
        <v>419</v>
      </c>
      <c r="N678" t="s">
        <v>2517</v>
      </c>
      <c r="O678" t="s">
        <v>2518</v>
      </c>
      <c r="R678">
        <f>1</f>
        <v>1</v>
      </c>
      <c r="S678">
        <f>9.3</f>
        <v>9.3000000000000007</v>
      </c>
      <c r="T678">
        <f>7.6</f>
        <v>7.6</v>
      </c>
      <c r="U678">
        <f>508</f>
        <v>508</v>
      </c>
      <c r="X678">
        <f>0</f>
        <v>0</v>
      </c>
      <c r="Y678">
        <f>0.1</f>
        <v>0.1</v>
      </c>
      <c r="Z678">
        <f>0</f>
        <v>0</v>
      </c>
      <c r="AA678" t="s">
        <v>179</v>
      </c>
      <c r="AB678" t="s">
        <v>179</v>
      </c>
      <c r="AD678">
        <f>0</f>
        <v>0</v>
      </c>
      <c r="AE678">
        <f>0</f>
        <v>0</v>
      </c>
      <c r="AG678" t="s">
        <v>180</v>
      </c>
    </row>
    <row r="679" spans="1:43" x14ac:dyDescent="0.25">
      <c r="A679" t="s">
        <v>2519</v>
      </c>
      <c r="B679" t="s">
        <v>170</v>
      </c>
      <c r="C679" s="1">
        <v>46091</v>
      </c>
      <c r="D679" t="s">
        <v>184</v>
      </c>
      <c r="E679" t="s">
        <v>185</v>
      </c>
      <c r="F679" t="s">
        <v>419</v>
      </c>
      <c r="G679" t="s">
        <v>4239</v>
      </c>
      <c r="H679">
        <v>24</v>
      </c>
      <c r="I679" t="s">
        <v>4239</v>
      </c>
      <c r="J679">
        <v>13150</v>
      </c>
      <c r="K679" t="s">
        <v>4492</v>
      </c>
      <c r="L679" t="s">
        <v>176</v>
      </c>
      <c r="M679" t="s">
        <v>3854</v>
      </c>
      <c r="N679" t="s">
        <v>3297</v>
      </c>
      <c r="O679" t="s">
        <v>433</v>
      </c>
      <c r="R679">
        <f>1</f>
        <v>1</v>
      </c>
      <c r="S679">
        <f>10.2</f>
        <v>10.199999999999999</v>
      </c>
      <c r="T679">
        <f>7.4</f>
        <v>7.4</v>
      </c>
      <c r="U679">
        <f>493</f>
        <v>493</v>
      </c>
      <c r="X679">
        <f>0</f>
        <v>0</v>
      </c>
      <c r="Y679">
        <f>0.2</f>
        <v>0.2</v>
      </c>
      <c r="Z679">
        <f>0</f>
        <v>0</v>
      </c>
      <c r="AA679" t="s">
        <v>179</v>
      </c>
      <c r="AB679" t="s">
        <v>179</v>
      </c>
      <c r="AD679">
        <f>0</f>
        <v>0</v>
      </c>
      <c r="AE679">
        <f>0</f>
        <v>0</v>
      </c>
      <c r="AG679" t="s">
        <v>180</v>
      </c>
    </row>
    <row r="680" spans="1:43" x14ac:dyDescent="0.25">
      <c r="A680" t="s">
        <v>2520</v>
      </c>
      <c r="B680" t="s">
        <v>170</v>
      </c>
      <c r="C680" s="1">
        <v>46119</v>
      </c>
      <c r="D680" t="s">
        <v>184</v>
      </c>
      <c r="E680" t="s">
        <v>185</v>
      </c>
      <c r="F680" t="s">
        <v>761</v>
      </c>
      <c r="G680" t="s">
        <v>2521</v>
      </c>
      <c r="H680">
        <v>1021</v>
      </c>
      <c r="I680" t="s">
        <v>2522</v>
      </c>
      <c r="J680">
        <v>10051</v>
      </c>
      <c r="K680" t="s">
        <v>4492</v>
      </c>
      <c r="L680" t="s">
        <v>3578</v>
      </c>
      <c r="M680" t="s">
        <v>2523</v>
      </c>
      <c r="N680" t="s">
        <v>2524</v>
      </c>
      <c r="O680" t="s">
        <v>2525</v>
      </c>
      <c r="R680">
        <f>1</f>
        <v>1</v>
      </c>
      <c r="S680">
        <f>12.1</f>
        <v>12.1</v>
      </c>
      <c r="T680">
        <f>7.5</f>
        <v>7.5</v>
      </c>
      <c r="U680">
        <f>421</f>
        <v>421</v>
      </c>
      <c r="V680">
        <f>0.1</f>
        <v>0.1</v>
      </c>
      <c r="X680">
        <f>0</f>
        <v>0</v>
      </c>
      <c r="Y680" t="s">
        <v>180</v>
      </c>
      <c r="Z680">
        <f>0</f>
        <v>0</v>
      </c>
      <c r="AA680" t="s">
        <v>179</v>
      </c>
      <c r="AB680" t="s">
        <v>179</v>
      </c>
      <c r="AD680">
        <f>0</f>
        <v>0</v>
      </c>
      <c r="AE680">
        <f>0</f>
        <v>0</v>
      </c>
      <c r="AG680" t="s">
        <v>180</v>
      </c>
    </row>
    <row r="681" spans="1:43" x14ac:dyDescent="0.25">
      <c r="A681" t="s">
        <v>2526</v>
      </c>
      <c r="B681" t="s">
        <v>170</v>
      </c>
      <c r="C681" s="1">
        <v>46129</v>
      </c>
      <c r="D681" t="s">
        <v>195</v>
      </c>
      <c r="E681" t="s">
        <v>196</v>
      </c>
      <c r="F681" t="s">
        <v>3857</v>
      </c>
      <c r="G681" t="s">
        <v>460</v>
      </c>
      <c r="H681">
        <v>328</v>
      </c>
      <c r="I681" t="s">
        <v>460</v>
      </c>
      <c r="J681">
        <v>19000</v>
      </c>
      <c r="K681" t="s">
        <v>4494</v>
      </c>
      <c r="L681" t="s">
        <v>461</v>
      </c>
      <c r="M681" t="s">
        <v>4414</v>
      </c>
      <c r="N681" t="s">
        <v>3433</v>
      </c>
      <c r="O681" t="s">
        <v>2527</v>
      </c>
      <c r="R681">
        <f>1</f>
        <v>1</v>
      </c>
      <c r="S681">
        <f>13.7</f>
        <v>13.7</v>
      </c>
      <c r="T681">
        <f>8</f>
        <v>8</v>
      </c>
      <c r="U681">
        <f>475</f>
        <v>475</v>
      </c>
      <c r="X681">
        <f>0</f>
        <v>0</v>
      </c>
      <c r="Y681">
        <f>0.06</f>
        <v>0.06</v>
      </c>
      <c r="Z681">
        <f>0</f>
        <v>0</v>
      </c>
      <c r="AA681">
        <f>0</f>
        <v>0</v>
      </c>
      <c r="AB681">
        <f>8</f>
        <v>8</v>
      </c>
      <c r="AC681">
        <f>0</f>
        <v>0</v>
      </c>
      <c r="AD681">
        <f>0</f>
        <v>0</v>
      </c>
      <c r="AE681">
        <f>0</f>
        <v>0</v>
      </c>
      <c r="AG681" t="s">
        <v>180</v>
      </c>
      <c r="AH681" t="s">
        <v>193</v>
      </c>
      <c r="AK681" t="s">
        <v>699</v>
      </c>
      <c r="AL681" t="s">
        <v>286</v>
      </c>
      <c r="AM681" t="s">
        <v>700</v>
      </c>
      <c r="AN681">
        <f>0</f>
        <v>0</v>
      </c>
      <c r="AO681">
        <f>9.6</f>
        <v>9.6</v>
      </c>
      <c r="AP681">
        <f>50</f>
        <v>50</v>
      </c>
      <c r="AQ681" t="s">
        <v>701</v>
      </c>
    </row>
    <row r="682" spans="1:43" x14ac:dyDescent="0.25">
      <c r="A682" t="s">
        <v>2528</v>
      </c>
      <c r="B682" t="s">
        <v>170</v>
      </c>
      <c r="C682" s="1">
        <v>46083</v>
      </c>
      <c r="D682" t="s">
        <v>238</v>
      </c>
      <c r="E682" t="s">
        <v>239</v>
      </c>
      <c r="F682" t="s">
        <v>478</v>
      </c>
      <c r="G682" t="s">
        <v>479</v>
      </c>
      <c r="H682">
        <v>135</v>
      </c>
      <c r="I682" t="s">
        <v>479</v>
      </c>
      <c r="J682">
        <v>10755</v>
      </c>
      <c r="K682" t="s">
        <v>4492</v>
      </c>
      <c r="L682" t="s">
        <v>176</v>
      </c>
      <c r="M682" t="s">
        <v>4108</v>
      </c>
      <c r="N682" t="s">
        <v>3434</v>
      </c>
      <c r="O682" t="s">
        <v>2529</v>
      </c>
      <c r="R682">
        <f>1</f>
        <v>1</v>
      </c>
      <c r="S682">
        <f>9.8</f>
        <v>9.8000000000000007</v>
      </c>
      <c r="T682">
        <f>7.2</f>
        <v>7.2</v>
      </c>
      <c r="U682">
        <f>610</f>
        <v>610</v>
      </c>
      <c r="X682">
        <f>0</f>
        <v>0</v>
      </c>
      <c r="Y682">
        <f>0.25</f>
        <v>0.25</v>
      </c>
      <c r="Z682">
        <f>0</f>
        <v>0</v>
      </c>
      <c r="AA682" t="s">
        <v>179</v>
      </c>
      <c r="AB682" t="s">
        <v>179</v>
      </c>
      <c r="AD682">
        <f>0</f>
        <v>0</v>
      </c>
      <c r="AE682">
        <f>0</f>
        <v>0</v>
      </c>
      <c r="AG682" t="s">
        <v>220</v>
      </c>
    </row>
    <row r="683" spans="1:43" x14ac:dyDescent="0.25">
      <c r="A683" t="s">
        <v>2530</v>
      </c>
      <c r="B683" t="s">
        <v>170</v>
      </c>
      <c r="C683" s="1">
        <v>46090</v>
      </c>
      <c r="D683" t="s">
        <v>222</v>
      </c>
      <c r="E683" t="s">
        <v>223</v>
      </c>
      <c r="F683" t="s">
        <v>536</v>
      </c>
      <c r="G683" t="s">
        <v>537</v>
      </c>
      <c r="H683">
        <v>1124</v>
      </c>
      <c r="I683" t="s">
        <v>537</v>
      </c>
      <c r="J683">
        <v>11300</v>
      </c>
      <c r="K683" t="s">
        <v>4492</v>
      </c>
      <c r="L683" t="s">
        <v>369</v>
      </c>
      <c r="M683" t="s">
        <v>4868</v>
      </c>
      <c r="N683" t="s">
        <v>4109</v>
      </c>
      <c r="O683" t="s">
        <v>2531</v>
      </c>
      <c r="R683">
        <f>1</f>
        <v>1</v>
      </c>
      <c r="S683">
        <f>11.6</f>
        <v>11.6</v>
      </c>
      <c r="T683">
        <f>7.8</f>
        <v>7.8</v>
      </c>
      <c r="U683">
        <f>381</f>
        <v>381</v>
      </c>
      <c r="V683">
        <f>0.26</f>
        <v>0.26</v>
      </c>
      <c r="X683">
        <f>1</f>
        <v>1</v>
      </c>
      <c r="Y683">
        <f>0.59</f>
        <v>0.59</v>
      </c>
      <c r="Z683">
        <f>0</f>
        <v>0</v>
      </c>
      <c r="AA683" t="s">
        <v>179</v>
      </c>
      <c r="AB683" t="s">
        <v>179</v>
      </c>
      <c r="AD683">
        <f>0</f>
        <v>0</v>
      </c>
      <c r="AE683">
        <f>0</f>
        <v>0</v>
      </c>
      <c r="AG683" t="s">
        <v>180</v>
      </c>
    </row>
    <row r="684" spans="1:43" x14ac:dyDescent="0.25">
      <c r="A684" t="s">
        <v>2532</v>
      </c>
      <c r="B684" t="s">
        <v>170</v>
      </c>
      <c r="C684" s="1">
        <v>46111</v>
      </c>
      <c r="D684" t="s">
        <v>222</v>
      </c>
      <c r="E684" t="s">
        <v>223</v>
      </c>
      <c r="F684" t="s">
        <v>536</v>
      </c>
      <c r="G684" t="s">
        <v>537</v>
      </c>
      <c r="H684">
        <v>1124</v>
      </c>
      <c r="I684" t="s">
        <v>537</v>
      </c>
      <c r="J684">
        <v>11300</v>
      </c>
      <c r="K684" t="s">
        <v>4492</v>
      </c>
      <c r="L684" t="s">
        <v>369</v>
      </c>
      <c r="M684" t="s">
        <v>3435</v>
      </c>
      <c r="N684" t="s">
        <v>4110</v>
      </c>
      <c r="O684" t="s">
        <v>2533</v>
      </c>
      <c r="R684">
        <f>1</f>
        <v>1</v>
      </c>
      <c r="S684">
        <f>12.6</f>
        <v>12.6</v>
      </c>
      <c r="T684">
        <f>7.6</f>
        <v>7.6</v>
      </c>
      <c r="U684">
        <f>402</f>
        <v>402</v>
      </c>
      <c r="V684">
        <f>0.22</f>
        <v>0.22</v>
      </c>
      <c r="X684">
        <f>1</f>
        <v>1</v>
      </c>
      <c r="Y684" t="s">
        <v>180</v>
      </c>
      <c r="Z684">
        <f>0</f>
        <v>0</v>
      </c>
      <c r="AA684" t="s">
        <v>179</v>
      </c>
      <c r="AB684" t="s">
        <v>179</v>
      </c>
      <c r="AD684">
        <f>0</f>
        <v>0</v>
      </c>
      <c r="AE684">
        <f>0</f>
        <v>0</v>
      </c>
      <c r="AG684" t="s">
        <v>180</v>
      </c>
      <c r="AH684" t="s">
        <v>193</v>
      </c>
      <c r="AK684" t="s">
        <v>181</v>
      </c>
      <c r="AL684" t="s">
        <v>182</v>
      </c>
      <c r="AM684">
        <f>3.8</f>
        <v>3.8</v>
      </c>
      <c r="AN684">
        <f>0.08</f>
        <v>0.08</v>
      </c>
      <c r="AO684">
        <f>14</f>
        <v>14</v>
      </c>
      <c r="AP684">
        <f>3.9</f>
        <v>3.9</v>
      </c>
      <c r="AQ684" t="s">
        <v>180</v>
      </c>
    </row>
    <row r="685" spans="1:43" x14ac:dyDescent="0.25">
      <c r="A685" t="s">
        <v>2534</v>
      </c>
      <c r="B685" t="s">
        <v>170</v>
      </c>
      <c r="C685" s="1">
        <v>46135</v>
      </c>
      <c r="D685" t="s">
        <v>238</v>
      </c>
      <c r="E685" t="s">
        <v>239</v>
      </c>
      <c r="F685" t="s">
        <v>4224</v>
      </c>
      <c r="G685" t="s">
        <v>4225</v>
      </c>
      <c r="H685">
        <v>796</v>
      </c>
      <c r="I685" t="s">
        <v>4226</v>
      </c>
      <c r="J685">
        <v>12713</v>
      </c>
      <c r="K685" t="s">
        <v>4494</v>
      </c>
      <c r="L685" t="s">
        <v>245</v>
      </c>
      <c r="M685" t="s">
        <v>2535</v>
      </c>
      <c r="N685" t="s">
        <v>4869</v>
      </c>
      <c r="O685" t="s">
        <v>2536</v>
      </c>
      <c r="Q685" t="s">
        <v>3531</v>
      </c>
      <c r="R685">
        <f>1</f>
        <v>1</v>
      </c>
      <c r="S685">
        <f>12.8</f>
        <v>12.8</v>
      </c>
      <c r="T685">
        <f>7.8</f>
        <v>7.8</v>
      </c>
      <c r="U685">
        <f>349</f>
        <v>349</v>
      </c>
      <c r="W685">
        <f>0.22</f>
        <v>0.22</v>
      </c>
      <c r="X685">
        <f>0</f>
        <v>0</v>
      </c>
      <c r="Y685" t="s">
        <v>180</v>
      </c>
      <c r="Z685">
        <f>0</f>
        <v>0</v>
      </c>
      <c r="AA685" t="s">
        <v>179</v>
      </c>
      <c r="AB685" t="s">
        <v>179</v>
      </c>
      <c r="AC685">
        <f>0</f>
        <v>0</v>
      </c>
      <c r="AD685">
        <f>0</f>
        <v>0</v>
      </c>
      <c r="AE685">
        <f>0</f>
        <v>0</v>
      </c>
      <c r="AG685" t="s">
        <v>220</v>
      </c>
    </row>
    <row r="686" spans="1:43" x14ac:dyDescent="0.25">
      <c r="A686" t="s">
        <v>2537</v>
      </c>
      <c r="B686" t="s">
        <v>170</v>
      </c>
      <c r="C686" s="1">
        <v>46084</v>
      </c>
      <c r="D686" t="s">
        <v>184</v>
      </c>
      <c r="E686" t="s">
        <v>185</v>
      </c>
      <c r="F686" t="s">
        <v>761</v>
      </c>
      <c r="G686" t="s">
        <v>2521</v>
      </c>
      <c r="H686">
        <v>1021</v>
      </c>
      <c r="I686" t="s">
        <v>2522</v>
      </c>
      <c r="J686">
        <v>10051</v>
      </c>
      <c r="K686" t="s">
        <v>4492</v>
      </c>
      <c r="L686" t="s">
        <v>3578</v>
      </c>
      <c r="M686" t="s">
        <v>2538</v>
      </c>
      <c r="N686" t="s">
        <v>4870</v>
      </c>
      <c r="O686" t="s">
        <v>2539</v>
      </c>
      <c r="R686">
        <f>1</f>
        <v>1</v>
      </c>
      <c r="S686">
        <f>9.2</f>
        <v>9.1999999999999993</v>
      </c>
      <c r="T686">
        <f>7.5</f>
        <v>7.5</v>
      </c>
      <c r="U686">
        <f>413</f>
        <v>413</v>
      </c>
      <c r="V686">
        <f>0.18</f>
        <v>0.18</v>
      </c>
      <c r="X686">
        <f>0</f>
        <v>0</v>
      </c>
      <c r="Y686" t="s">
        <v>180</v>
      </c>
      <c r="Z686">
        <f>0</f>
        <v>0</v>
      </c>
      <c r="AA686" t="s">
        <v>179</v>
      </c>
      <c r="AB686" t="s">
        <v>179</v>
      </c>
      <c r="AD686">
        <f>0</f>
        <v>0</v>
      </c>
      <c r="AE686">
        <f>0</f>
        <v>0</v>
      </c>
      <c r="AG686" t="s">
        <v>180</v>
      </c>
    </row>
    <row r="687" spans="1:43" x14ac:dyDescent="0.25">
      <c r="A687" t="s">
        <v>2540</v>
      </c>
      <c r="B687" t="s">
        <v>170</v>
      </c>
      <c r="C687" s="1">
        <v>46128</v>
      </c>
      <c r="D687" t="s">
        <v>302</v>
      </c>
      <c r="E687" t="s">
        <v>303</v>
      </c>
      <c r="F687" t="s">
        <v>304</v>
      </c>
      <c r="G687" t="s">
        <v>305</v>
      </c>
      <c r="H687">
        <v>1588</v>
      </c>
      <c r="I687" t="s">
        <v>4871</v>
      </c>
      <c r="J687">
        <v>12100</v>
      </c>
      <c r="K687" t="s">
        <v>4492</v>
      </c>
      <c r="M687" t="s">
        <v>4872</v>
      </c>
      <c r="N687" t="s">
        <v>4873</v>
      </c>
      <c r="O687" t="s">
        <v>2541</v>
      </c>
      <c r="R687">
        <f>1</f>
        <v>1</v>
      </c>
      <c r="S687">
        <f>13.4</f>
        <v>13.4</v>
      </c>
      <c r="T687">
        <f>7.6</f>
        <v>7.6</v>
      </c>
      <c r="U687">
        <f>512</f>
        <v>512</v>
      </c>
      <c r="X687">
        <f>0</f>
        <v>0</v>
      </c>
      <c r="Y687" t="s">
        <v>180</v>
      </c>
      <c r="Z687">
        <f>0</f>
        <v>0</v>
      </c>
      <c r="AA687" t="s">
        <v>179</v>
      </c>
      <c r="AB687" t="s">
        <v>179</v>
      </c>
      <c r="AD687">
        <f>0</f>
        <v>0</v>
      </c>
      <c r="AE687">
        <f>0</f>
        <v>0</v>
      </c>
      <c r="AG687" t="s">
        <v>180</v>
      </c>
      <c r="AH687" t="s">
        <v>193</v>
      </c>
      <c r="AK687" t="s">
        <v>181</v>
      </c>
      <c r="AL687" t="s">
        <v>182</v>
      </c>
      <c r="AM687">
        <f>2.8</f>
        <v>2.8</v>
      </c>
      <c r="AN687">
        <f>0.06</f>
        <v>0.06</v>
      </c>
      <c r="AO687">
        <f>5.3</f>
        <v>5.3</v>
      </c>
      <c r="AP687">
        <f>1.6</f>
        <v>1.6</v>
      </c>
      <c r="AQ687" t="s">
        <v>180</v>
      </c>
    </row>
    <row r="688" spans="1:43" x14ac:dyDescent="0.25">
      <c r="A688" t="s">
        <v>2542</v>
      </c>
      <c r="B688" t="s">
        <v>170</v>
      </c>
      <c r="C688" s="1">
        <v>46083</v>
      </c>
      <c r="D688" t="s">
        <v>195</v>
      </c>
      <c r="E688" t="s">
        <v>448</v>
      </c>
      <c r="F688" t="s">
        <v>1036</v>
      </c>
      <c r="G688" t="s">
        <v>2334</v>
      </c>
      <c r="H688">
        <v>197</v>
      </c>
      <c r="I688" t="s">
        <v>2335</v>
      </c>
      <c r="J688">
        <v>19851</v>
      </c>
      <c r="K688" t="s">
        <v>4494</v>
      </c>
      <c r="L688" t="s">
        <v>3644</v>
      </c>
      <c r="M688" t="s">
        <v>2543</v>
      </c>
      <c r="N688" t="s">
        <v>2544</v>
      </c>
      <c r="O688" t="s">
        <v>2545</v>
      </c>
      <c r="R688">
        <f>1</f>
        <v>1</v>
      </c>
      <c r="S688">
        <f>9.6</f>
        <v>9.6</v>
      </c>
      <c r="T688">
        <f>8.1</f>
        <v>8.1</v>
      </c>
      <c r="U688">
        <f>328</f>
        <v>328</v>
      </c>
      <c r="X688">
        <f>0</f>
        <v>0</v>
      </c>
      <c r="Y688">
        <f>0.02</f>
        <v>0.02</v>
      </c>
      <c r="Z688">
        <f>0</f>
        <v>0</v>
      </c>
      <c r="AA688">
        <f>0</f>
        <v>0</v>
      </c>
      <c r="AB688">
        <f>0</f>
        <v>0</v>
      </c>
      <c r="AC688">
        <f>0</f>
        <v>0</v>
      </c>
      <c r="AD688">
        <f>0</f>
        <v>0</v>
      </c>
      <c r="AE688">
        <f>0</f>
        <v>0</v>
      </c>
      <c r="AG688" t="s">
        <v>180</v>
      </c>
    </row>
    <row r="689" spans="1:165" x14ac:dyDescent="0.25">
      <c r="A689" t="s">
        <v>2546</v>
      </c>
      <c r="B689" t="s">
        <v>170</v>
      </c>
      <c r="C689" s="1">
        <v>46129</v>
      </c>
      <c r="D689" t="s">
        <v>195</v>
      </c>
      <c r="E689" t="s">
        <v>196</v>
      </c>
      <c r="F689" t="s">
        <v>3857</v>
      </c>
      <c r="G689" t="s">
        <v>460</v>
      </c>
      <c r="H689">
        <v>328</v>
      </c>
      <c r="I689" t="s">
        <v>460</v>
      </c>
      <c r="J689">
        <v>19000</v>
      </c>
      <c r="K689" t="s">
        <v>4494</v>
      </c>
      <c r="L689" t="s">
        <v>461</v>
      </c>
      <c r="M689" t="s">
        <v>4540</v>
      </c>
      <c r="N689" t="s">
        <v>581</v>
      </c>
      <c r="O689" t="s">
        <v>582</v>
      </c>
      <c r="R689">
        <f>1</f>
        <v>1</v>
      </c>
      <c r="S689">
        <f>17.1</f>
        <v>17.100000000000001</v>
      </c>
      <c r="T689">
        <f>7.7</f>
        <v>7.7</v>
      </c>
      <c r="U689">
        <f>481</f>
        <v>481</v>
      </c>
      <c r="X689">
        <f>0</f>
        <v>0</v>
      </c>
      <c r="Y689">
        <f>0.11</f>
        <v>0.11</v>
      </c>
      <c r="Z689">
        <f>0</f>
        <v>0</v>
      </c>
      <c r="AA689">
        <f>0</f>
        <v>0</v>
      </c>
      <c r="AB689">
        <f>0</f>
        <v>0</v>
      </c>
      <c r="AC689">
        <f>0</f>
        <v>0</v>
      </c>
      <c r="AD689">
        <f>0</f>
        <v>0</v>
      </c>
      <c r="AE689">
        <f>0</f>
        <v>0</v>
      </c>
      <c r="AG689" t="s">
        <v>180</v>
      </c>
    </row>
    <row r="690" spans="1:165" x14ac:dyDescent="0.25">
      <c r="A690" t="s">
        <v>2547</v>
      </c>
      <c r="B690" t="s">
        <v>170</v>
      </c>
      <c r="C690" s="1">
        <v>46090</v>
      </c>
      <c r="D690" t="s">
        <v>302</v>
      </c>
      <c r="E690" t="s">
        <v>303</v>
      </c>
      <c r="F690" t="s">
        <v>509</v>
      </c>
      <c r="G690" t="s">
        <v>4111</v>
      </c>
      <c r="H690">
        <v>895</v>
      </c>
      <c r="I690" t="s">
        <v>4415</v>
      </c>
      <c r="J690">
        <v>17000</v>
      </c>
      <c r="K690" t="s">
        <v>4494</v>
      </c>
      <c r="L690" t="s">
        <v>619</v>
      </c>
      <c r="M690" t="s">
        <v>4874</v>
      </c>
      <c r="N690" t="s">
        <v>2548</v>
      </c>
      <c r="O690" t="s">
        <v>2549</v>
      </c>
      <c r="R690">
        <f>1</f>
        <v>1</v>
      </c>
      <c r="S690">
        <f>10.1</f>
        <v>10.1</v>
      </c>
      <c r="T690">
        <f>7.8</f>
        <v>7.8</v>
      </c>
      <c r="U690">
        <f>296</f>
        <v>296</v>
      </c>
      <c r="V690" t="s">
        <v>192</v>
      </c>
      <c r="X690">
        <f>0</f>
        <v>0</v>
      </c>
      <c r="Y690" t="s">
        <v>180</v>
      </c>
      <c r="Z690">
        <f>0</f>
        <v>0</v>
      </c>
      <c r="AA690" t="s">
        <v>179</v>
      </c>
      <c r="AB690" t="s">
        <v>179</v>
      </c>
      <c r="AC690">
        <f>0</f>
        <v>0</v>
      </c>
      <c r="AD690">
        <f>0</f>
        <v>0</v>
      </c>
      <c r="AE690">
        <f>0</f>
        <v>0</v>
      </c>
      <c r="AG690" t="s">
        <v>180</v>
      </c>
    </row>
    <row r="691" spans="1:165" x14ac:dyDescent="0.25">
      <c r="A691" t="s">
        <v>2550</v>
      </c>
      <c r="B691" t="s">
        <v>170</v>
      </c>
      <c r="C691" s="1">
        <v>46115</v>
      </c>
      <c r="D691" t="s">
        <v>184</v>
      </c>
      <c r="E691" t="s">
        <v>185</v>
      </c>
      <c r="F691" t="s">
        <v>384</v>
      </c>
      <c r="G691" t="s">
        <v>651</v>
      </c>
      <c r="H691">
        <v>338</v>
      </c>
      <c r="I691" t="s">
        <v>651</v>
      </c>
      <c r="J691">
        <v>14369</v>
      </c>
      <c r="K691" t="s">
        <v>4492</v>
      </c>
      <c r="L691" t="s">
        <v>3303</v>
      </c>
      <c r="M691" t="s">
        <v>3436</v>
      </c>
      <c r="N691" t="s">
        <v>3437</v>
      </c>
      <c r="O691" t="s">
        <v>2551</v>
      </c>
      <c r="R691">
        <f>1</f>
        <v>1</v>
      </c>
      <c r="S691">
        <f>11.4</f>
        <v>11.4</v>
      </c>
      <c r="T691">
        <f>7.6</f>
        <v>7.6</v>
      </c>
      <c r="U691">
        <f>497</f>
        <v>497</v>
      </c>
      <c r="V691" t="s">
        <v>192</v>
      </c>
      <c r="X691">
        <f>0</f>
        <v>0</v>
      </c>
      <c r="Y691" t="s">
        <v>180</v>
      </c>
      <c r="Z691">
        <f>0</f>
        <v>0</v>
      </c>
      <c r="AA691" t="s">
        <v>179</v>
      </c>
      <c r="AB691" t="s">
        <v>179</v>
      </c>
      <c r="AD691">
        <f>0</f>
        <v>0</v>
      </c>
      <c r="AE691">
        <f>0</f>
        <v>0</v>
      </c>
      <c r="AG691" t="s">
        <v>180</v>
      </c>
    </row>
    <row r="692" spans="1:165" x14ac:dyDescent="0.25">
      <c r="A692" t="s">
        <v>2552</v>
      </c>
      <c r="B692" t="s">
        <v>170</v>
      </c>
      <c r="C692" s="1">
        <v>46127</v>
      </c>
      <c r="D692" t="s">
        <v>184</v>
      </c>
      <c r="E692" t="s">
        <v>185</v>
      </c>
      <c r="F692" t="s">
        <v>384</v>
      </c>
      <c r="G692" t="s">
        <v>385</v>
      </c>
      <c r="H692">
        <v>1706</v>
      </c>
      <c r="I692" t="s">
        <v>4254</v>
      </c>
      <c r="J692">
        <v>17666</v>
      </c>
      <c r="K692" t="s">
        <v>4492</v>
      </c>
      <c r="L692" t="s">
        <v>176</v>
      </c>
      <c r="M692" t="s">
        <v>4112</v>
      </c>
      <c r="N692" t="s">
        <v>3438</v>
      </c>
      <c r="O692" t="s">
        <v>2553</v>
      </c>
      <c r="R692">
        <f>1</f>
        <v>1</v>
      </c>
      <c r="S692">
        <f>14.3</f>
        <v>14.3</v>
      </c>
      <c r="T692">
        <f>7.3</f>
        <v>7.3</v>
      </c>
      <c r="U692">
        <f>412</f>
        <v>412</v>
      </c>
      <c r="X692">
        <f>0</f>
        <v>0</v>
      </c>
      <c r="Y692" t="s">
        <v>180</v>
      </c>
      <c r="Z692">
        <f>0</f>
        <v>0</v>
      </c>
      <c r="AA692" t="s">
        <v>179</v>
      </c>
      <c r="AB692" t="s">
        <v>179</v>
      </c>
      <c r="AD692">
        <f>0</f>
        <v>0</v>
      </c>
      <c r="AE692">
        <f>0</f>
        <v>0</v>
      </c>
      <c r="AG692" t="s">
        <v>180</v>
      </c>
      <c r="FF692" t="s">
        <v>180</v>
      </c>
      <c r="FG692" t="s">
        <v>180</v>
      </c>
      <c r="FI692" t="s">
        <v>220</v>
      </c>
    </row>
    <row r="693" spans="1:165" x14ac:dyDescent="0.25">
      <c r="A693" t="s">
        <v>2554</v>
      </c>
      <c r="B693" t="s">
        <v>170</v>
      </c>
      <c r="C693" s="1">
        <v>46127</v>
      </c>
      <c r="D693" t="s">
        <v>171</v>
      </c>
      <c r="E693" t="s">
        <v>172</v>
      </c>
      <c r="F693" t="s">
        <v>3875</v>
      </c>
      <c r="G693" t="s">
        <v>634</v>
      </c>
      <c r="H693">
        <v>1837</v>
      </c>
      <c r="I693" t="s">
        <v>635</v>
      </c>
      <c r="J693">
        <v>13800</v>
      </c>
      <c r="K693" t="s">
        <v>4492</v>
      </c>
      <c r="M693" t="s">
        <v>2555</v>
      </c>
      <c r="N693" t="s">
        <v>4113</v>
      </c>
      <c r="O693" t="s">
        <v>2556</v>
      </c>
      <c r="R693">
        <f>1</f>
        <v>1</v>
      </c>
      <c r="S693">
        <f>13.6</f>
        <v>13.6</v>
      </c>
      <c r="T693">
        <f>7</f>
        <v>7</v>
      </c>
      <c r="U693">
        <f>417</f>
        <v>417</v>
      </c>
      <c r="X693">
        <f>0</f>
        <v>0</v>
      </c>
      <c r="Y693">
        <f>0.1</f>
        <v>0.1</v>
      </c>
      <c r="Z693">
        <f>0</f>
        <v>0</v>
      </c>
      <c r="AA693" t="s">
        <v>179</v>
      </c>
      <c r="AB693" t="s">
        <v>179</v>
      </c>
      <c r="AD693">
        <f>0</f>
        <v>0</v>
      </c>
      <c r="AE693">
        <f>0</f>
        <v>0</v>
      </c>
      <c r="AG693" t="s">
        <v>180</v>
      </c>
      <c r="FF693" t="s">
        <v>180</v>
      </c>
      <c r="FG693">
        <f>0.13</f>
        <v>0.13</v>
      </c>
      <c r="FI693" t="s">
        <v>220</v>
      </c>
    </row>
    <row r="694" spans="1:165" x14ac:dyDescent="0.25">
      <c r="A694" t="s">
        <v>2557</v>
      </c>
      <c r="B694" t="s">
        <v>170</v>
      </c>
      <c r="C694" s="1">
        <v>46122</v>
      </c>
      <c r="D694" t="s">
        <v>184</v>
      </c>
      <c r="E694" t="s">
        <v>185</v>
      </c>
      <c r="F694" t="s">
        <v>384</v>
      </c>
      <c r="G694" t="s">
        <v>651</v>
      </c>
      <c r="H694">
        <v>338</v>
      </c>
      <c r="I694" t="s">
        <v>651</v>
      </c>
      <c r="J694">
        <v>14369</v>
      </c>
      <c r="K694" t="s">
        <v>4492</v>
      </c>
      <c r="L694" t="s">
        <v>3303</v>
      </c>
      <c r="M694" t="s">
        <v>3700</v>
      </c>
      <c r="N694" t="s">
        <v>652</v>
      </c>
      <c r="O694" t="s">
        <v>653</v>
      </c>
      <c r="R694">
        <f>1</f>
        <v>1</v>
      </c>
      <c r="S694">
        <f>12.6</f>
        <v>12.6</v>
      </c>
      <c r="T694">
        <f>7.5</f>
        <v>7.5</v>
      </c>
      <c r="U694">
        <f>479</f>
        <v>479</v>
      </c>
      <c r="V694" t="s">
        <v>192</v>
      </c>
      <c r="X694">
        <f>0</f>
        <v>0</v>
      </c>
      <c r="Y694">
        <f>0.1</f>
        <v>0.1</v>
      </c>
      <c r="Z694">
        <f>0</f>
        <v>0</v>
      </c>
      <c r="AA694" t="s">
        <v>179</v>
      </c>
      <c r="AB694" t="s">
        <v>2558</v>
      </c>
      <c r="AD694">
        <f>0</f>
        <v>0</v>
      </c>
      <c r="AE694">
        <f>0</f>
        <v>0</v>
      </c>
      <c r="AG694" t="s">
        <v>180</v>
      </c>
    </row>
    <row r="695" spans="1:165" x14ac:dyDescent="0.25">
      <c r="A695" t="s">
        <v>2559</v>
      </c>
      <c r="B695" t="s">
        <v>170</v>
      </c>
      <c r="C695" s="1">
        <v>46098</v>
      </c>
      <c r="D695" t="s">
        <v>216</v>
      </c>
      <c r="E695" t="s">
        <v>217</v>
      </c>
      <c r="F695" t="s">
        <v>530</v>
      </c>
      <c r="G695" t="s">
        <v>2560</v>
      </c>
      <c r="H695">
        <v>1281</v>
      </c>
      <c r="I695" t="s">
        <v>2560</v>
      </c>
      <c r="J695">
        <v>5254</v>
      </c>
      <c r="K695" t="s">
        <v>4492</v>
      </c>
      <c r="L695" t="s">
        <v>266</v>
      </c>
      <c r="M695" t="s">
        <v>4875</v>
      </c>
      <c r="N695" t="s">
        <v>3439</v>
      </c>
      <c r="O695" t="s">
        <v>2561</v>
      </c>
      <c r="Q695" t="s">
        <v>3468</v>
      </c>
      <c r="R695">
        <f>1</f>
        <v>1</v>
      </c>
      <c r="S695">
        <f>10.3</f>
        <v>10.3</v>
      </c>
      <c r="T695">
        <f>8.1</f>
        <v>8.1</v>
      </c>
      <c r="U695">
        <f>342</f>
        <v>342</v>
      </c>
      <c r="V695">
        <f>0.17</f>
        <v>0.17</v>
      </c>
      <c r="X695">
        <f>1</f>
        <v>1</v>
      </c>
      <c r="Y695">
        <f>0.14</f>
        <v>0.14000000000000001</v>
      </c>
      <c r="Z695">
        <f>0</f>
        <v>0</v>
      </c>
      <c r="AA695">
        <f>0</f>
        <v>0</v>
      </c>
      <c r="AB695">
        <f>0</f>
        <v>0</v>
      </c>
      <c r="AD695">
        <f>0</f>
        <v>0</v>
      </c>
      <c r="AE695">
        <f>0</f>
        <v>0</v>
      </c>
      <c r="AG695" t="s">
        <v>220</v>
      </c>
      <c r="CD695" t="s">
        <v>2425</v>
      </c>
    </row>
    <row r="696" spans="1:165" x14ac:dyDescent="0.25">
      <c r="A696" t="s">
        <v>2562</v>
      </c>
      <c r="B696" t="s">
        <v>170</v>
      </c>
      <c r="C696" s="1">
        <v>46134</v>
      </c>
      <c r="D696" t="s">
        <v>216</v>
      </c>
      <c r="E696" t="s">
        <v>217</v>
      </c>
      <c r="F696" t="s">
        <v>368</v>
      </c>
      <c r="G696" t="s">
        <v>4234</v>
      </c>
      <c r="H696">
        <v>242</v>
      </c>
      <c r="I696" t="s">
        <v>4234</v>
      </c>
      <c r="J696">
        <v>5429</v>
      </c>
      <c r="K696" t="s">
        <v>4494</v>
      </c>
      <c r="L696" t="s">
        <v>369</v>
      </c>
      <c r="M696" t="s">
        <v>2563</v>
      </c>
      <c r="N696" t="s">
        <v>2564</v>
      </c>
      <c r="O696" t="s">
        <v>2565</v>
      </c>
      <c r="Q696" t="s">
        <v>3532</v>
      </c>
      <c r="R696">
        <f>1</f>
        <v>1</v>
      </c>
      <c r="S696">
        <f>10.4</f>
        <v>10.4</v>
      </c>
      <c r="T696">
        <f>8.2</f>
        <v>8.1999999999999993</v>
      </c>
      <c r="U696">
        <f>154</f>
        <v>154</v>
      </c>
      <c r="V696">
        <f>0.09</f>
        <v>0.09</v>
      </c>
      <c r="X696">
        <f>1</f>
        <v>1</v>
      </c>
      <c r="Y696">
        <f>0.04</f>
        <v>0.04</v>
      </c>
      <c r="Z696">
        <f>0</f>
        <v>0</v>
      </c>
      <c r="AA696">
        <f>0</f>
        <v>0</v>
      </c>
      <c r="AB696">
        <f>0</f>
        <v>0</v>
      </c>
      <c r="AC696">
        <f>0</f>
        <v>0</v>
      </c>
      <c r="AD696">
        <f>0</f>
        <v>0</v>
      </c>
      <c r="AE696">
        <f>0</f>
        <v>0</v>
      </c>
      <c r="AG696" t="s">
        <v>220</v>
      </c>
    </row>
    <row r="697" spans="1:165" x14ac:dyDescent="0.25">
      <c r="A697" t="s">
        <v>2566</v>
      </c>
      <c r="B697" t="s">
        <v>170</v>
      </c>
      <c r="C697" s="1">
        <v>46121</v>
      </c>
      <c r="D697" t="s">
        <v>251</v>
      </c>
      <c r="E697" t="s">
        <v>252</v>
      </c>
      <c r="F697" t="s">
        <v>361</v>
      </c>
      <c r="G697" t="s">
        <v>362</v>
      </c>
      <c r="H697">
        <v>821</v>
      </c>
      <c r="I697" t="s">
        <v>363</v>
      </c>
      <c r="J697">
        <v>9564</v>
      </c>
      <c r="K697" t="s">
        <v>4492</v>
      </c>
      <c r="L697" t="s">
        <v>271</v>
      </c>
      <c r="M697" t="s">
        <v>364</v>
      </c>
      <c r="N697" t="s">
        <v>365</v>
      </c>
      <c r="O697" t="s">
        <v>366</v>
      </c>
      <c r="Q697" t="s">
        <v>3472</v>
      </c>
      <c r="R697">
        <f>1</f>
        <v>1</v>
      </c>
      <c r="S697">
        <f>10.4</f>
        <v>10.4</v>
      </c>
      <c r="T697">
        <f>7.9</f>
        <v>7.9</v>
      </c>
      <c r="U697">
        <f>245</f>
        <v>245</v>
      </c>
      <c r="X697">
        <f>0</f>
        <v>0</v>
      </c>
      <c r="Y697" t="s">
        <v>180</v>
      </c>
      <c r="Z697">
        <f>0</f>
        <v>0</v>
      </c>
      <c r="AA697">
        <f>0</f>
        <v>0</v>
      </c>
      <c r="AB697">
        <f>0</f>
        <v>0</v>
      </c>
      <c r="AD697">
        <f>0</f>
        <v>0</v>
      </c>
      <c r="AE697">
        <f>0</f>
        <v>0</v>
      </c>
      <c r="AG697" t="s">
        <v>180</v>
      </c>
    </row>
    <row r="698" spans="1:165" x14ac:dyDescent="0.25">
      <c r="A698" t="s">
        <v>2567</v>
      </c>
      <c r="B698" t="s">
        <v>170</v>
      </c>
      <c r="C698" s="1">
        <v>46127</v>
      </c>
      <c r="D698" t="s">
        <v>184</v>
      </c>
      <c r="E698" t="s">
        <v>185</v>
      </c>
      <c r="F698" t="s">
        <v>384</v>
      </c>
      <c r="G698" t="s">
        <v>385</v>
      </c>
      <c r="H698">
        <v>1701</v>
      </c>
      <c r="I698" t="s">
        <v>4238</v>
      </c>
      <c r="J698">
        <v>138695</v>
      </c>
      <c r="K698" t="s">
        <v>4492</v>
      </c>
      <c r="L698" t="s">
        <v>271</v>
      </c>
      <c r="M698" t="s">
        <v>2568</v>
      </c>
      <c r="N698" t="s">
        <v>2569</v>
      </c>
      <c r="O698" t="s">
        <v>2570</v>
      </c>
      <c r="R698">
        <f>1</f>
        <v>1</v>
      </c>
      <c r="S698">
        <f>14.2</f>
        <v>14.2</v>
      </c>
      <c r="T698">
        <f>7.2</f>
        <v>7.2</v>
      </c>
      <c r="U698">
        <f>231</f>
        <v>231</v>
      </c>
      <c r="X698">
        <f>0</f>
        <v>0</v>
      </c>
      <c r="Y698" t="s">
        <v>180</v>
      </c>
      <c r="Z698">
        <f>0</f>
        <v>0</v>
      </c>
      <c r="AA698" t="s">
        <v>179</v>
      </c>
      <c r="AB698" t="s">
        <v>179</v>
      </c>
      <c r="AD698">
        <f>0</f>
        <v>0</v>
      </c>
      <c r="AE698">
        <f>0</f>
        <v>0</v>
      </c>
      <c r="AF698" t="s">
        <v>2425</v>
      </c>
      <c r="AG698" t="s">
        <v>180</v>
      </c>
      <c r="AU698">
        <f>0.015</f>
        <v>1.4999999999999999E-2</v>
      </c>
      <c r="AV698" t="s">
        <v>2425</v>
      </c>
      <c r="AW698" t="s">
        <v>2425</v>
      </c>
    </row>
    <row r="699" spans="1:165" x14ac:dyDescent="0.25">
      <c r="A699" t="s">
        <v>2571</v>
      </c>
      <c r="B699" t="s">
        <v>170</v>
      </c>
      <c r="C699" s="1">
        <v>46127</v>
      </c>
      <c r="D699" t="s">
        <v>184</v>
      </c>
      <c r="E699" t="s">
        <v>185</v>
      </c>
      <c r="F699" t="s">
        <v>384</v>
      </c>
      <c r="G699" t="s">
        <v>385</v>
      </c>
      <c r="H699">
        <v>1701</v>
      </c>
      <c r="I699" t="s">
        <v>4238</v>
      </c>
      <c r="J699">
        <v>138695</v>
      </c>
      <c r="K699" t="s">
        <v>4492</v>
      </c>
      <c r="L699" t="s">
        <v>271</v>
      </c>
      <c r="M699" t="s">
        <v>4048</v>
      </c>
      <c r="N699" t="s">
        <v>2028</v>
      </c>
      <c r="O699" t="s">
        <v>2029</v>
      </c>
      <c r="R699">
        <f>1</f>
        <v>1</v>
      </c>
      <c r="S699">
        <f>12.3</f>
        <v>12.3</v>
      </c>
      <c r="T699">
        <f>7.3</f>
        <v>7.3</v>
      </c>
      <c r="U699">
        <f>322</f>
        <v>322</v>
      </c>
      <c r="X699">
        <f>0</f>
        <v>0</v>
      </c>
      <c r="Y699" t="s">
        <v>180</v>
      </c>
      <c r="Z699">
        <f>0</f>
        <v>0</v>
      </c>
      <c r="AA699" t="s">
        <v>179</v>
      </c>
      <c r="AB699" t="s">
        <v>179</v>
      </c>
      <c r="AD699">
        <f>0</f>
        <v>0</v>
      </c>
      <c r="AE699">
        <f>0</f>
        <v>0</v>
      </c>
      <c r="AG699" t="s">
        <v>180</v>
      </c>
    </row>
    <row r="700" spans="1:165" x14ac:dyDescent="0.25">
      <c r="A700" t="s">
        <v>2572</v>
      </c>
      <c r="B700" t="s">
        <v>170</v>
      </c>
      <c r="C700" s="1">
        <v>46127</v>
      </c>
      <c r="D700" t="s">
        <v>184</v>
      </c>
      <c r="E700" t="s">
        <v>185</v>
      </c>
      <c r="F700" t="s">
        <v>384</v>
      </c>
      <c r="G700" t="s">
        <v>385</v>
      </c>
      <c r="H700">
        <v>1701</v>
      </c>
      <c r="I700" t="s">
        <v>4238</v>
      </c>
      <c r="J700">
        <v>138695</v>
      </c>
      <c r="K700" t="s">
        <v>4492</v>
      </c>
      <c r="L700" t="s">
        <v>271</v>
      </c>
      <c r="M700" t="s">
        <v>386</v>
      </c>
      <c r="N700" t="s">
        <v>3563</v>
      </c>
      <c r="O700" t="s">
        <v>387</v>
      </c>
      <c r="R700">
        <f>1</f>
        <v>1</v>
      </c>
      <c r="S700">
        <f>14.5</f>
        <v>14.5</v>
      </c>
      <c r="T700">
        <f>7.2</f>
        <v>7.2</v>
      </c>
      <c r="U700">
        <f>296</f>
        <v>296</v>
      </c>
      <c r="X700">
        <f>0</f>
        <v>0</v>
      </c>
      <c r="Y700" t="s">
        <v>180</v>
      </c>
      <c r="Z700">
        <f>0</f>
        <v>0</v>
      </c>
      <c r="AA700" t="s">
        <v>179</v>
      </c>
      <c r="AB700" t="s">
        <v>179</v>
      </c>
      <c r="AD700">
        <f>0</f>
        <v>0</v>
      </c>
      <c r="AE700">
        <f>0</f>
        <v>0</v>
      </c>
      <c r="AG700" t="s">
        <v>180</v>
      </c>
    </row>
    <row r="701" spans="1:165" x14ac:dyDescent="0.25">
      <c r="A701" t="s">
        <v>2573</v>
      </c>
      <c r="B701" t="s">
        <v>170</v>
      </c>
      <c r="C701" s="1">
        <v>46133</v>
      </c>
      <c r="D701" t="s">
        <v>184</v>
      </c>
      <c r="E701" t="s">
        <v>185</v>
      </c>
      <c r="F701" t="s">
        <v>384</v>
      </c>
      <c r="G701" t="s">
        <v>385</v>
      </c>
      <c r="H701">
        <v>1701</v>
      </c>
      <c r="I701" t="s">
        <v>4238</v>
      </c>
      <c r="J701">
        <v>138695</v>
      </c>
      <c r="K701" t="s">
        <v>4492</v>
      </c>
      <c r="L701" t="s">
        <v>271</v>
      </c>
      <c r="M701" t="s">
        <v>3848</v>
      </c>
      <c r="N701" t="s">
        <v>397</v>
      </c>
      <c r="O701" t="s">
        <v>398</v>
      </c>
      <c r="R701">
        <f>1</f>
        <v>1</v>
      </c>
      <c r="S701">
        <f>16.3</f>
        <v>16.3</v>
      </c>
      <c r="T701">
        <f>7.5</f>
        <v>7.5</v>
      </c>
      <c r="U701">
        <f>409</f>
        <v>409</v>
      </c>
      <c r="X701">
        <f>0</f>
        <v>0</v>
      </c>
      <c r="Y701" t="s">
        <v>180</v>
      </c>
      <c r="Z701">
        <f>0</f>
        <v>0</v>
      </c>
      <c r="AA701" t="s">
        <v>179</v>
      </c>
      <c r="AB701" t="s">
        <v>179</v>
      </c>
      <c r="AD701">
        <f>0</f>
        <v>0</v>
      </c>
      <c r="AE701">
        <f>0</f>
        <v>0</v>
      </c>
      <c r="AG701" t="s">
        <v>180</v>
      </c>
    </row>
    <row r="702" spans="1:165" x14ac:dyDescent="0.25">
      <c r="A702" t="s">
        <v>2574</v>
      </c>
      <c r="B702" t="s">
        <v>170</v>
      </c>
      <c r="C702" s="1">
        <v>46091</v>
      </c>
      <c r="D702" t="s">
        <v>216</v>
      </c>
      <c r="E702" t="s">
        <v>217</v>
      </c>
      <c r="F702" t="s">
        <v>3555</v>
      </c>
      <c r="G702" t="s">
        <v>2575</v>
      </c>
      <c r="H702">
        <v>1820</v>
      </c>
      <c r="I702" t="s">
        <v>2576</v>
      </c>
      <c r="J702">
        <v>2277</v>
      </c>
      <c r="K702" t="s">
        <v>4494</v>
      </c>
      <c r="L702" t="s">
        <v>369</v>
      </c>
      <c r="M702" t="s">
        <v>4416</v>
      </c>
      <c r="N702" t="s">
        <v>2577</v>
      </c>
      <c r="O702" t="s">
        <v>2578</v>
      </c>
      <c r="Q702" t="s">
        <v>3468</v>
      </c>
      <c r="R702">
        <f>1</f>
        <v>1</v>
      </c>
      <c r="S702">
        <f>9</f>
        <v>9</v>
      </c>
      <c r="T702">
        <f>8.5</f>
        <v>8.5</v>
      </c>
      <c r="U702">
        <f>307</f>
        <v>307</v>
      </c>
      <c r="V702">
        <f>0.1</f>
        <v>0.1</v>
      </c>
      <c r="X702">
        <f>1</f>
        <v>1</v>
      </c>
      <c r="Y702">
        <f>0.14</f>
        <v>0.14000000000000001</v>
      </c>
      <c r="Z702">
        <f>0</f>
        <v>0</v>
      </c>
      <c r="AA702">
        <f>0</f>
        <v>0</v>
      </c>
      <c r="AB702">
        <f>0</f>
        <v>0</v>
      </c>
      <c r="AC702">
        <f>0</f>
        <v>0</v>
      </c>
      <c r="AD702">
        <f>0</f>
        <v>0</v>
      </c>
      <c r="AE702">
        <f>0</f>
        <v>0</v>
      </c>
      <c r="AG702" t="s">
        <v>220</v>
      </c>
    </row>
    <row r="703" spans="1:165" x14ac:dyDescent="0.25">
      <c r="A703" t="s">
        <v>2579</v>
      </c>
      <c r="B703" t="s">
        <v>170</v>
      </c>
      <c r="C703" s="1">
        <v>46092</v>
      </c>
      <c r="D703" t="s">
        <v>184</v>
      </c>
      <c r="E703" t="s">
        <v>185</v>
      </c>
      <c r="F703" t="s">
        <v>384</v>
      </c>
      <c r="G703" t="s">
        <v>385</v>
      </c>
      <c r="H703">
        <v>1701</v>
      </c>
      <c r="I703" t="s">
        <v>4238</v>
      </c>
      <c r="J703">
        <v>138695</v>
      </c>
      <c r="K703" t="s">
        <v>4492</v>
      </c>
      <c r="L703" t="s">
        <v>271</v>
      </c>
      <c r="M703" t="s">
        <v>4114</v>
      </c>
      <c r="N703" t="s">
        <v>3779</v>
      </c>
      <c r="R703">
        <f>1</f>
        <v>1</v>
      </c>
      <c r="S703">
        <f>13.3</f>
        <v>13.3</v>
      </c>
      <c r="T703">
        <f>7.3</f>
        <v>7.3</v>
      </c>
      <c r="U703">
        <f>455</f>
        <v>455</v>
      </c>
      <c r="X703">
        <f>0</f>
        <v>0</v>
      </c>
      <c r="Y703" t="s">
        <v>180</v>
      </c>
      <c r="Z703">
        <f>0</f>
        <v>0</v>
      </c>
      <c r="AA703" t="s">
        <v>179</v>
      </c>
      <c r="AB703" t="s">
        <v>179</v>
      </c>
      <c r="AD703">
        <f>0</f>
        <v>0</v>
      </c>
      <c r="AE703">
        <f>0</f>
        <v>0</v>
      </c>
      <c r="AG703" t="s">
        <v>180</v>
      </c>
    </row>
    <row r="704" spans="1:165" x14ac:dyDescent="0.25">
      <c r="A704" t="s">
        <v>2580</v>
      </c>
      <c r="B704" t="s">
        <v>170</v>
      </c>
      <c r="C704" s="1">
        <v>46120</v>
      </c>
      <c r="D704" t="s">
        <v>184</v>
      </c>
      <c r="E704" t="s">
        <v>546</v>
      </c>
      <c r="F704" t="s">
        <v>660</v>
      </c>
      <c r="G704" t="s">
        <v>3879</v>
      </c>
      <c r="H704">
        <v>35</v>
      </c>
      <c r="I704" t="s">
        <v>3879</v>
      </c>
      <c r="J704">
        <v>7224</v>
      </c>
      <c r="K704" t="s">
        <v>4494</v>
      </c>
      <c r="L704" t="s">
        <v>176</v>
      </c>
      <c r="M704" t="s">
        <v>4115</v>
      </c>
      <c r="N704" t="s">
        <v>4116</v>
      </c>
      <c r="O704" t="s">
        <v>2581</v>
      </c>
      <c r="R704">
        <f>1</f>
        <v>1</v>
      </c>
      <c r="S704">
        <f>11.8</f>
        <v>11.8</v>
      </c>
      <c r="T704">
        <f>7.5</f>
        <v>7.5</v>
      </c>
      <c r="U704">
        <f>177</f>
        <v>177</v>
      </c>
      <c r="X704">
        <f>0</f>
        <v>0</v>
      </c>
      <c r="Y704">
        <f>0.3</f>
        <v>0.3</v>
      </c>
      <c r="Z704">
        <f>0</f>
        <v>0</v>
      </c>
      <c r="AA704" t="s">
        <v>179</v>
      </c>
      <c r="AB704" t="s">
        <v>179</v>
      </c>
      <c r="AC704">
        <f>0</f>
        <v>0</v>
      </c>
      <c r="AD704">
        <f>0</f>
        <v>0</v>
      </c>
      <c r="AE704">
        <f>0</f>
        <v>0</v>
      </c>
      <c r="AG704" t="s">
        <v>180</v>
      </c>
    </row>
    <row r="705" spans="1:43" x14ac:dyDescent="0.25">
      <c r="A705" t="s">
        <v>2582</v>
      </c>
      <c r="B705" t="s">
        <v>170</v>
      </c>
      <c r="C705" s="1">
        <v>46119</v>
      </c>
      <c r="D705" t="s">
        <v>184</v>
      </c>
      <c r="E705" t="s">
        <v>448</v>
      </c>
      <c r="F705" t="s">
        <v>558</v>
      </c>
      <c r="G705" t="s">
        <v>559</v>
      </c>
      <c r="H705">
        <v>642</v>
      </c>
      <c r="I705" t="s">
        <v>560</v>
      </c>
      <c r="J705">
        <v>9716</v>
      </c>
      <c r="K705" t="s">
        <v>4494</v>
      </c>
      <c r="L705" t="s">
        <v>561</v>
      </c>
      <c r="M705" t="s">
        <v>4117</v>
      </c>
      <c r="N705" t="s">
        <v>2583</v>
      </c>
      <c r="O705" t="s">
        <v>2584</v>
      </c>
      <c r="R705">
        <f>1</f>
        <v>1</v>
      </c>
      <c r="S705">
        <f>9.6</f>
        <v>9.6</v>
      </c>
      <c r="T705">
        <f>7.8</f>
        <v>7.8</v>
      </c>
      <c r="U705">
        <f>471</f>
        <v>471</v>
      </c>
      <c r="W705">
        <f>0.07</f>
        <v>7.0000000000000007E-2</v>
      </c>
      <c r="X705">
        <f>0</f>
        <v>0</v>
      </c>
      <c r="Y705" t="s">
        <v>180</v>
      </c>
      <c r="Z705">
        <f>0</f>
        <v>0</v>
      </c>
      <c r="AA705" t="s">
        <v>179</v>
      </c>
      <c r="AB705" t="s">
        <v>179</v>
      </c>
      <c r="AC705">
        <f>0</f>
        <v>0</v>
      </c>
      <c r="AD705">
        <f>0</f>
        <v>0</v>
      </c>
      <c r="AE705">
        <f>0</f>
        <v>0</v>
      </c>
      <c r="AG705" t="s">
        <v>180</v>
      </c>
    </row>
    <row r="706" spans="1:43" x14ac:dyDescent="0.25">
      <c r="A706" t="s">
        <v>2585</v>
      </c>
      <c r="B706" t="s">
        <v>170</v>
      </c>
      <c r="C706" s="1">
        <v>46083</v>
      </c>
      <c r="D706" t="s">
        <v>238</v>
      </c>
      <c r="E706" t="s">
        <v>239</v>
      </c>
      <c r="F706" t="s">
        <v>240</v>
      </c>
      <c r="G706" t="s">
        <v>4417</v>
      </c>
      <c r="H706">
        <v>1474</v>
      </c>
      <c r="I706" t="s">
        <v>4417</v>
      </c>
      <c r="J706">
        <v>2443</v>
      </c>
      <c r="K706" t="s">
        <v>4494</v>
      </c>
      <c r="L706" t="s">
        <v>291</v>
      </c>
      <c r="M706" t="s">
        <v>4118</v>
      </c>
      <c r="N706" t="s">
        <v>3440</v>
      </c>
      <c r="O706" t="s">
        <v>2586</v>
      </c>
      <c r="R706">
        <f>1</f>
        <v>1</v>
      </c>
      <c r="S706">
        <f>9.4</f>
        <v>9.4</v>
      </c>
      <c r="T706">
        <f>7.6</f>
        <v>7.6</v>
      </c>
      <c r="U706">
        <f>385</f>
        <v>385</v>
      </c>
      <c r="X706">
        <f>0</f>
        <v>0</v>
      </c>
      <c r="Y706">
        <f>0.25</f>
        <v>0.25</v>
      </c>
      <c r="Z706">
        <f>0</f>
        <v>0</v>
      </c>
      <c r="AA706" t="s">
        <v>179</v>
      </c>
      <c r="AB706" t="s">
        <v>179</v>
      </c>
      <c r="AC706">
        <f>0</f>
        <v>0</v>
      </c>
      <c r="AD706">
        <f>0</f>
        <v>0</v>
      </c>
      <c r="AE706">
        <f>0</f>
        <v>0</v>
      </c>
      <c r="AG706" t="s">
        <v>220</v>
      </c>
    </row>
    <row r="707" spans="1:43" x14ac:dyDescent="0.25">
      <c r="A707" t="s">
        <v>2587</v>
      </c>
      <c r="B707" t="s">
        <v>170</v>
      </c>
      <c r="C707" s="1">
        <v>46135</v>
      </c>
      <c r="D707" t="s">
        <v>238</v>
      </c>
      <c r="E707" t="s">
        <v>239</v>
      </c>
      <c r="F707" t="s">
        <v>240</v>
      </c>
      <c r="G707" t="s">
        <v>2588</v>
      </c>
      <c r="H707">
        <v>151</v>
      </c>
      <c r="I707" t="s">
        <v>2588</v>
      </c>
      <c r="J707">
        <v>3340</v>
      </c>
      <c r="K707" t="s">
        <v>4494</v>
      </c>
      <c r="L707" t="s">
        <v>3562</v>
      </c>
      <c r="M707" t="s">
        <v>2589</v>
      </c>
      <c r="N707" t="s">
        <v>2590</v>
      </c>
      <c r="O707" t="s">
        <v>2591</v>
      </c>
      <c r="Q707" t="s">
        <v>3533</v>
      </c>
      <c r="R707">
        <f>1</f>
        <v>1</v>
      </c>
      <c r="S707">
        <f>13.7</f>
        <v>13.7</v>
      </c>
      <c r="T707">
        <f>7.6</f>
        <v>7.6</v>
      </c>
      <c r="U707">
        <f>425</f>
        <v>425</v>
      </c>
      <c r="X707">
        <f>0</f>
        <v>0</v>
      </c>
      <c r="Y707" t="s">
        <v>180</v>
      </c>
      <c r="Z707">
        <f>0</f>
        <v>0</v>
      </c>
      <c r="AA707" t="s">
        <v>179</v>
      </c>
      <c r="AB707" t="s">
        <v>179</v>
      </c>
      <c r="AC707">
        <f>0</f>
        <v>0</v>
      </c>
      <c r="AD707">
        <f>0</f>
        <v>0</v>
      </c>
      <c r="AE707">
        <f>0</f>
        <v>0</v>
      </c>
      <c r="AG707" t="s">
        <v>220</v>
      </c>
    </row>
    <row r="708" spans="1:43" x14ac:dyDescent="0.25">
      <c r="A708" t="s">
        <v>2592</v>
      </c>
      <c r="B708" t="s">
        <v>170</v>
      </c>
      <c r="C708" s="1">
        <v>46078</v>
      </c>
      <c r="D708" t="s">
        <v>184</v>
      </c>
      <c r="E708" t="s">
        <v>185</v>
      </c>
      <c r="F708" t="s">
        <v>384</v>
      </c>
      <c r="G708" t="s">
        <v>2593</v>
      </c>
      <c r="H708">
        <v>179</v>
      </c>
      <c r="I708" t="s">
        <v>2594</v>
      </c>
      <c r="J708">
        <v>1558</v>
      </c>
      <c r="K708" t="s">
        <v>4492</v>
      </c>
      <c r="L708" t="s">
        <v>266</v>
      </c>
      <c r="M708" t="s">
        <v>4119</v>
      </c>
      <c r="N708" t="s">
        <v>2595</v>
      </c>
      <c r="O708" t="s">
        <v>2596</v>
      </c>
      <c r="R708">
        <f>1</f>
        <v>1</v>
      </c>
      <c r="S708">
        <f>7</f>
        <v>7</v>
      </c>
      <c r="T708">
        <f>7.7</f>
        <v>7.7</v>
      </c>
      <c r="U708">
        <f>406</f>
        <v>406</v>
      </c>
      <c r="V708" t="s">
        <v>258</v>
      </c>
      <c r="X708">
        <f>0</f>
        <v>0</v>
      </c>
      <c r="Y708">
        <f>0.2</f>
        <v>0.2</v>
      </c>
      <c r="Z708">
        <f>0</f>
        <v>0</v>
      </c>
      <c r="AA708" t="s">
        <v>179</v>
      </c>
      <c r="AB708" t="s">
        <v>179</v>
      </c>
      <c r="AD708">
        <f>0</f>
        <v>0</v>
      </c>
      <c r="AE708">
        <f>0</f>
        <v>0</v>
      </c>
      <c r="AG708" t="s">
        <v>180</v>
      </c>
    </row>
    <row r="709" spans="1:43" x14ac:dyDescent="0.25">
      <c r="A709" t="s">
        <v>2597</v>
      </c>
      <c r="B709" t="s">
        <v>170</v>
      </c>
      <c r="C709" s="1">
        <v>46101</v>
      </c>
      <c r="D709" t="s">
        <v>238</v>
      </c>
      <c r="E709" t="s">
        <v>239</v>
      </c>
      <c r="F709" t="s">
        <v>240</v>
      </c>
      <c r="G709" t="s">
        <v>2598</v>
      </c>
      <c r="H709">
        <v>171</v>
      </c>
      <c r="I709" t="s">
        <v>2599</v>
      </c>
      <c r="J709">
        <v>2135</v>
      </c>
      <c r="K709" t="s">
        <v>4494</v>
      </c>
      <c r="L709" t="s">
        <v>266</v>
      </c>
      <c r="M709" t="s">
        <v>4120</v>
      </c>
      <c r="N709" t="s">
        <v>4121</v>
      </c>
      <c r="O709" t="s">
        <v>2600</v>
      </c>
      <c r="R709">
        <f>1</f>
        <v>1</v>
      </c>
      <c r="S709">
        <f>11.4</f>
        <v>11.4</v>
      </c>
      <c r="T709">
        <f>7.3</f>
        <v>7.3</v>
      </c>
      <c r="U709">
        <f>554</f>
        <v>554</v>
      </c>
      <c r="V709">
        <f>0.33</f>
        <v>0.33</v>
      </c>
      <c r="X709">
        <f>0</f>
        <v>0</v>
      </c>
      <c r="Y709">
        <f>0.86</f>
        <v>0.86</v>
      </c>
      <c r="Z709">
        <f>0</f>
        <v>0</v>
      </c>
      <c r="AA709" t="s">
        <v>179</v>
      </c>
      <c r="AB709" t="s">
        <v>179</v>
      </c>
      <c r="AC709">
        <f>0</f>
        <v>0</v>
      </c>
      <c r="AD709">
        <f>0</f>
        <v>0</v>
      </c>
      <c r="AE709">
        <f>0</f>
        <v>0</v>
      </c>
      <c r="AG709" t="s">
        <v>220</v>
      </c>
    </row>
    <row r="710" spans="1:43" x14ac:dyDescent="0.25">
      <c r="A710" t="s">
        <v>2601</v>
      </c>
      <c r="B710" t="s">
        <v>170</v>
      </c>
      <c r="C710" s="1">
        <v>46078</v>
      </c>
      <c r="D710" t="s">
        <v>195</v>
      </c>
      <c r="E710" t="s">
        <v>196</v>
      </c>
      <c r="F710" t="s">
        <v>3857</v>
      </c>
      <c r="G710" t="s">
        <v>2602</v>
      </c>
      <c r="H710">
        <v>329</v>
      </c>
      <c r="I710" t="s">
        <v>2602</v>
      </c>
      <c r="J710">
        <v>1000</v>
      </c>
      <c r="K710" t="s">
        <v>4494</v>
      </c>
      <c r="L710" t="s">
        <v>461</v>
      </c>
      <c r="M710" t="s">
        <v>4418</v>
      </c>
      <c r="N710" t="s">
        <v>4419</v>
      </c>
      <c r="O710" t="s">
        <v>2603</v>
      </c>
      <c r="R710">
        <f>1</f>
        <v>1</v>
      </c>
      <c r="S710">
        <f>11.6</f>
        <v>11.6</v>
      </c>
      <c r="T710">
        <f>7.9</f>
        <v>7.9</v>
      </c>
      <c r="U710">
        <f>358</f>
        <v>358</v>
      </c>
      <c r="X710">
        <f>0</f>
        <v>0</v>
      </c>
      <c r="Y710">
        <f>0.01</f>
        <v>0.01</v>
      </c>
      <c r="Z710">
        <f>0</f>
        <v>0</v>
      </c>
      <c r="AA710">
        <f>2</f>
        <v>2</v>
      </c>
      <c r="AB710">
        <f>0</f>
        <v>0</v>
      </c>
      <c r="AC710">
        <f>0</f>
        <v>0</v>
      </c>
      <c r="AD710">
        <f>0</f>
        <v>0</v>
      </c>
      <c r="AE710">
        <f>0</f>
        <v>0</v>
      </c>
      <c r="AG710" t="s">
        <v>180</v>
      </c>
    </row>
    <row r="711" spans="1:43" x14ac:dyDescent="0.25">
      <c r="A711" t="s">
        <v>2604</v>
      </c>
      <c r="B711" t="s">
        <v>170</v>
      </c>
      <c r="C711" s="1">
        <v>46098</v>
      </c>
      <c r="D711" t="s">
        <v>238</v>
      </c>
      <c r="E711" t="s">
        <v>239</v>
      </c>
      <c r="F711" t="s">
        <v>4224</v>
      </c>
      <c r="G711" t="s">
        <v>4225</v>
      </c>
      <c r="H711">
        <v>797</v>
      </c>
      <c r="I711" t="s">
        <v>4420</v>
      </c>
      <c r="J711">
        <v>2912</v>
      </c>
      <c r="K711" t="s">
        <v>4494</v>
      </c>
      <c r="L711" t="s">
        <v>2605</v>
      </c>
      <c r="M711" t="s">
        <v>3441</v>
      </c>
      <c r="N711" t="s">
        <v>4122</v>
      </c>
      <c r="O711" t="s">
        <v>2606</v>
      </c>
      <c r="R711">
        <f>1</f>
        <v>1</v>
      </c>
      <c r="S711">
        <f>11.9</f>
        <v>11.9</v>
      </c>
      <c r="T711">
        <f>7.4</f>
        <v>7.4</v>
      </c>
      <c r="U711">
        <f>491</f>
        <v>491</v>
      </c>
      <c r="X711">
        <f>0</f>
        <v>0</v>
      </c>
      <c r="Y711">
        <f>0.17</f>
        <v>0.17</v>
      </c>
      <c r="Z711">
        <f>0</f>
        <v>0</v>
      </c>
      <c r="AA711" t="s">
        <v>179</v>
      </c>
      <c r="AB711" t="s">
        <v>179</v>
      </c>
      <c r="AC711">
        <f>0</f>
        <v>0</v>
      </c>
      <c r="AD711">
        <f>0</f>
        <v>0</v>
      </c>
      <c r="AE711">
        <f>0</f>
        <v>0</v>
      </c>
      <c r="AG711" t="s">
        <v>220</v>
      </c>
    </row>
    <row r="712" spans="1:43" x14ac:dyDescent="0.25">
      <c r="A712" t="s">
        <v>2607</v>
      </c>
      <c r="B712" t="s">
        <v>170</v>
      </c>
      <c r="C712" s="1">
        <v>46107</v>
      </c>
      <c r="D712" t="s">
        <v>251</v>
      </c>
      <c r="E712" t="s">
        <v>252</v>
      </c>
      <c r="F712" t="s">
        <v>253</v>
      </c>
      <c r="G712" t="s">
        <v>2608</v>
      </c>
      <c r="H712">
        <v>79</v>
      </c>
      <c r="I712" t="s">
        <v>2608</v>
      </c>
      <c r="J712">
        <v>2522</v>
      </c>
      <c r="K712" t="s">
        <v>4494</v>
      </c>
      <c r="L712" t="s">
        <v>593</v>
      </c>
      <c r="M712" t="s">
        <v>4876</v>
      </c>
      <c r="N712" t="s">
        <v>2609</v>
      </c>
      <c r="O712" t="s">
        <v>2610</v>
      </c>
      <c r="Q712" t="s">
        <v>257</v>
      </c>
      <c r="R712">
        <f>1</f>
        <v>1</v>
      </c>
      <c r="S712">
        <f>8.1</f>
        <v>8.1</v>
      </c>
      <c r="T712">
        <f>7.9</f>
        <v>7.9</v>
      </c>
      <c r="U712">
        <f>240</f>
        <v>240</v>
      </c>
      <c r="V712">
        <f>0.08</f>
        <v>0.08</v>
      </c>
      <c r="X712">
        <f>0</f>
        <v>0</v>
      </c>
      <c r="Y712" t="s">
        <v>180</v>
      </c>
      <c r="Z712">
        <f>0</f>
        <v>0</v>
      </c>
      <c r="AA712">
        <f>0</f>
        <v>0</v>
      </c>
      <c r="AB712">
        <f>0</f>
        <v>0</v>
      </c>
      <c r="AC712">
        <f>0</f>
        <v>0</v>
      </c>
      <c r="AD712">
        <f>0</f>
        <v>0</v>
      </c>
      <c r="AE712">
        <f>0</f>
        <v>0</v>
      </c>
      <c r="AG712" t="s">
        <v>180</v>
      </c>
    </row>
    <row r="713" spans="1:43" x14ac:dyDescent="0.25">
      <c r="A713" t="s">
        <v>2611</v>
      </c>
      <c r="B713" t="s">
        <v>170</v>
      </c>
      <c r="C713" s="1">
        <v>46132</v>
      </c>
      <c r="D713" t="s">
        <v>425</v>
      </c>
      <c r="E713" t="s">
        <v>426</v>
      </c>
      <c r="F713" t="s">
        <v>695</v>
      </c>
      <c r="G713" t="s">
        <v>715</v>
      </c>
      <c r="H713">
        <v>817</v>
      </c>
      <c r="I713" t="s">
        <v>3885</v>
      </c>
      <c r="J713">
        <v>2000</v>
      </c>
      <c r="K713" t="s">
        <v>4492</v>
      </c>
      <c r="L713" t="s">
        <v>291</v>
      </c>
      <c r="M713" t="s">
        <v>3886</v>
      </c>
      <c r="N713" t="s">
        <v>3887</v>
      </c>
      <c r="O713" t="s">
        <v>716</v>
      </c>
      <c r="R713">
        <f>1</f>
        <v>1</v>
      </c>
      <c r="S713">
        <f>12.3</f>
        <v>12.3</v>
      </c>
      <c r="T713">
        <f>7.8</f>
        <v>7.8</v>
      </c>
      <c r="U713">
        <f>355</f>
        <v>355</v>
      </c>
      <c r="X713">
        <f>0</f>
        <v>0</v>
      </c>
      <c r="Y713" t="s">
        <v>180</v>
      </c>
      <c r="Z713">
        <f>0</f>
        <v>0</v>
      </c>
      <c r="AA713" t="s">
        <v>179</v>
      </c>
      <c r="AB713" t="s">
        <v>179</v>
      </c>
      <c r="AD713">
        <f>0</f>
        <v>0</v>
      </c>
      <c r="AE713">
        <f>0</f>
        <v>0</v>
      </c>
      <c r="AG713" t="s">
        <v>180</v>
      </c>
    </row>
    <row r="714" spans="1:43" x14ac:dyDescent="0.25">
      <c r="A714" t="s">
        <v>2612</v>
      </c>
      <c r="B714" t="s">
        <v>170</v>
      </c>
      <c r="C714" s="1">
        <v>46083</v>
      </c>
      <c r="D714" t="s">
        <v>425</v>
      </c>
      <c r="E714" t="s">
        <v>426</v>
      </c>
      <c r="F714" t="s">
        <v>695</v>
      </c>
      <c r="G714" t="s">
        <v>715</v>
      </c>
      <c r="H714">
        <v>818</v>
      </c>
      <c r="I714" t="s">
        <v>715</v>
      </c>
      <c r="J714">
        <v>7500</v>
      </c>
      <c r="K714" t="s">
        <v>4492</v>
      </c>
      <c r="L714" t="s">
        <v>291</v>
      </c>
      <c r="M714" t="s">
        <v>4123</v>
      </c>
      <c r="N714" t="s">
        <v>2613</v>
      </c>
      <c r="O714" t="s">
        <v>2614</v>
      </c>
      <c r="R714">
        <f>1</f>
        <v>1</v>
      </c>
      <c r="S714">
        <f>10.8</f>
        <v>10.8</v>
      </c>
      <c r="T714">
        <f>7.5</f>
        <v>7.5</v>
      </c>
      <c r="U714">
        <f>342</f>
        <v>342</v>
      </c>
      <c r="X714">
        <f>0</f>
        <v>0</v>
      </c>
      <c r="Y714" t="s">
        <v>180</v>
      </c>
      <c r="Z714">
        <f>0</f>
        <v>0</v>
      </c>
      <c r="AA714" t="s">
        <v>179</v>
      </c>
      <c r="AB714">
        <f>22</f>
        <v>22</v>
      </c>
      <c r="AD714">
        <f>0</f>
        <v>0</v>
      </c>
      <c r="AE714">
        <f>0</f>
        <v>0</v>
      </c>
      <c r="AG714" t="s">
        <v>180</v>
      </c>
    </row>
    <row r="715" spans="1:43" x14ac:dyDescent="0.25">
      <c r="A715" t="s">
        <v>2615</v>
      </c>
      <c r="B715" t="s">
        <v>170</v>
      </c>
      <c r="C715" s="1">
        <v>46090</v>
      </c>
      <c r="D715" t="s">
        <v>251</v>
      </c>
      <c r="E715" t="s">
        <v>252</v>
      </c>
      <c r="F715" t="s">
        <v>4241</v>
      </c>
      <c r="G715" t="s">
        <v>2616</v>
      </c>
      <c r="H715">
        <v>94</v>
      </c>
      <c r="I715" t="s">
        <v>2617</v>
      </c>
      <c r="J715">
        <v>1868</v>
      </c>
      <c r="K715" t="s">
        <v>4494</v>
      </c>
      <c r="L715" t="s">
        <v>271</v>
      </c>
      <c r="M715" t="s">
        <v>4877</v>
      </c>
      <c r="N715" t="s">
        <v>2618</v>
      </c>
      <c r="O715" t="s">
        <v>2619</v>
      </c>
      <c r="Q715" t="s">
        <v>257</v>
      </c>
      <c r="R715">
        <f>1</f>
        <v>1</v>
      </c>
      <c r="S715">
        <f>8.8</f>
        <v>8.8000000000000007</v>
      </c>
      <c r="T715">
        <f>8.1</f>
        <v>8.1</v>
      </c>
      <c r="U715">
        <f>182</f>
        <v>182</v>
      </c>
      <c r="X715">
        <f>0</f>
        <v>0</v>
      </c>
      <c r="Y715" t="s">
        <v>180</v>
      </c>
      <c r="Z715">
        <f>0</f>
        <v>0</v>
      </c>
      <c r="AA715">
        <f>0</f>
        <v>0</v>
      </c>
      <c r="AB715">
        <f>0</f>
        <v>0</v>
      </c>
      <c r="AC715">
        <f>0</f>
        <v>0</v>
      </c>
      <c r="AD715">
        <f>0</f>
        <v>0</v>
      </c>
      <c r="AE715">
        <f>0</f>
        <v>0</v>
      </c>
      <c r="AG715" t="s">
        <v>180</v>
      </c>
    </row>
    <row r="716" spans="1:43" x14ac:dyDescent="0.25">
      <c r="A716" t="s">
        <v>2620</v>
      </c>
      <c r="B716" t="s">
        <v>170</v>
      </c>
      <c r="C716" s="1">
        <v>46135</v>
      </c>
      <c r="D716" t="s">
        <v>302</v>
      </c>
      <c r="E716" t="s">
        <v>303</v>
      </c>
      <c r="F716" t="s">
        <v>310</v>
      </c>
      <c r="G716" t="s">
        <v>311</v>
      </c>
      <c r="H716">
        <v>802</v>
      </c>
      <c r="I716" t="s">
        <v>3442</v>
      </c>
      <c r="J716">
        <v>7796</v>
      </c>
      <c r="K716" t="s">
        <v>4492</v>
      </c>
      <c r="L716" t="s">
        <v>325</v>
      </c>
      <c r="M716" t="s">
        <v>4124</v>
      </c>
      <c r="N716" t="s">
        <v>2621</v>
      </c>
      <c r="O716" t="s">
        <v>2622</v>
      </c>
      <c r="R716">
        <f>1</f>
        <v>1</v>
      </c>
      <c r="S716">
        <f>13.9</f>
        <v>13.9</v>
      </c>
      <c r="T716">
        <f>7.6</f>
        <v>7.6</v>
      </c>
      <c r="U716">
        <f>557</f>
        <v>557</v>
      </c>
      <c r="V716" t="s">
        <v>192</v>
      </c>
      <c r="X716">
        <f>0</f>
        <v>0</v>
      </c>
      <c r="Y716" t="s">
        <v>180</v>
      </c>
      <c r="Z716">
        <f>0</f>
        <v>0</v>
      </c>
      <c r="AA716" t="s">
        <v>179</v>
      </c>
      <c r="AB716" t="s">
        <v>179</v>
      </c>
      <c r="AD716">
        <f>0</f>
        <v>0</v>
      </c>
      <c r="AE716">
        <f>0</f>
        <v>0</v>
      </c>
      <c r="AG716" t="s">
        <v>180</v>
      </c>
    </row>
    <row r="717" spans="1:43" x14ac:dyDescent="0.25">
      <c r="A717" t="s">
        <v>2623</v>
      </c>
      <c r="B717" t="s">
        <v>170</v>
      </c>
      <c r="C717" s="1">
        <v>46098</v>
      </c>
      <c r="D717" t="s">
        <v>238</v>
      </c>
      <c r="E717" t="s">
        <v>239</v>
      </c>
      <c r="F717" t="s">
        <v>473</v>
      </c>
      <c r="G717" t="s">
        <v>474</v>
      </c>
      <c r="H717">
        <v>142</v>
      </c>
      <c r="I717" t="s">
        <v>474</v>
      </c>
      <c r="J717">
        <v>5775</v>
      </c>
      <c r="K717" t="s">
        <v>4494</v>
      </c>
      <c r="L717" t="s">
        <v>3562</v>
      </c>
      <c r="M717" t="s">
        <v>2624</v>
      </c>
      <c r="N717" t="s">
        <v>4125</v>
      </c>
      <c r="O717" t="s">
        <v>2625</v>
      </c>
      <c r="R717">
        <f>1</f>
        <v>1</v>
      </c>
      <c r="S717">
        <f>11.6</f>
        <v>11.6</v>
      </c>
      <c r="T717">
        <f>7.7</f>
        <v>7.7</v>
      </c>
      <c r="U717">
        <f>418</f>
        <v>418</v>
      </c>
      <c r="X717">
        <f>0</f>
        <v>0</v>
      </c>
      <c r="Y717">
        <f>0.19</f>
        <v>0.19</v>
      </c>
      <c r="Z717">
        <f>0</f>
        <v>0</v>
      </c>
      <c r="AA717" t="s">
        <v>179</v>
      </c>
      <c r="AB717" t="s">
        <v>179</v>
      </c>
      <c r="AC717">
        <f>0</f>
        <v>0</v>
      </c>
      <c r="AD717">
        <f>0</f>
        <v>0</v>
      </c>
      <c r="AE717">
        <f>0</f>
        <v>0</v>
      </c>
      <c r="AG717" t="s">
        <v>220</v>
      </c>
      <c r="AH717">
        <f>0.5</f>
        <v>0.5</v>
      </c>
      <c r="AK717" t="s">
        <v>286</v>
      </c>
      <c r="AL717" t="s">
        <v>556</v>
      </c>
      <c r="AM717">
        <f>4.7</f>
        <v>4.7</v>
      </c>
      <c r="AN717">
        <f>0.094</f>
        <v>9.4E-2</v>
      </c>
      <c r="AO717">
        <f>5.1</f>
        <v>5.0999999999999996</v>
      </c>
      <c r="AP717">
        <f>3.9</f>
        <v>3.9</v>
      </c>
      <c r="AQ717" t="s">
        <v>192</v>
      </c>
    </row>
    <row r="718" spans="1:43" x14ac:dyDescent="0.25">
      <c r="A718" t="s">
        <v>2626</v>
      </c>
      <c r="B718" t="s">
        <v>170</v>
      </c>
      <c r="C718" s="1">
        <v>46135</v>
      </c>
      <c r="D718" t="s">
        <v>238</v>
      </c>
      <c r="E718" t="s">
        <v>239</v>
      </c>
      <c r="F718" t="s">
        <v>473</v>
      </c>
      <c r="G718" t="s">
        <v>2627</v>
      </c>
      <c r="H718">
        <v>143</v>
      </c>
      <c r="I718" t="s">
        <v>2627</v>
      </c>
      <c r="J718">
        <v>2211</v>
      </c>
      <c r="K718" t="s">
        <v>4494</v>
      </c>
      <c r="L718" t="s">
        <v>266</v>
      </c>
      <c r="M718" t="s">
        <v>4878</v>
      </c>
      <c r="N718" t="s">
        <v>2628</v>
      </c>
      <c r="O718" t="s">
        <v>2629</v>
      </c>
      <c r="Q718" t="s">
        <v>3534</v>
      </c>
      <c r="R718">
        <f>1</f>
        <v>1</v>
      </c>
      <c r="S718">
        <f>12.8</f>
        <v>12.8</v>
      </c>
      <c r="T718">
        <f>7.8</f>
        <v>7.8</v>
      </c>
      <c r="U718">
        <f>408</f>
        <v>408</v>
      </c>
      <c r="V718">
        <f>0.2</f>
        <v>0.2</v>
      </c>
      <c r="X718">
        <f>0</f>
        <v>0</v>
      </c>
      <c r="Y718">
        <f>0.39</f>
        <v>0.39</v>
      </c>
      <c r="Z718">
        <f>0</f>
        <v>0</v>
      </c>
      <c r="AA718" t="s">
        <v>179</v>
      </c>
      <c r="AB718" t="s">
        <v>179</v>
      </c>
      <c r="AC718">
        <f>0</f>
        <v>0</v>
      </c>
      <c r="AD718">
        <f>0</f>
        <v>0</v>
      </c>
      <c r="AE718">
        <f>0</f>
        <v>0</v>
      </c>
      <c r="AG718" t="s">
        <v>220</v>
      </c>
    </row>
    <row r="719" spans="1:43" x14ac:dyDescent="0.25">
      <c r="A719" t="s">
        <v>2630</v>
      </c>
      <c r="B719" t="s">
        <v>170</v>
      </c>
      <c r="C719" s="1">
        <v>46111</v>
      </c>
      <c r="D719" t="s">
        <v>238</v>
      </c>
      <c r="E719" t="s">
        <v>239</v>
      </c>
      <c r="F719" t="s">
        <v>2631</v>
      </c>
      <c r="G719" t="s">
        <v>2632</v>
      </c>
      <c r="H719">
        <v>694</v>
      </c>
      <c r="I719" t="s">
        <v>2632</v>
      </c>
      <c r="J719">
        <v>2401</v>
      </c>
      <c r="K719" t="s">
        <v>4494</v>
      </c>
      <c r="L719" t="s">
        <v>245</v>
      </c>
      <c r="M719" t="s">
        <v>4126</v>
      </c>
      <c r="N719" t="s">
        <v>3653</v>
      </c>
      <c r="O719" t="s">
        <v>2633</v>
      </c>
      <c r="R719">
        <f>1</f>
        <v>1</v>
      </c>
      <c r="S719">
        <f>12.8</f>
        <v>12.8</v>
      </c>
      <c r="T719">
        <f>7.4</f>
        <v>7.4</v>
      </c>
      <c r="U719">
        <f>475</f>
        <v>475</v>
      </c>
      <c r="W719">
        <f>0.21</f>
        <v>0.21</v>
      </c>
      <c r="X719">
        <f>0</f>
        <v>0</v>
      </c>
      <c r="Y719">
        <f>0.16</f>
        <v>0.16</v>
      </c>
      <c r="Z719">
        <f>0</f>
        <v>0</v>
      </c>
      <c r="AA719" t="s">
        <v>179</v>
      </c>
      <c r="AB719" t="s">
        <v>179</v>
      </c>
      <c r="AC719">
        <f>0</f>
        <v>0</v>
      </c>
      <c r="AD719">
        <f>0</f>
        <v>0</v>
      </c>
      <c r="AE719">
        <f>0</f>
        <v>0</v>
      </c>
      <c r="AG719" t="s">
        <v>220</v>
      </c>
    </row>
    <row r="720" spans="1:43" x14ac:dyDescent="0.25">
      <c r="A720" t="s">
        <v>2634</v>
      </c>
      <c r="B720" t="s">
        <v>170</v>
      </c>
      <c r="C720" s="1">
        <v>46087</v>
      </c>
      <c r="D720" t="s">
        <v>216</v>
      </c>
      <c r="E720" t="s">
        <v>217</v>
      </c>
      <c r="F720" t="s">
        <v>408</v>
      </c>
      <c r="G720" t="s">
        <v>490</v>
      </c>
      <c r="H720">
        <v>375</v>
      </c>
      <c r="I720" t="s">
        <v>490</v>
      </c>
      <c r="J720">
        <v>2053</v>
      </c>
      <c r="K720" t="s">
        <v>4492</v>
      </c>
      <c r="L720" t="s">
        <v>369</v>
      </c>
      <c r="M720" t="s">
        <v>3861</v>
      </c>
      <c r="N720" t="s">
        <v>4526</v>
      </c>
      <c r="O720" t="s">
        <v>491</v>
      </c>
      <c r="Q720" t="s">
        <v>3535</v>
      </c>
      <c r="R720">
        <f>1</f>
        <v>1</v>
      </c>
      <c r="S720">
        <f>12.2</f>
        <v>12.2</v>
      </c>
      <c r="T720">
        <f>8.2</f>
        <v>8.1999999999999993</v>
      </c>
      <c r="U720">
        <f>225</f>
        <v>225</v>
      </c>
      <c r="V720">
        <f>0.15</f>
        <v>0.15</v>
      </c>
      <c r="X720">
        <f>1</f>
        <v>1</v>
      </c>
      <c r="Y720">
        <f>0.19</f>
        <v>0.19</v>
      </c>
      <c r="Z720">
        <f>0</f>
        <v>0</v>
      </c>
      <c r="AA720">
        <f>1</f>
        <v>1</v>
      </c>
      <c r="AB720">
        <f>1</f>
        <v>1</v>
      </c>
      <c r="AD720">
        <f>0</f>
        <v>0</v>
      </c>
      <c r="AE720">
        <f>0</f>
        <v>0</v>
      </c>
      <c r="AG720" t="s">
        <v>220</v>
      </c>
    </row>
    <row r="721" spans="1:43" x14ac:dyDescent="0.25">
      <c r="A721" t="s">
        <v>2635</v>
      </c>
      <c r="B721" t="s">
        <v>170</v>
      </c>
      <c r="C721" s="1">
        <v>46104</v>
      </c>
      <c r="D721" t="s">
        <v>251</v>
      </c>
      <c r="E721" t="s">
        <v>252</v>
      </c>
      <c r="F721" t="s">
        <v>3590</v>
      </c>
      <c r="G721" t="s">
        <v>4421</v>
      </c>
      <c r="H721">
        <v>63</v>
      </c>
      <c r="I721" t="s">
        <v>4421</v>
      </c>
      <c r="J721">
        <v>4396</v>
      </c>
      <c r="K721" t="s">
        <v>4492</v>
      </c>
      <c r="L721" t="s">
        <v>271</v>
      </c>
      <c r="M721" t="s">
        <v>4879</v>
      </c>
      <c r="N721" t="s">
        <v>4880</v>
      </c>
      <c r="O721" t="s">
        <v>2636</v>
      </c>
      <c r="Q721" t="s">
        <v>257</v>
      </c>
      <c r="R721">
        <f>1</f>
        <v>1</v>
      </c>
      <c r="S721">
        <f>10.2</f>
        <v>10.199999999999999</v>
      </c>
      <c r="T721">
        <f>8.1</f>
        <v>8.1</v>
      </c>
      <c r="U721">
        <f>277</f>
        <v>277</v>
      </c>
      <c r="X721">
        <f>0</f>
        <v>0</v>
      </c>
      <c r="Y721" t="s">
        <v>180</v>
      </c>
      <c r="Z721">
        <f>0</f>
        <v>0</v>
      </c>
      <c r="AA721">
        <f>0</f>
        <v>0</v>
      </c>
      <c r="AB721">
        <f>0</f>
        <v>0</v>
      </c>
      <c r="AD721">
        <f>0</f>
        <v>0</v>
      </c>
      <c r="AE721">
        <f>0</f>
        <v>0</v>
      </c>
      <c r="AG721" t="s">
        <v>180</v>
      </c>
    </row>
    <row r="722" spans="1:43" x14ac:dyDescent="0.25">
      <c r="A722" t="s">
        <v>2637</v>
      </c>
      <c r="B722" t="s">
        <v>170</v>
      </c>
      <c r="C722" s="1">
        <v>46141</v>
      </c>
      <c r="D722" t="s">
        <v>184</v>
      </c>
      <c r="E722" t="s">
        <v>239</v>
      </c>
      <c r="F722" t="s">
        <v>276</v>
      </c>
      <c r="G722" t="s">
        <v>4127</v>
      </c>
      <c r="H722">
        <v>681</v>
      </c>
      <c r="I722" t="s">
        <v>4127</v>
      </c>
      <c r="J722">
        <v>1805</v>
      </c>
      <c r="K722" t="s">
        <v>4494</v>
      </c>
      <c r="L722" t="s">
        <v>277</v>
      </c>
      <c r="M722" t="s">
        <v>4881</v>
      </c>
      <c r="N722" t="s">
        <v>4882</v>
      </c>
      <c r="O722" t="s">
        <v>2638</v>
      </c>
      <c r="R722">
        <f>1</f>
        <v>1</v>
      </c>
      <c r="S722">
        <f>15.4</f>
        <v>15.4</v>
      </c>
      <c r="T722">
        <f>7.9</f>
        <v>7.9</v>
      </c>
      <c r="U722">
        <f>342</f>
        <v>342</v>
      </c>
      <c r="X722">
        <f>0</f>
        <v>0</v>
      </c>
      <c r="Y722" t="s">
        <v>180</v>
      </c>
      <c r="Z722">
        <f>0</f>
        <v>0</v>
      </c>
      <c r="AA722" t="s">
        <v>179</v>
      </c>
      <c r="AB722" t="s">
        <v>179</v>
      </c>
      <c r="AC722">
        <f>0</f>
        <v>0</v>
      </c>
      <c r="AD722">
        <f>0</f>
        <v>0</v>
      </c>
      <c r="AE722">
        <f>0</f>
        <v>0</v>
      </c>
      <c r="AG722" t="s">
        <v>220</v>
      </c>
      <c r="AH722" t="s">
        <v>411</v>
      </c>
      <c r="AK722" t="s">
        <v>286</v>
      </c>
      <c r="AL722" t="s">
        <v>556</v>
      </c>
      <c r="AM722">
        <f>4.2</f>
        <v>4.2</v>
      </c>
      <c r="AN722">
        <f>0.084</f>
        <v>8.4000000000000005E-2</v>
      </c>
      <c r="AO722">
        <f>1.1</f>
        <v>1.1000000000000001</v>
      </c>
      <c r="AP722">
        <f>1.1</f>
        <v>1.1000000000000001</v>
      </c>
      <c r="AQ722" t="s">
        <v>192</v>
      </c>
    </row>
    <row r="723" spans="1:43" x14ac:dyDescent="0.25">
      <c r="A723" t="s">
        <v>2639</v>
      </c>
      <c r="B723" t="s">
        <v>170</v>
      </c>
      <c r="C723" s="1">
        <v>46078</v>
      </c>
      <c r="D723" t="s">
        <v>425</v>
      </c>
      <c r="E723" t="s">
        <v>426</v>
      </c>
      <c r="F723" t="s">
        <v>655</v>
      </c>
      <c r="G723" t="s">
        <v>742</v>
      </c>
      <c r="H723">
        <v>933</v>
      </c>
      <c r="I723" t="s">
        <v>742</v>
      </c>
      <c r="J723">
        <v>2000</v>
      </c>
      <c r="K723" t="s">
        <v>4494</v>
      </c>
      <c r="L723" t="s">
        <v>369</v>
      </c>
      <c r="M723" t="s">
        <v>3890</v>
      </c>
      <c r="N723" t="s">
        <v>743</v>
      </c>
      <c r="O723" t="s">
        <v>744</v>
      </c>
      <c r="R723">
        <f>1</f>
        <v>1</v>
      </c>
      <c r="S723">
        <f>9.8</f>
        <v>9.8000000000000007</v>
      </c>
      <c r="T723">
        <f>7.5</f>
        <v>7.5</v>
      </c>
      <c r="U723">
        <f>633</f>
        <v>633</v>
      </c>
      <c r="V723">
        <f>0.12</f>
        <v>0.12</v>
      </c>
      <c r="X723">
        <f>0</f>
        <v>0</v>
      </c>
      <c r="Y723" t="s">
        <v>180</v>
      </c>
      <c r="Z723">
        <f>0</f>
        <v>0</v>
      </c>
      <c r="AA723" t="s">
        <v>179</v>
      </c>
      <c r="AB723" t="s">
        <v>179</v>
      </c>
      <c r="AC723">
        <f>0</f>
        <v>0</v>
      </c>
      <c r="AD723">
        <f>0</f>
        <v>0</v>
      </c>
      <c r="AE723">
        <f>0</f>
        <v>0</v>
      </c>
      <c r="AG723" t="s">
        <v>180</v>
      </c>
    </row>
    <row r="724" spans="1:43" x14ac:dyDescent="0.25">
      <c r="A724" t="s">
        <v>2640</v>
      </c>
      <c r="B724" t="s">
        <v>170</v>
      </c>
      <c r="C724" s="1">
        <v>46091</v>
      </c>
      <c r="D724" t="s">
        <v>184</v>
      </c>
      <c r="E724" t="s">
        <v>185</v>
      </c>
      <c r="F724" t="s">
        <v>269</v>
      </c>
      <c r="G724" t="s">
        <v>270</v>
      </c>
      <c r="H724">
        <v>1700</v>
      </c>
      <c r="I724" t="s">
        <v>2641</v>
      </c>
      <c r="J724">
        <v>6419</v>
      </c>
      <c r="K724" t="s">
        <v>4494</v>
      </c>
      <c r="L724" t="s">
        <v>271</v>
      </c>
      <c r="M724" t="s">
        <v>4883</v>
      </c>
      <c r="N724" t="s">
        <v>2642</v>
      </c>
      <c r="O724" t="s">
        <v>2643</v>
      </c>
      <c r="Q724" t="s">
        <v>274</v>
      </c>
      <c r="R724">
        <f>1</f>
        <v>1</v>
      </c>
      <c r="S724">
        <f>9.1</f>
        <v>9.1</v>
      </c>
      <c r="T724">
        <f>8.1</f>
        <v>8.1</v>
      </c>
      <c r="U724">
        <f>243</f>
        <v>243</v>
      </c>
      <c r="X724">
        <f>0</f>
        <v>0</v>
      </c>
      <c r="Y724">
        <f>0.15</f>
        <v>0.15</v>
      </c>
      <c r="Z724">
        <f>0</f>
        <v>0</v>
      </c>
      <c r="AA724">
        <f>2</f>
        <v>2</v>
      </c>
      <c r="AB724">
        <f>0</f>
        <v>0</v>
      </c>
      <c r="AC724">
        <f>0</f>
        <v>0</v>
      </c>
      <c r="AD724">
        <f>0</f>
        <v>0</v>
      </c>
      <c r="AE724">
        <f>0</f>
        <v>0</v>
      </c>
      <c r="AG724" t="s">
        <v>180</v>
      </c>
      <c r="AH724" t="s">
        <v>284</v>
      </c>
      <c r="AK724" t="s">
        <v>285</v>
      </c>
      <c r="AL724" t="s">
        <v>286</v>
      </c>
      <c r="AM724">
        <f>3.7</f>
        <v>3.7</v>
      </c>
      <c r="AN724">
        <f>0.074</f>
        <v>7.3999999999999996E-2</v>
      </c>
      <c r="AO724">
        <f>3.5</f>
        <v>3.5</v>
      </c>
      <c r="AP724">
        <f>2.7</f>
        <v>2.7</v>
      </c>
      <c r="AQ724" t="s">
        <v>284</v>
      </c>
    </row>
    <row r="725" spans="1:43" x14ac:dyDescent="0.25">
      <c r="A725" t="s">
        <v>2644</v>
      </c>
      <c r="B725" t="s">
        <v>170</v>
      </c>
      <c r="C725" s="1">
        <v>46097</v>
      </c>
      <c r="D725" t="s">
        <v>184</v>
      </c>
      <c r="E725" t="s">
        <v>185</v>
      </c>
      <c r="F725" t="s">
        <v>288</v>
      </c>
      <c r="G725" t="s">
        <v>749</v>
      </c>
      <c r="H725">
        <v>935</v>
      </c>
      <c r="I725" t="s">
        <v>749</v>
      </c>
      <c r="J725">
        <v>7079</v>
      </c>
      <c r="K725" t="s">
        <v>4492</v>
      </c>
      <c r="L725" t="s">
        <v>3574</v>
      </c>
      <c r="M725" t="s">
        <v>2645</v>
      </c>
      <c r="N725" t="s">
        <v>4884</v>
      </c>
      <c r="O725" t="s">
        <v>2646</v>
      </c>
      <c r="Q725" t="s">
        <v>3536</v>
      </c>
      <c r="R725">
        <f>1</f>
        <v>1</v>
      </c>
      <c r="S725">
        <f>10.7</f>
        <v>10.7</v>
      </c>
      <c r="T725">
        <f>7.5</f>
        <v>7.5</v>
      </c>
      <c r="U725">
        <f>372</f>
        <v>372</v>
      </c>
      <c r="X725">
        <f>0</f>
        <v>0</v>
      </c>
      <c r="Y725" t="s">
        <v>180</v>
      </c>
      <c r="Z725">
        <f>0</f>
        <v>0</v>
      </c>
      <c r="AA725">
        <f>0</f>
        <v>0</v>
      </c>
      <c r="AB725">
        <f>0</f>
        <v>0</v>
      </c>
      <c r="AD725">
        <f>0</f>
        <v>0</v>
      </c>
      <c r="AE725">
        <f>0</f>
        <v>0</v>
      </c>
      <c r="AG725" t="s">
        <v>180</v>
      </c>
      <c r="AH725" t="s">
        <v>284</v>
      </c>
      <c r="AK725" t="s">
        <v>285</v>
      </c>
      <c r="AL725" t="s">
        <v>286</v>
      </c>
      <c r="AM725">
        <f>3</f>
        <v>3</v>
      </c>
      <c r="AN725">
        <f>0.06</f>
        <v>0.06</v>
      </c>
      <c r="AO725">
        <f>7.8</f>
        <v>7.8</v>
      </c>
      <c r="AP725">
        <f>2.2</f>
        <v>2.2000000000000002</v>
      </c>
      <c r="AQ725" t="s">
        <v>284</v>
      </c>
    </row>
    <row r="726" spans="1:43" x14ac:dyDescent="0.25">
      <c r="A726" t="s">
        <v>2647</v>
      </c>
      <c r="B726" t="s">
        <v>170</v>
      </c>
      <c r="C726" s="1">
        <v>46094</v>
      </c>
      <c r="D726" t="s">
        <v>184</v>
      </c>
      <c r="E726" t="s">
        <v>185</v>
      </c>
      <c r="F726" t="s">
        <v>1084</v>
      </c>
      <c r="G726" t="s">
        <v>2648</v>
      </c>
      <c r="H726">
        <v>566</v>
      </c>
      <c r="I726" t="s">
        <v>2648</v>
      </c>
      <c r="J726">
        <v>2807</v>
      </c>
      <c r="K726" t="s">
        <v>4494</v>
      </c>
      <c r="L726" t="s">
        <v>266</v>
      </c>
      <c r="M726" t="s">
        <v>4885</v>
      </c>
      <c r="N726" t="s">
        <v>2649</v>
      </c>
      <c r="O726" t="s">
        <v>2650</v>
      </c>
      <c r="R726">
        <f>1</f>
        <v>1</v>
      </c>
      <c r="S726">
        <f>19.8</f>
        <v>19.8</v>
      </c>
      <c r="T726">
        <f>7.5</f>
        <v>7.5</v>
      </c>
      <c r="U726">
        <f>340</f>
        <v>340</v>
      </c>
      <c r="V726" t="s">
        <v>258</v>
      </c>
      <c r="X726">
        <f>0</f>
        <v>0</v>
      </c>
      <c r="Y726" t="s">
        <v>180</v>
      </c>
      <c r="Z726">
        <f>0</f>
        <v>0</v>
      </c>
      <c r="AA726" t="s">
        <v>179</v>
      </c>
      <c r="AB726" t="s">
        <v>179</v>
      </c>
      <c r="AC726">
        <f>0</f>
        <v>0</v>
      </c>
      <c r="AD726">
        <f>0</f>
        <v>0</v>
      </c>
      <c r="AE726">
        <f>0</f>
        <v>0</v>
      </c>
      <c r="AG726" t="s">
        <v>180</v>
      </c>
    </row>
    <row r="727" spans="1:43" x14ac:dyDescent="0.25">
      <c r="A727" t="s">
        <v>2651</v>
      </c>
      <c r="B727" t="s">
        <v>170</v>
      </c>
      <c r="C727" s="1">
        <v>46101</v>
      </c>
      <c r="D727" t="s">
        <v>251</v>
      </c>
      <c r="E727" t="s">
        <v>252</v>
      </c>
      <c r="F727" t="s">
        <v>2652</v>
      </c>
      <c r="G727" t="s">
        <v>2653</v>
      </c>
      <c r="H727">
        <v>124</v>
      </c>
      <c r="I727" t="s">
        <v>2653</v>
      </c>
      <c r="J727">
        <v>1285</v>
      </c>
      <c r="K727" t="s">
        <v>4492</v>
      </c>
      <c r="L727" t="s">
        <v>3567</v>
      </c>
      <c r="M727" t="s">
        <v>4886</v>
      </c>
      <c r="N727" t="s">
        <v>4128</v>
      </c>
      <c r="O727" t="s">
        <v>2654</v>
      </c>
      <c r="Q727" t="s">
        <v>257</v>
      </c>
      <c r="R727">
        <f>1</f>
        <v>1</v>
      </c>
      <c r="S727">
        <f>11.7</f>
        <v>11.7</v>
      </c>
      <c r="T727">
        <f>7.9</f>
        <v>7.9</v>
      </c>
      <c r="U727">
        <f>226</f>
        <v>226</v>
      </c>
      <c r="X727">
        <f>0</f>
        <v>0</v>
      </c>
      <c r="Y727">
        <f>0.18</f>
        <v>0.18</v>
      </c>
      <c r="Z727">
        <f>0</f>
        <v>0</v>
      </c>
      <c r="AA727">
        <f>25</f>
        <v>25</v>
      </c>
      <c r="AB727">
        <f>40</f>
        <v>40</v>
      </c>
      <c r="AD727">
        <f>0</f>
        <v>0</v>
      </c>
      <c r="AE727">
        <f>0</f>
        <v>0</v>
      </c>
      <c r="AG727" t="s">
        <v>180</v>
      </c>
    </row>
    <row r="728" spans="1:43" x14ac:dyDescent="0.25">
      <c r="A728" t="s">
        <v>2655</v>
      </c>
      <c r="B728" t="s">
        <v>170</v>
      </c>
      <c r="C728" s="1">
        <v>46099</v>
      </c>
      <c r="D728" t="s">
        <v>251</v>
      </c>
      <c r="E728" t="s">
        <v>252</v>
      </c>
      <c r="F728" t="s">
        <v>758</v>
      </c>
      <c r="G728" t="s">
        <v>2656</v>
      </c>
      <c r="H728">
        <v>988</v>
      </c>
      <c r="I728" t="s">
        <v>2657</v>
      </c>
      <c r="J728">
        <v>3256</v>
      </c>
      <c r="K728" t="s">
        <v>4492</v>
      </c>
      <c r="L728" t="s">
        <v>3654</v>
      </c>
      <c r="M728" t="s">
        <v>4887</v>
      </c>
      <c r="N728" t="s">
        <v>4888</v>
      </c>
      <c r="O728" t="s">
        <v>2658</v>
      </c>
      <c r="Q728" t="s">
        <v>257</v>
      </c>
      <c r="R728">
        <f>1</f>
        <v>1</v>
      </c>
      <c r="S728">
        <f>7.9</f>
        <v>7.9</v>
      </c>
      <c r="T728">
        <f>7.9</f>
        <v>7.9</v>
      </c>
      <c r="U728">
        <f>308</f>
        <v>308</v>
      </c>
      <c r="X728">
        <f>0</f>
        <v>0</v>
      </c>
      <c r="Y728" t="s">
        <v>180</v>
      </c>
      <c r="Z728">
        <f>0</f>
        <v>0</v>
      </c>
      <c r="AA728">
        <f>0</f>
        <v>0</v>
      </c>
      <c r="AB728">
        <f>0</f>
        <v>0</v>
      </c>
      <c r="AD728">
        <f>0</f>
        <v>0</v>
      </c>
      <c r="AE728">
        <f>0</f>
        <v>0</v>
      </c>
      <c r="AG728" t="s">
        <v>180</v>
      </c>
    </row>
    <row r="729" spans="1:43" x14ac:dyDescent="0.25">
      <c r="A729" t="s">
        <v>2659</v>
      </c>
      <c r="B729" t="s">
        <v>170</v>
      </c>
      <c r="C729" s="1">
        <v>46080</v>
      </c>
      <c r="D729" t="s">
        <v>302</v>
      </c>
      <c r="E729" t="s">
        <v>303</v>
      </c>
      <c r="F729" t="s">
        <v>4296</v>
      </c>
      <c r="G729" t="s">
        <v>2660</v>
      </c>
      <c r="H729">
        <v>924</v>
      </c>
      <c r="I729" t="s">
        <v>2660</v>
      </c>
      <c r="J729">
        <v>3678</v>
      </c>
      <c r="K729" t="s">
        <v>4494</v>
      </c>
      <c r="L729" t="s">
        <v>271</v>
      </c>
      <c r="M729" t="s">
        <v>4129</v>
      </c>
      <c r="N729" t="s">
        <v>2661</v>
      </c>
      <c r="O729" t="s">
        <v>2662</v>
      </c>
      <c r="Q729" t="s">
        <v>3443</v>
      </c>
      <c r="R729">
        <f>1</f>
        <v>1</v>
      </c>
      <c r="S729">
        <f>9.2</f>
        <v>9.1999999999999993</v>
      </c>
      <c r="T729">
        <f>7.6</f>
        <v>7.6</v>
      </c>
      <c r="U729">
        <f>273</f>
        <v>273</v>
      </c>
      <c r="X729">
        <f>0</f>
        <v>0</v>
      </c>
      <c r="Y729" t="s">
        <v>180</v>
      </c>
      <c r="Z729">
        <f>0</f>
        <v>0</v>
      </c>
      <c r="AA729" t="s">
        <v>179</v>
      </c>
      <c r="AB729" t="s">
        <v>179</v>
      </c>
      <c r="AC729">
        <f>0</f>
        <v>0</v>
      </c>
      <c r="AD729">
        <f>0</f>
        <v>0</v>
      </c>
      <c r="AE729">
        <f>0</f>
        <v>0</v>
      </c>
      <c r="AG729" t="s">
        <v>180</v>
      </c>
    </row>
    <row r="730" spans="1:43" x14ac:dyDescent="0.25">
      <c r="A730" t="s">
        <v>2663</v>
      </c>
      <c r="B730" t="s">
        <v>170</v>
      </c>
      <c r="C730" s="1">
        <v>46091</v>
      </c>
      <c r="D730" t="s">
        <v>302</v>
      </c>
      <c r="E730" t="s">
        <v>303</v>
      </c>
      <c r="F730" t="s">
        <v>2664</v>
      </c>
      <c r="G730" t="s">
        <v>2665</v>
      </c>
      <c r="H730">
        <v>1030</v>
      </c>
      <c r="I730" t="s">
        <v>2665</v>
      </c>
      <c r="J730">
        <v>2200</v>
      </c>
      <c r="K730" t="s">
        <v>4494</v>
      </c>
      <c r="L730" t="s">
        <v>3324</v>
      </c>
      <c r="M730" t="s">
        <v>4130</v>
      </c>
      <c r="N730" t="s">
        <v>4131</v>
      </c>
      <c r="O730" t="s">
        <v>2666</v>
      </c>
      <c r="R730">
        <f>1</f>
        <v>1</v>
      </c>
      <c r="S730">
        <f>8.8</f>
        <v>8.8000000000000007</v>
      </c>
      <c r="T730">
        <f>7.6</f>
        <v>7.6</v>
      </c>
      <c r="U730">
        <f>67</f>
        <v>67</v>
      </c>
      <c r="X730">
        <f>0</f>
        <v>0</v>
      </c>
      <c r="Y730" t="s">
        <v>180</v>
      </c>
      <c r="Z730">
        <f>0</f>
        <v>0</v>
      </c>
      <c r="AA730" t="s">
        <v>179</v>
      </c>
      <c r="AB730" t="s">
        <v>179</v>
      </c>
      <c r="AC730">
        <f>0</f>
        <v>0</v>
      </c>
      <c r="AD730">
        <f>0</f>
        <v>0</v>
      </c>
      <c r="AE730">
        <f>0</f>
        <v>0</v>
      </c>
      <c r="AG730" t="s">
        <v>180</v>
      </c>
    </row>
    <row r="731" spans="1:43" x14ac:dyDescent="0.25">
      <c r="A731" t="s">
        <v>2667</v>
      </c>
      <c r="B731" t="s">
        <v>170</v>
      </c>
      <c r="C731" s="1">
        <v>46101</v>
      </c>
      <c r="D731" t="s">
        <v>251</v>
      </c>
      <c r="E731" t="s">
        <v>252</v>
      </c>
      <c r="F731" t="s">
        <v>280</v>
      </c>
      <c r="G731" t="s">
        <v>2668</v>
      </c>
      <c r="H731">
        <v>1059</v>
      </c>
      <c r="I731" t="s">
        <v>2669</v>
      </c>
      <c r="J731">
        <v>1137</v>
      </c>
      <c r="K731" t="s">
        <v>4494</v>
      </c>
      <c r="L731" t="s">
        <v>3566</v>
      </c>
      <c r="M731" t="s">
        <v>4889</v>
      </c>
      <c r="N731" t="s">
        <v>2670</v>
      </c>
      <c r="O731" t="s">
        <v>2671</v>
      </c>
      <c r="Q731" t="s">
        <v>257</v>
      </c>
      <c r="R731">
        <f>1</f>
        <v>1</v>
      </c>
      <c r="S731">
        <f>10.8</f>
        <v>10.8</v>
      </c>
      <c r="T731">
        <f>7.6</f>
        <v>7.6</v>
      </c>
      <c r="U731">
        <f>301</f>
        <v>301</v>
      </c>
      <c r="X731">
        <f>0</f>
        <v>0</v>
      </c>
      <c r="Y731" t="s">
        <v>180</v>
      </c>
      <c r="Z731">
        <f>0</f>
        <v>0</v>
      </c>
      <c r="AA731">
        <f>1</f>
        <v>1</v>
      </c>
      <c r="AB731">
        <f>1</f>
        <v>1</v>
      </c>
      <c r="AC731">
        <f>0</f>
        <v>0</v>
      </c>
      <c r="AD731">
        <f>0</f>
        <v>0</v>
      </c>
      <c r="AE731">
        <f>0</f>
        <v>0</v>
      </c>
      <c r="AG731" t="s">
        <v>180</v>
      </c>
    </row>
    <row r="732" spans="1:43" x14ac:dyDescent="0.25">
      <c r="A732" t="s">
        <v>2672</v>
      </c>
      <c r="B732" t="s">
        <v>170</v>
      </c>
      <c r="C732" s="1">
        <v>46100</v>
      </c>
      <c r="D732" t="s">
        <v>222</v>
      </c>
      <c r="E732" t="s">
        <v>223</v>
      </c>
      <c r="F732" t="s">
        <v>3685</v>
      </c>
      <c r="G732" t="s">
        <v>2673</v>
      </c>
      <c r="H732">
        <v>1125</v>
      </c>
      <c r="I732" t="s">
        <v>2673</v>
      </c>
      <c r="J732">
        <v>2531</v>
      </c>
      <c r="K732" t="s">
        <v>4492</v>
      </c>
      <c r="L732" t="s">
        <v>291</v>
      </c>
      <c r="M732" t="s">
        <v>2674</v>
      </c>
      <c r="N732" t="s">
        <v>2675</v>
      </c>
      <c r="O732" t="s">
        <v>2676</v>
      </c>
      <c r="R732">
        <f>1</f>
        <v>1</v>
      </c>
      <c r="S732">
        <f>10.4</f>
        <v>10.4</v>
      </c>
      <c r="T732">
        <f>8</f>
        <v>8</v>
      </c>
      <c r="U732">
        <f>298</f>
        <v>298</v>
      </c>
      <c r="X732">
        <f>0</f>
        <v>0</v>
      </c>
      <c r="Y732">
        <f>0.26</f>
        <v>0.26</v>
      </c>
      <c r="Z732">
        <f>0</f>
        <v>0</v>
      </c>
      <c r="AA732" t="s">
        <v>179</v>
      </c>
      <c r="AB732" t="s">
        <v>179</v>
      </c>
      <c r="AD732">
        <f>0</f>
        <v>0</v>
      </c>
      <c r="AE732">
        <f>0</f>
        <v>0</v>
      </c>
      <c r="AG732" t="s">
        <v>180</v>
      </c>
    </row>
    <row r="733" spans="1:43" x14ac:dyDescent="0.25">
      <c r="A733" t="s">
        <v>2677</v>
      </c>
      <c r="B733" t="s">
        <v>170</v>
      </c>
      <c r="C733" s="1">
        <v>46100</v>
      </c>
      <c r="D733" t="s">
        <v>222</v>
      </c>
      <c r="E733" t="s">
        <v>223</v>
      </c>
      <c r="F733" t="s">
        <v>3685</v>
      </c>
      <c r="G733" t="s">
        <v>2678</v>
      </c>
      <c r="H733">
        <v>1126</v>
      </c>
      <c r="I733" t="s">
        <v>2678</v>
      </c>
      <c r="J733">
        <v>9637</v>
      </c>
      <c r="K733" t="s">
        <v>4494</v>
      </c>
      <c r="L733" t="s">
        <v>291</v>
      </c>
      <c r="M733" t="s">
        <v>2679</v>
      </c>
      <c r="N733" t="s">
        <v>2680</v>
      </c>
      <c r="O733" t="s">
        <v>2681</v>
      </c>
      <c r="Q733" t="s">
        <v>3537</v>
      </c>
      <c r="R733">
        <f>1</f>
        <v>1</v>
      </c>
      <c r="S733">
        <f>11</f>
        <v>11</v>
      </c>
      <c r="T733">
        <f>7.6</f>
        <v>7.6</v>
      </c>
      <c r="U733">
        <f>341</f>
        <v>341</v>
      </c>
      <c r="X733">
        <f>1</f>
        <v>1</v>
      </c>
      <c r="Y733" t="s">
        <v>180</v>
      </c>
      <c r="Z733">
        <f>0</f>
        <v>0</v>
      </c>
      <c r="AA733" t="s">
        <v>179</v>
      </c>
      <c r="AB733" t="s">
        <v>179</v>
      </c>
      <c r="AC733">
        <f>0</f>
        <v>0</v>
      </c>
      <c r="AD733">
        <f>0</f>
        <v>0</v>
      </c>
      <c r="AE733">
        <f>0</f>
        <v>0</v>
      </c>
      <c r="AG733" t="s">
        <v>180</v>
      </c>
    </row>
    <row r="734" spans="1:43" x14ac:dyDescent="0.25">
      <c r="A734" t="s">
        <v>2682</v>
      </c>
      <c r="B734" t="s">
        <v>170</v>
      </c>
      <c r="C734" s="1">
        <v>46132</v>
      </c>
      <c r="D734" t="s">
        <v>222</v>
      </c>
      <c r="E734" t="s">
        <v>223</v>
      </c>
      <c r="F734" t="s">
        <v>4533</v>
      </c>
      <c r="G734" t="s">
        <v>4132</v>
      </c>
      <c r="H734">
        <v>1128</v>
      </c>
      <c r="I734" t="s">
        <v>4132</v>
      </c>
      <c r="J734">
        <v>5130</v>
      </c>
      <c r="K734" t="s">
        <v>4492</v>
      </c>
      <c r="L734" t="s">
        <v>369</v>
      </c>
      <c r="M734" t="s">
        <v>4890</v>
      </c>
      <c r="N734" t="s">
        <v>4891</v>
      </c>
      <c r="O734" t="s">
        <v>2683</v>
      </c>
      <c r="R734">
        <f>1</f>
        <v>1</v>
      </c>
      <c r="S734">
        <f>13.3</f>
        <v>13.3</v>
      </c>
      <c r="T734">
        <f>7.6</f>
        <v>7.6</v>
      </c>
      <c r="U734">
        <f>403</f>
        <v>403</v>
      </c>
      <c r="V734">
        <f>0.09</f>
        <v>0.09</v>
      </c>
      <c r="X734">
        <f>1</f>
        <v>1</v>
      </c>
      <c r="Y734" t="s">
        <v>180</v>
      </c>
      <c r="Z734">
        <f>0</f>
        <v>0</v>
      </c>
      <c r="AA734" t="s">
        <v>179</v>
      </c>
      <c r="AB734" t="s">
        <v>179</v>
      </c>
      <c r="AD734">
        <f>0</f>
        <v>0</v>
      </c>
      <c r="AE734">
        <f>0</f>
        <v>0</v>
      </c>
      <c r="AG734" t="s">
        <v>180</v>
      </c>
    </row>
    <row r="735" spans="1:43" x14ac:dyDescent="0.25">
      <c r="A735" t="s">
        <v>2684</v>
      </c>
      <c r="B735" t="s">
        <v>170</v>
      </c>
      <c r="C735" s="1">
        <v>46111</v>
      </c>
      <c r="D735" t="s">
        <v>184</v>
      </c>
      <c r="E735" t="s">
        <v>546</v>
      </c>
      <c r="F735" t="s">
        <v>671</v>
      </c>
      <c r="G735" t="s">
        <v>2685</v>
      </c>
      <c r="H735">
        <v>281</v>
      </c>
      <c r="I735" t="s">
        <v>2685</v>
      </c>
      <c r="J735">
        <v>5800</v>
      </c>
      <c r="K735" t="s">
        <v>4492</v>
      </c>
      <c r="L735" t="s">
        <v>2686</v>
      </c>
      <c r="M735" t="s">
        <v>4422</v>
      </c>
      <c r="N735" t="s">
        <v>2687</v>
      </c>
      <c r="O735" t="s">
        <v>2688</v>
      </c>
      <c r="R735">
        <f>1</f>
        <v>1</v>
      </c>
      <c r="S735">
        <f>11.3</f>
        <v>11.3</v>
      </c>
      <c r="T735">
        <f>7.9</f>
        <v>7.9</v>
      </c>
      <c r="U735">
        <f>360</f>
        <v>360</v>
      </c>
      <c r="V735">
        <f>0.21</f>
        <v>0.21</v>
      </c>
      <c r="X735">
        <f>0</f>
        <v>0</v>
      </c>
      <c r="Y735">
        <f>0.1</f>
        <v>0.1</v>
      </c>
      <c r="Z735">
        <f>0</f>
        <v>0</v>
      </c>
      <c r="AA735" t="s">
        <v>179</v>
      </c>
      <c r="AB735" t="s">
        <v>179</v>
      </c>
      <c r="AD735">
        <f>0</f>
        <v>0</v>
      </c>
      <c r="AE735">
        <f>0</f>
        <v>0</v>
      </c>
      <c r="AG735" t="s">
        <v>180</v>
      </c>
    </row>
    <row r="736" spans="1:43" x14ac:dyDescent="0.25">
      <c r="A736" t="s">
        <v>2689</v>
      </c>
      <c r="B736" t="s">
        <v>170</v>
      </c>
      <c r="C736" s="1">
        <v>46085</v>
      </c>
      <c r="D736" t="s">
        <v>222</v>
      </c>
      <c r="E736" t="s">
        <v>223</v>
      </c>
      <c r="F736" t="s">
        <v>224</v>
      </c>
      <c r="G736" t="s">
        <v>3825</v>
      </c>
      <c r="H736">
        <v>213</v>
      </c>
      <c r="I736" t="s">
        <v>4892</v>
      </c>
      <c r="J736">
        <v>4408</v>
      </c>
      <c r="K736" t="s">
        <v>4494</v>
      </c>
      <c r="L736" t="s">
        <v>2690</v>
      </c>
      <c r="M736" t="s">
        <v>4893</v>
      </c>
      <c r="N736" t="s">
        <v>4894</v>
      </c>
      <c r="O736" t="s">
        <v>2691</v>
      </c>
      <c r="R736">
        <f>1</f>
        <v>1</v>
      </c>
      <c r="S736">
        <f>10.8</f>
        <v>10.8</v>
      </c>
      <c r="T736">
        <f>7.5</f>
        <v>7.5</v>
      </c>
      <c r="U736">
        <f>279</f>
        <v>279</v>
      </c>
      <c r="V736">
        <f>0.13</f>
        <v>0.13</v>
      </c>
      <c r="X736">
        <f>1</f>
        <v>1</v>
      </c>
      <c r="Y736" t="s">
        <v>180</v>
      </c>
      <c r="Z736">
        <f>0</f>
        <v>0</v>
      </c>
      <c r="AA736" t="s">
        <v>179</v>
      </c>
      <c r="AB736" t="s">
        <v>179</v>
      </c>
      <c r="AC736">
        <f>0</f>
        <v>0</v>
      </c>
      <c r="AD736">
        <f>0</f>
        <v>0</v>
      </c>
      <c r="AE736">
        <f>0</f>
        <v>0</v>
      </c>
      <c r="AG736" t="s">
        <v>180</v>
      </c>
    </row>
    <row r="737" spans="1:157" x14ac:dyDescent="0.25">
      <c r="A737" t="s">
        <v>2692</v>
      </c>
      <c r="B737" t="s">
        <v>170</v>
      </c>
      <c r="C737" s="1">
        <v>46098</v>
      </c>
      <c r="D737" t="s">
        <v>222</v>
      </c>
      <c r="E737" t="s">
        <v>260</v>
      </c>
      <c r="F737" t="s">
        <v>3579</v>
      </c>
      <c r="G737" t="s">
        <v>4133</v>
      </c>
      <c r="H737">
        <v>1108</v>
      </c>
      <c r="I737" t="s">
        <v>4133</v>
      </c>
      <c r="J737">
        <v>1104</v>
      </c>
      <c r="K737" t="s">
        <v>4492</v>
      </c>
      <c r="L737" t="s">
        <v>176</v>
      </c>
      <c r="M737" t="s">
        <v>4895</v>
      </c>
      <c r="N737" t="s">
        <v>4896</v>
      </c>
      <c r="O737" t="s">
        <v>2693</v>
      </c>
      <c r="R737">
        <f>1</f>
        <v>1</v>
      </c>
      <c r="S737">
        <f>12.1</f>
        <v>12.1</v>
      </c>
      <c r="T737">
        <f>7.4</f>
        <v>7.4</v>
      </c>
      <c r="U737">
        <f>571</f>
        <v>571</v>
      </c>
      <c r="X737">
        <f>0</f>
        <v>0</v>
      </c>
      <c r="Y737">
        <f>0.03</f>
        <v>0.03</v>
      </c>
      <c r="Z737">
        <f>0</f>
        <v>0</v>
      </c>
      <c r="AA737" t="s">
        <v>179</v>
      </c>
      <c r="AB737" t="s">
        <v>179</v>
      </c>
      <c r="AD737">
        <f>0</f>
        <v>0</v>
      </c>
      <c r="AE737">
        <f>0</f>
        <v>0</v>
      </c>
      <c r="AG737" t="s">
        <v>220</v>
      </c>
    </row>
    <row r="738" spans="1:157" x14ac:dyDescent="0.25">
      <c r="A738" t="s">
        <v>2694</v>
      </c>
      <c r="B738" t="s">
        <v>170</v>
      </c>
      <c r="C738" s="1">
        <v>46098</v>
      </c>
      <c r="D738" t="s">
        <v>216</v>
      </c>
      <c r="E738" t="s">
        <v>217</v>
      </c>
      <c r="F738" t="s">
        <v>530</v>
      </c>
      <c r="G738" t="s">
        <v>4423</v>
      </c>
      <c r="H738">
        <v>1271</v>
      </c>
      <c r="I738" t="s">
        <v>4424</v>
      </c>
      <c r="J738">
        <v>757</v>
      </c>
      <c r="K738" t="s">
        <v>4492</v>
      </c>
      <c r="L738" t="s">
        <v>266</v>
      </c>
      <c r="M738" t="s">
        <v>4425</v>
      </c>
      <c r="N738" t="s">
        <v>4426</v>
      </c>
      <c r="O738" t="s">
        <v>2695</v>
      </c>
      <c r="Q738" t="s">
        <v>3468</v>
      </c>
      <c r="R738">
        <f>1</f>
        <v>1</v>
      </c>
      <c r="S738">
        <f>8.2</f>
        <v>8.1999999999999993</v>
      </c>
      <c r="T738">
        <f>8</f>
        <v>8</v>
      </c>
      <c r="U738">
        <f>351</f>
        <v>351</v>
      </c>
      <c r="V738">
        <f>0.15</f>
        <v>0.15</v>
      </c>
      <c r="X738">
        <f>1</f>
        <v>1</v>
      </c>
      <c r="Y738">
        <f>0.09</f>
        <v>0.09</v>
      </c>
      <c r="Z738">
        <f>0</f>
        <v>0</v>
      </c>
      <c r="AA738">
        <f>0</f>
        <v>0</v>
      </c>
      <c r="AB738">
        <f>2</f>
        <v>2</v>
      </c>
      <c r="AD738">
        <f>0</f>
        <v>0</v>
      </c>
      <c r="AE738">
        <f>0</f>
        <v>0</v>
      </c>
      <c r="AG738" t="s">
        <v>220</v>
      </c>
    </row>
    <row r="739" spans="1:157" x14ac:dyDescent="0.25">
      <c r="A739" t="s">
        <v>2696</v>
      </c>
      <c r="B739" t="s">
        <v>170</v>
      </c>
      <c r="C739" s="1">
        <v>46132</v>
      </c>
      <c r="D739" t="s">
        <v>302</v>
      </c>
      <c r="E739" t="s">
        <v>303</v>
      </c>
      <c r="F739" t="s">
        <v>310</v>
      </c>
      <c r="G739" t="s">
        <v>311</v>
      </c>
      <c r="H739">
        <v>804</v>
      </c>
      <c r="I739" t="s">
        <v>4134</v>
      </c>
      <c r="J739">
        <v>3329</v>
      </c>
      <c r="K739" t="s">
        <v>4492</v>
      </c>
      <c r="L739" t="s">
        <v>291</v>
      </c>
      <c r="M739" t="s">
        <v>2697</v>
      </c>
      <c r="N739" t="s">
        <v>2698</v>
      </c>
      <c r="O739" t="s">
        <v>2699</v>
      </c>
      <c r="R739">
        <f>1</f>
        <v>1</v>
      </c>
      <c r="S739">
        <f>12</f>
        <v>12</v>
      </c>
      <c r="T739">
        <f>7.1</f>
        <v>7.1</v>
      </c>
      <c r="U739">
        <f>616</f>
        <v>616</v>
      </c>
      <c r="X739">
        <f>0</f>
        <v>0</v>
      </c>
      <c r="Y739" t="s">
        <v>180</v>
      </c>
      <c r="Z739">
        <f>0</f>
        <v>0</v>
      </c>
      <c r="AA739" t="s">
        <v>179</v>
      </c>
      <c r="AB739" t="s">
        <v>179</v>
      </c>
      <c r="AD739">
        <f>0</f>
        <v>0</v>
      </c>
      <c r="AE739">
        <f>0</f>
        <v>0</v>
      </c>
      <c r="AG739" t="s">
        <v>180</v>
      </c>
    </row>
    <row r="740" spans="1:157" x14ac:dyDescent="0.25">
      <c r="A740" t="s">
        <v>2700</v>
      </c>
      <c r="B740" t="s">
        <v>170</v>
      </c>
      <c r="C740" s="1">
        <v>46105</v>
      </c>
      <c r="D740" t="s">
        <v>302</v>
      </c>
      <c r="E740" t="s">
        <v>303</v>
      </c>
      <c r="F740" t="s">
        <v>1349</v>
      </c>
      <c r="G740" t="s">
        <v>2701</v>
      </c>
      <c r="H740">
        <v>1250</v>
      </c>
      <c r="I740" t="s">
        <v>2701</v>
      </c>
      <c r="J740">
        <v>1189</v>
      </c>
      <c r="K740" t="s">
        <v>4494</v>
      </c>
      <c r="L740" t="s">
        <v>271</v>
      </c>
      <c r="M740" t="s">
        <v>2702</v>
      </c>
      <c r="N740" t="s">
        <v>2703</v>
      </c>
      <c r="O740" t="s">
        <v>2704</v>
      </c>
      <c r="R740">
        <f>1</f>
        <v>1</v>
      </c>
      <c r="S740">
        <f>8.4</f>
        <v>8.4</v>
      </c>
      <c r="T740">
        <f>6.6</f>
        <v>6.6</v>
      </c>
      <c r="U740">
        <f>109</f>
        <v>109</v>
      </c>
      <c r="X740">
        <f>0</f>
        <v>0</v>
      </c>
      <c r="Y740" t="s">
        <v>180</v>
      </c>
      <c r="Z740">
        <f>0</f>
        <v>0</v>
      </c>
      <c r="AA740" t="s">
        <v>179</v>
      </c>
      <c r="AB740" t="s">
        <v>179</v>
      </c>
      <c r="AC740">
        <f>0</f>
        <v>0</v>
      </c>
      <c r="AD740">
        <f>0</f>
        <v>0</v>
      </c>
      <c r="AE740">
        <f>0</f>
        <v>0</v>
      </c>
      <c r="AG740" t="s">
        <v>180</v>
      </c>
    </row>
    <row r="741" spans="1:157" x14ac:dyDescent="0.25">
      <c r="A741" t="s">
        <v>2705</v>
      </c>
      <c r="B741" t="s">
        <v>170</v>
      </c>
      <c r="C741" s="1">
        <v>46125</v>
      </c>
      <c r="D741" t="s">
        <v>216</v>
      </c>
      <c r="E741" t="s">
        <v>217</v>
      </c>
      <c r="F741" t="s">
        <v>368</v>
      </c>
      <c r="G741" t="s">
        <v>2706</v>
      </c>
      <c r="H741">
        <v>252</v>
      </c>
      <c r="I741" t="s">
        <v>2706</v>
      </c>
      <c r="J741">
        <v>800</v>
      </c>
      <c r="K741" t="s">
        <v>4494</v>
      </c>
      <c r="L741" t="s">
        <v>369</v>
      </c>
      <c r="M741" t="s">
        <v>2707</v>
      </c>
      <c r="N741" t="s">
        <v>2708</v>
      </c>
      <c r="O741" t="s">
        <v>2709</v>
      </c>
      <c r="R741">
        <f>1</f>
        <v>1</v>
      </c>
      <c r="S741">
        <f>12.4</f>
        <v>12.4</v>
      </c>
      <c r="T741">
        <f>7.9</f>
        <v>7.9</v>
      </c>
      <c r="U741">
        <f>292</f>
        <v>292</v>
      </c>
      <c r="V741">
        <f>0.09</f>
        <v>0.09</v>
      </c>
      <c r="X741">
        <f>1</f>
        <v>1</v>
      </c>
      <c r="Y741">
        <f>0.1</f>
        <v>0.1</v>
      </c>
      <c r="Z741">
        <f>0</f>
        <v>0</v>
      </c>
      <c r="AA741">
        <f>1</f>
        <v>1</v>
      </c>
      <c r="AB741">
        <f>0</f>
        <v>0</v>
      </c>
      <c r="AC741">
        <f>0</f>
        <v>0</v>
      </c>
      <c r="AD741">
        <f>0</f>
        <v>0</v>
      </c>
      <c r="AE741">
        <f>0</f>
        <v>0</v>
      </c>
      <c r="AG741" t="s">
        <v>220</v>
      </c>
    </row>
    <row r="742" spans="1:157" x14ac:dyDescent="0.25">
      <c r="A742" t="s">
        <v>2710</v>
      </c>
      <c r="B742" t="s">
        <v>170</v>
      </c>
      <c r="C742" s="1">
        <v>46125</v>
      </c>
      <c r="D742" t="s">
        <v>216</v>
      </c>
      <c r="E742" t="s">
        <v>217</v>
      </c>
      <c r="F742" t="s">
        <v>408</v>
      </c>
      <c r="G742" t="s">
        <v>4427</v>
      </c>
      <c r="H742">
        <v>244</v>
      </c>
      <c r="I742" t="s">
        <v>4427</v>
      </c>
      <c r="J742">
        <v>850</v>
      </c>
      <c r="K742" t="s">
        <v>4494</v>
      </c>
      <c r="L742" t="s">
        <v>3578</v>
      </c>
      <c r="M742" t="s">
        <v>4135</v>
      </c>
      <c r="N742" t="s">
        <v>2711</v>
      </c>
      <c r="O742" t="s">
        <v>2712</v>
      </c>
      <c r="Q742" t="s">
        <v>3468</v>
      </c>
      <c r="R742">
        <f>1</f>
        <v>1</v>
      </c>
      <c r="S742">
        <f>9.8</f>
        <v>9.8000000000000007</v>
      </c>
      <c r="T742">
        <f>8.3</f>
        <v>8.3000000000000007</v>
      </c>
      <c r="U742">
        <f>327</f>
        <v>327</v>
      </c>
      <c r="V742">
        <f>0.08</f>
        <v>0.08</v>
      </c>
      <c r="X742">
        <f>1</f>
        <v>1</v>
      </c>
      <c r="Y742">
        <f>0.08</f>
        <v>0.08</v>
      </c>
      <c r="Z742">
        <f>0</f>
        <v>0</v>
      </c>
      <c r="AA742">
        <f>0</f>
        <v>0</v>
      </c>
      <c r="AB742">
        <f>0</f>
        <v>0</v>
      </c>
      <c r="AC742">
        <f>0</f>
        <v>0</v>
      </c>
      <c r="AD742">
        <f>0</f>
        <v>0</v>
      </c>
      <c r="AE742">
        <f>0</f>
        <v>0</v>
      </c>
      <c r="AG742" t="s">
        <v>220</v>
      </c>
      <c r="AH742">
        <f>0.38</f>
        <v>0.38</v>
      </c>
      <c r="AK742" t="s">
        <v>285</v>
      </c>
      <c r="AL742" t="s">
        <v>181</v>
      </c>
      <c r="AM742">
        <f>7.1</f>
        <v>7.1</v>
      </c>
      <c r="AN742">
        <f>0.14</f>
        <v>0.14000000000000001</v>
      </c>
      <c r="AO742">
        <f>3</f>
        <v>3</v>
      </c>
      <c r="AP742">
        <f>2.2</f>
        <v>2.2000000000000002</v>
      </c>
      <c r="AQ742" t="s">
        <v>284</v>
      </c>
    </row>
    <row r="743" spans="1:157" x14ac:dyDescent="0.25">
      <c r="A743" t="s">
        <v>2713</v>
      </c>
      <c r="B743" t="s">
        <v>170</v>
      </c>
      <c r="C743" s="1">
        <v>46128</v>
      </c>
      <c r="D743" t="s">
        <v>302</v>
      </c>
      <c r="E743" t="s">
        <v>303</v>
      </c>
      <c r="F743" t="s">
        <v>304</v>
      </c>
      <c r="G743" t="s">
        <v>305</v>
      </c>
      <c r="H743">
        <v>1589</v>
      </c>
      <c r="I743" t="s">
        <v>4897</v>
      </c>
      <c r="J743">
        <v>8400</v>
      </c>
      <c r="K743" t="s">
        <v>4492</v>
      </c>
      <c r="M743" t="s">
        <v>2714</v>
      </c>
      <c r="N743" t="s">
        <v>4898</v>
      </c>
      <c r="O743" t="s">
        <v>2715</v>
      </c>
      <c r="R743">
        <f>1</f>
        <v>1</v>
      </c>
      <c r="S743">
        <f>13.4</f>
        <v>13.4</v>
      </c>
      <c r="T743">
        <f>7.6</f>
        <v>7.6</v>
      </c>
      <c r="U743">
        <f>521</f>
        <v>521</v>
      </c>
      <c r="X743">
        <f>0</f>
        <v>0</v>
      </c>
      <c r="Y743" t="s">
        <v>180</v>
      </c>
      <c r="Z743">
        <f>0</f>
        <v>0</v>
      </c>
      <c r="AA743" t="s">
        <v>179</v>
      </c>
      <c r="AB743" t="s">
        <v>179</v>
      </c>
      <c r="AD743">
        <f>0</f>
        <v>0</v>
      </c>
      <c r="AE743">
        <f>0</f>
        <v>0</v>
      </c>
      <c r="AG743" t="s">
        <v>180</v>
      </c>
      <c r="CF743" t="s">
        <v>285</v>
      </c>
      <c r="CG743" t="s">
        <v>285</v>
      </c>
      <c r="CH743" t="s">
        <v>285</v>
      </c>
      <c r="CI743" t="s">
        <v>285</v>
      </c>
      <c r="CJ743" t="s">
        <v>285</v>
      </c>
      <c r="CK743" t="s">
        <v>285</v>
      </c>
      <c r="CL743" t="s">
        <v>285</v>
      </c>
      <c r="CM743" t="s">
        <v>285</v>
      </c>
      <c r="CN743" t="s">
        <v>286</v>
      </c>
      <c r="CO743" t="s">
        <v>285</v>
      </c>
      <c r="CP743" t="s">
        <v>192</v>
      </c>
      <c r="CQ743" t="s">
        <v>192</v>
      </c>
      <c r="CR743" t="s">
        <v>192</v>
      </c>
      <c r="CS743" t="s">
        <v>192</v>
      </c>
      <c r="CT743" t="s">
        <v>286</v>
      </c>
      <c r="CU743" t="s">
        <v>286</v>
      </c>
      <c r="CV743" t="s">
        <v>285</v>
      </c>
      <c r="CW743" t="s">
        <v>285</v>
      </c>
      <c r="CX743" t="s">
        <v>286</v>
      </c>
      <c r="CY743" t="s">
        <v>192</v>
      </c>
      <c r="CZ743" t="s">
        <v>285</v>
      </c>
      <c r="DA743" t="s">
        <v>285</v>
      </c>
      <c r="DB743" t="s">
        <v>182</v>
      </c>
      <c r="DC743" t="s">
        <v>286</v>
      </c>
      <c r="DD743" t="s">
        <v>286</v>
      </c>
      <c r="DE743" t="s">
        <v>286</v>
      </c>
      <c r="DF743" t="s">
        <v>286</v>
      </c>
      <c r="DG743" t="s">
        <v>286</v>
      </c>
      <c r="DH743" t="s">
        <v>286</v>
      </c>
      <c r="DI743" t="s">
        <v>286</v>
      </c>
      <c r="DJ743" t="s">
        <v>286</v>
      </c>
      <c r="DK743" t="s">
        <v>286</v>
      </c>
      <c r="DL743" t="s">
        <v>286</v>
      </c>
      <c r="DM743" t="s">
        <v>286</v>
      </c>
      <c r="DN743" t="s">
        <v>286</v>
      </c>
      <c r="DO743" t="s">
        <v>286</v>
      </c>
      <c r="DP743" t="s">
        <v>286</v>
      </c>
      <c r="DQ743" t="s">
        <v>286</v>
      </c>
      <c r="DR743" t="s">
        <v>286</v>
      </c>
      <c r="DS743" t="s">
        <v>286</v>
      </c>
      <c r="DT743" t="s">
        <v>286</v>
      </c>
      <c r="DU743" t="s">
        <v>286</v>
      </c>
      <c r="DV743" t="s">
        <v>285</v>
      </c>
      <c r="DW743" t="s">
        <v>286</v>
      </c>
      <c r="DX743" t="s">
        <v>286</v>
      </c>
      <c r="DY743" t="s">
        <v>286</v>
      </c>
      <c r="DZ743" t="s">
        <v>285</v>
      </c>
      <c r="EA743" t="s">
        <v>285</v>
      </c>
      <c r="EB743" t="s">
        <v>286</v>
      </c>
      <c r="EC743" t="s">
        <v>192</v>
      </c>
      <c r="ED743" t="s">
        <v>286</v>
      </c>
      <c r="EE743" t="s">
        <v>286</v>
      </c>
      <c r="EF743" t="s">
        <v>286</v>
      </c>
      <c r="EG743" t="s">
        <v>285</v>
      </c>
      <c r="EH743" t="s">
        <v>286</v>
      </c>
      <c r="EI743" t="s">
        <v>286</v>
      </c>
      <c r="EJ743" t="s">
        <v>286</v>
      </c>
      <c r="EK743" t="s">
        <v>286</v>
      </c>
      <c r="EL743" t="s">
        <v>285</v>
      </c>
      <c r="EM743" t="s">
        <v>286</v>
      </c>
      <c r="EN743" t="s">
        <v>285</v>
      </c>
      <c r="EO743" t="s">
        <v>285</v>
      </c>
      <c r="EP743" t="s">
        <v>285</v>
      </c>
      <c r="EQ743" t="s">
        <v>285</v>
      </c>
      <c r="ER743" t="s">
        <v>285</v>
      </c>
      <c r="ES743" t="s">
        <v>285</v>
      </c>
      <c r="ET743" t="s">
        <v>285</v>
      </c>
      <c r="EU743" t="s">
        <v>285</v>
      </c>
      <c r="EV743" t="s">
        <v>192</v>
      </c>
      <c r="EW743" t="s">
        <v>286</v>
      </c>
      <c r="EX743" t="s">
        <v>285</v>
      </c>
      <c r="EY743" t="s">
        <v>285</v>
      </c>
      <c r="EZ743" t="s">
        <v>192</v>
      </c>
      <c r="FA743" t="s">
        <v>285</v>
      </c>
    </row>
    <row r="744" spans="1:157" x14ac:dyDescent="0.25">
      <c r="A744" t="s">
        <v>2716</v>
      </c>
      <c r="B744" t="s">
        <v>170</v>
      </c>
      <c r="C744" s="1">
        <v>46084</v>
      </c>
      <c r="D744" t="s">
        <v>302</v>
      </c>
      <c r="E744" t="s">
        <v>303</v>
      </c>
      <c r="F744" t="s">
        <v>304</v>
      </c>
      <c r="G744" t="s">
        <v>305</v>
      </c>
      <c r="H744">
        <v>1589</v>
      </c>
      <c r="I744" t="s">
        <v>4897</v>
      </c>
      <c r="J744">
        <v>8400</v>
      </c>
      <c r="K744" t="s">
        <v>4492</v>
      </c>
      <c r="M744" t="s">
        <v>4136</v>
      </c>
      <c r="N744" t="s">
        <v>2717</v>
      </c>
      <c r="O744" t="s">
        <v>2718</v>
      </c>
      <c r="R744">
        <f>1</f>
        <v>1</v>
      </c>
      <c r="S744">
        <f>11</f>
        <v>11</v>
      </c>
      <c r="T744">
        <f>7.6</f>
        <v>7.6</v>
      </c>
      <c r="U744">
        <f>476</f>
        <v>476</v>
      </c>
      <c r="X744">
        <f>0</f>
        <v>0</v>
      </c>
      <c r="Y744" t="s">
        <v>180</v>
      </c>
      <c r="Z744">
        <f>0</f>
        <v>0</v>
      </c>
      <c r="AA744" t="s">
        <v>179</v>
      </c>
      <c r="AB744" t="s">
        <v>179</v>
      </c>
      <c r="AD744">
        <f>0</f>
        <v>0</v>
      </c>
      <c r="AE744">
        <f>0</f>
        <v>0</v>
      </c>
      <c r="AG744" t="s">
        <v>180</v>
      </c>
      <c r="AH744" t="s">
        <v>193</v>
      </c>
      <c r="AK744" t="s">
        <v>181</v>
      </c>
      <c r="AL744" t="s">
        <v>182</v>
      </c>
      <c r="AM744">
        <f>16</f>
        <v>16</v>
      </c>
      <c r="AN744">
        <f>0.32</f>
        <v>0.32</v>
      </c>
      <c r="AO744">
        <f>8</f>
        <v>8</v>
      </c>
      <c r="AP744">
        <f>9.8</f>
        <v>9.8000000000000007</v>
      </c>
      <c r="AQ744" t="s">
        <v>180</v>
      </c>
    </row>
    <row r="745" spans="1:157" x14ac:dyDescent="0.25">
      <c r="A745" t="s">
        <v>2719</v>
      </c>
      <c r="B745" t="s">
        <v>170</v>
      </c>
      <c r="C745" s="1">
        <v>46084</v>
      </c>
      <c r="D745" t="s">
        <v>302</v>
      </c>
      <c r="E745" t="s">
        <v>303</v>
      </c>
      <c r="F745" t="s">
        <v>304</v>
      </c>
      <c r="G745" t="s">
        <v>305</v>
      </c>
      <c r="H745">
        <v>1586</v>
      </c>
      <c r="I745" t="s">
        <v>554</v>
      </c>
      <c r="J745">
        <v>7900</v>
      </c>
      <c r="K745" t="s">
        <v>4492</v>
      </c>
      <c r="M745" t="s">
        <v>3865</v>
      </c>
      <c r="N745" t="s">
        <v>3571</v>
      </c>
      <c r="O745" t="s">
        <v>555</v>
      </c>
      <c r="R745">
        <f>1</f>
        <v>1</v>
      </c>
      <c r="S745">
        <f>11</f>
        <v>11</v>
      </c>
      <c r="T745">
        <f>7.5</f>
        <v>7.5</v>
      </c>
      <c r="U745">
        <f>493</f>
        <v>493</v>
      </c>
      <c r="X745">
        <f>0</f>
        <v>0</v>
      </c>
      <c r="Y745" t="s">
        <v>180</v>
      </c>
      <c r="Z745">
        <f>0</f>
        <v>0</v>
      </c>
      <c r="AA745" t="s">
        <v>179</v>
      </c>
      <c r="AB745" t="s">
        <v>179</v>
      </c>
      <c r="AD745">
        <f>0</f>
        <v>0</v>
      </c>
      <c r="AE745">
        <f>0</f>
        <v>0</v>
      </c>
      <c r="AG745" t="s">
        <v>180</v>
      </c>
      <c r="AH745" t="s">
        <v>193</v>
      </c>
      <c r="AK745" t="s">
        <v>181</v>
      </c>
      <c r="AL745" t="s">
        <v>182</v>
      </c>
      <c r="AM745">
        <f>9.7</f>
        <v>9.6999999999999993</v>
      </c>
      <c r="AN745">
        <f>0.19</f>
        <v>0.19</v>
      </c>
      <c r="AO745">
        <f>5.6</f>
        <v>5.6</v>
      </c>
      <c r="AP745">
        <f>5.3</f>
        <v>5.3</v>
      </c>
      <c r="AQ745" t="s">
        <v>180</v>
      </c>
    </row>
    <row r="746" spans="1:157" x14ac:dyDescent="0.25">
      <c r="A746" t="s">
        <v>2720</v>
      </c>
      <c r="B746" t="s">
        <v>170</v>
      </c>
      <c r="C746" s="1">
        <v>46084</v>
      </c>
      <c r="D746" t="s">
        <v>238</v>
      </c>
      <c r="E746" t="s">
        <v>239</v>
      </c>
      <c r="F746" t="s">
        <v>240</v>
      </c>
      <c r="G746" t="s">
        <v>4137</v>
      </c>
      <c r="H746">
        <v>187</v>
      </c>
      <c r="I746" t="s">
        <v>4138</v>
      </c>
      <c r="J746">
        <v>2014</v>
      </c>
      <c r="K746" t="s">
        <v>4494</v>
      </c>
      <c r="L746" t="s">
        <v>176</v>
      </c>
      <c r="M746" t="s">
        <v>2721</v>
      </c>
      <c r="N746" t="s">
        <v>4139</v>
      </c>
      <c r="O746" t="s">
        <v>2722</v>
      </c>
      <c r="R746">
        <f>1</f>
        <v>1</v>
      </c>
      <c r="S746">
        <f>10.3</f>
        <v>10.3</v>
      </c>
      <c r="T746">
        <f>7.4</f>
        <v>7.4</v>
      </c>
      <c r="U746">
        <f>502</f>
        <v>502</v>
      </c>
      <c r="X746">
        <f>0</f>
        <v>0</v>
      </c>
      <c r="Y746">
        <f>0.28</f>
        <v>0.28000000000000003</v>
      </c>
      <c r="Z746">
        <f>0</f>
        <v>0</v>
      </c>
      <c r="AA746" t="s">
        <v>179</v>
      </c>
      <c r="AB746" t="s">
        <v>179</v>
      </c>
      <c r="AC746">
        <f>0</f>
        <v>0</v>
      </c>
      <c r="AD746">
        <f>0</f>
        <v>0</v>
      </c>
      <c r="AE746">
        <f>0</f>
        <v>0</v>
      </c>
      <c r="AG746" t="s">
        <v>220</v>
      </c>
    </row>
    <row r="747" spans="1:157" x14ac:dyDescent="0.25">
      <c r="A747" t="s">
        <v>2723</v>
      </c>
      <c r="B747" t="s">
        <v>170</v>
      </c>
      <c r="C747" s="1">
        <v>46097</v>
      </c>
      <c r="D747" t="s">
        <v>216</v>
      </c>
      <c r="E747" t="s">
        <v>217</v>
      </c>
      <c r="F747" t="s">
        <v>368</v>
      </c>
      <c r="G747" t="s">
        <v>4428</v>
      </c>
      <c r="H747">
        <v>368</v>
      </c>
      <c r="I747" t="s">
        <v>4428</v>
      </c>
      <c r="J747">
        <v>1929</v>
      </c>
      <c r="K747" t="s">
        <v>4494</v>
      </c>
      <c r="L747" t="s">
        <v>369</v>
      </c>
      <c r="M747" t="s">
        <v>2724</v>
      </c>
      <c r="N747" t="s">
        <v>2725</v>
      </c>
      <c r="O747" t="s">
        <v>2726</v>
      </c>
      <c r="Q747" t="s">
        <v>3538</v>
      </c>
      <c r="R747">
        <f>1</f>
        <v>1</v>
      </c>
      <c r="S747">
        <f>12.5</f>
        <v>12.5</v>
      </c>
      <c r="T747">
        <f>8.1</f>
        <v>8.1</v>
      </c>
      <c r="U747">
        <f>233</f>
        <v>233</v>
      </c>
      <c r="V747" t="s">
        <v>258</v>
      </c>
      <c r="X747">
        <f>1</f>
        <v>1</v>
      </c>
      <c r="Y747">
        <f>0.19</f>
        <v>0.19</v>
      </c>
      <c r="Z747">
        <f>0</f>
        <v>0</v>
      </c>
      <c r="AA747">
        <f>0</f>
        <v>0</v>
      </c>
      <c r="AB747">
        <f>0</f>
        <v>0</v>
      </c>
      <c r="AC747">
        <f>0</f>
        <v>0</v>
      </c>
      <c r="AD747">
        <f>0</f>
        <v>0</v>
      </c>
      <c r="AE747">
        <f>0</f>
        <v>0</v>
      </c>
      <c r="AG747" t="s">
        <v>220</v>
      </c>
    </row>
    <row r="748" spans="1:157" x14ac:dyDescent="0.25">
      <c r="A748" t="s">
        <v>2727</v>
      </c>
      <c r="B748" t="s">
        <v>170</v>
      </c>
      <c r="C748" s="1">
        <v>46128</v>
      </c>
      <c r="D748" t="s">
        <v>302</v>
      </c>
      <c r="E748" t="s">
        <v>303</v>
      </c>
      <c r="F748" t="s">
        <v>304</v>
      </c>
      <c r="G748" t="s">
        <v>305</v>
      </c>
      <c r="H748">
        <v>1586</v>
      </c>
      <c r="I748" t="s">
        <v>554</v>
      </c>
      <c r="J748">
        <v>7900</v>
      </c>
      <c r="K748" t="s">
        <v>4492</v>
      </c>
      <c r="M748" t="s">
        <v>2728</v>
      </c>
      <c r="N748" t="s">
        <v>2729</v>
      </c>
      <c r="O748" t="s">
        <v>2730</v>
      </c>
      <c r="R748">
        <f>1</f>
        <v>1</v>
      </c>
      <c r="S748">
        <f>12.9</f>
        <v>12.9</v>
      </c>
      <c r="T748">
        <f>7.6</f>
        <v>7.6</v>
      </c>
      <c r="U748">
        <f>521</f>
        <v>521</v>
      </c>
      <c r="X748">
        <f>0</f>
        <v>0</v>
      </c>
      <c r="Y748" t="s">
        <v>180</v>
      </c>
      <c r="Z748">
        <f>0</f>
        <v>0</v>
      </c>
      <c r="AA748" t="s">
        <v>179</v>
      </c>
      <c r="AB748" t="s">
        <v>179</v>
      </c>
      <c r="AD748">
        <f>0</f>
        <v>0</v>
      </c>
      <c r="AE748">
        <f>0</f>
        <v>0</v>
      </c>
      <c r="AG748" t="s">
        <v>180</v>
      </c>
      <c r="CF748" t="s">
        <v>285</v>
      </c>
      <c r="CG748" t="s">
        <v>285</v>
      </c>
      <c r="CH748" t="s">
        <v>285</v>
      </c>
      <c r="CI748" t="s">
        <v>285</v>
      </c>
      <c r="CJ748" t="s">
        <v>285</v>
      </c>
      <c r="CK748" t="s">
        <v>285</v>
      </c>
      <c r="CL748" t="s">
        <v>285</v>
      </c>
      <c r="CM748" t="s">
        <v>285</v>
      </c>
      <c r="CN748" t="s">
        <v>286</v>
      </c>
      <c r="CO748" t="s">
        <v>285</v>
      </c>
      <c r="CP748" t="s">
        <v>192</v>
      </c>
      <c r="CQ748" t="s">
        <v>192</v>
      </c>
      <c r="CR748" t="s">
        <v>192</v>
      </c>
      <c r="CS748" t="s">
        <v>192</v>
      </c>
      <c r="CT748" t="s">
        <v>286</v>
      </c>
      <c r="CU748" t="s">
        <v>286</v>
      </c>
      <c r="CV748" t="s">
        <v>285</v>
      </c>
      <c r="CW748" t="s">
        <v>285</v>
      </c>
      <c r="CX748" t="s">
        <v>286</v>
      </c>
      <c r="CY748" t="s">
        <v>192</v>
      </c>
      <c r="CZ748" t="s">
        <v>285</v>
      </c>
      <c r="DA748" t="s">
        <v>285</v>
      </c>
      <c r="DB748" t="s">
        <v>182</v>
      </c>
      <c r="DC748">
        <f>0.019</f>
        <v>1.9E-2</v>
      </c>
      <c r="DD748" t="s">
        <v>286</v>
      </c>
      <c r="DE748" t="s">
        <v>286</v>
      </c>
      <c r="DF748" t="s">
        <v>286</v>
      </c>
      <c r="DG748" t="s">
        <v>286</v>
      </c>
      <c r="DH748" t="s">
        <v>286</v>
      </c>
      <c r="DI748" t="s">
        <v>286</v>
      </c>
      <c r="DJ748" t="s">
        <v>286</v>
      </c>
      <c r="DK748" t="s">
        <v>286</v>
      </c>
      <c r="DL748" t="s">
        <v>286</v>
      </c>
      <c r="DM748">
        <f>0.011</f>
        <v>1.0999999999999999E-2</v>
      </c>
      <c r="DN748" t="s">
        <v>286</v>
      </c>
      <c r="DO748" t="s">
        <v>286</v>
      </c>
      <c r="DP748" t="s">
        <v>286</v>
      </c>
      <c r="DQ748" t="s">
        <v>286</v>
      </c>
      <c r="DR748" t="s">
        <v>286</v>
      </c>
      <c r="DS748" t="s">
        <v>286</v>
      </c>
      <c r="DT748" t="s">
        <v>286</v>
      </c>
      <c r="DU748" t="s">
        <v>286</v>
      </c>
      <c r="DV748" t="s">
        <v>285</v>
      </c>
      <c r="DW748" t="s">
        <v>286</v>
      </c>
      <c r="DX748" t="s">
        <v>286</v>
      </c>
      <c r="DY748" t="s">
        <v>286</v>
      </c>
      <c r="DZ748" t="s">
        <v>285</v>
      </c>
      <c r="EA748" t="s">
        <v>285</v>
      </c>
      <c r="EB748" t="s">
        <v>286</v>
      </c>
      <c r="EC748">
        <f>0.03</f>
        <v>0.03</v>
      </c>
      <c r="ED748" t="s">
        <v>286</v>
      </c>
      <c r="EE748" t="s">
        <v>286</v>
      </c>
      <c r="EF748" t="s">
        <v>286</v>
      </c>
      <c r="EG748" t="s">
        <v>285</v>
      </c>
      <c r="EH748" t="s">
        <v>286</v>
      </c>
      <c r="EI748" t="s">
        <v>286</v>
      </c>
      <c r="EJ748" t="s">
        <v>286</v>
      </c>
      <c r="EK748" t="s">
        <v>286</v>
      </c>
      <c r="EL748" t="s">
        <v>285</v>
      </c>
      <c r="EM748" t="s">
        <v>286</v>
      </c>
      <c r="EN748" t="s">
        <v>285</v>
      </c>
      <c r="EO748" t="s">
        <v>285</v>
      </c>
      <c r="EP748" t="s">
        <v>285</v>
      </c>
      <c r="EQ748" t="s">
        <v>285</v>
      </c>
      <c r="ER748" t="s">
        <v>285</v>
      </c>
      <c r="ES748" t="s">
        <v>285</v>
      </c>
      <c r="ET748" t="s">
        <v>285</v>
      </c>
      <c r="EU748" t="s">
        <v>285</v>
      </c>
      <c r="EV748" t="s">
        <v>192</v>
      </c>
      <c r="EW748" t="s">
        <v>286</v>
      </c>
      <c r="EX748" t="s">
        <v>285</v>
      </c>
      <c r="EY748" t="s">
        <v>285</v>
      </c>
      <c r="EZ748" t="s">
        <v>192</v>
      </c>
      <c r="FA748" t="s">
        <v>285</v>
      </c>
    </row>
    <row r="749" spans="1:157" x14ac:dyDescent="0.25">
      <c r="A749" t="s">
        <v>2731</v>
      </c>
      <c r="B749" t="s">
        <v>170</v>
      </c>
      <c r="C749" s="1">
        <v>46078</v>
      </c>
      <c r="D749" t="s">
        <v>425</v>
      </c>
      <c r="E749" t="s">
        <v>426</v>
      </c>
      <c r="F749" t="s">
        <v>655</v>
      </c>
      <c r="G749" t="s">
        <v>732</v>
      </c>
      <c r="H749">
        <v>42</v>
      </c>
      <c r="I749" t="s">
        <v>2732</v>
      </c>
      <c r="J749">
        <v>5500</v>
      </c>
      <c r="K749" t="s">
        <v>4492</v>
      </c>
      <c r="L749" t="s">
        <v>271</v>
      </c>
      <c r="M749" t="s">
        <v>4899</v>
      </c>
      <c r="N749" t="s">
        <v>4900</v>
      </c>
      <c r="O749" t="s">
        <v>2733</v>
      </c>
      <c r="R749">
        <f>1</f>
        <v>1</v>
      </c>
      <c r="S749">
        <f>8.4</f>
        <v>8.4</v>
      </c>
      <c r="T749">
        <f>7.6</f>
        <v>7.6</v>
      </c>
      <c r="U749">
        <f>481</f>
        <v>481</v>
      </c>
      <c r="X749">
        <f>0</f>
        <v>0</v>
      </c>
      <c r="Y749" t="s">
        <v>180</v>
      </c>
      <c r="Z749">
        <f>0</f>
        <v>0</v>
      </c>
      <c r="AA749" t="s">
        <v>179</v>
      </c>
      <c r="AB749" t="s">
        <v>179</v>
      </c>
      <c r="AD749">
        <f>0</f>
        <v>0</v>
      </c>
      <c r="AE749">
        <f>0</f>
        <v>0</v>
      </c>
      <c r="AG749" t="s">
        <v>180</v>
      </c>
    </row>
    <row r="750" spans="1:157" x14ac:dyDescent="0.25">
      <c r="A750" t="s">
        <v>2734</v>
      </c>
      <c r="B750" t="s">
        <v>170</v>
      </c>
      <c r="C750" s="1">
        <v>46136</v>
      </c>
      <c r="D750" t="s">
        <v>302</v>
      </c>
      <c r="E750" t="s">
        <v>303</v>
      </c>
      <c r="F750" t="s">
        <v>3338</v>
      </c>
      <c r="G750" t="s">
        <v>4348</v>
      </c>
      <c r="H750">
        <v>1033</v>
      </c>
      <c r="I750" t="s">
        <v>2735</v>
      </c>
      <c r="J750">
        <v>1550</v>
      </c>
      <c r="K750" t="s">
        <v>4494</v>
      </c>
      <c r="L750" t="s">
        <v>3331</v>
      </c>
      <c r="M750" t="s">
        <v>2736</v>
      </c>
      <c r="N750" t="s">
        <v>2737</v>
      </c>
      <c r="O750" t="s">
        <v>2738</v>
      </c>
      <c r="R750">
        <f>1</f>
        <v>1</v>
      </c>
      <c r="S750">
        <f>13.2</f>
        <v>13.2</v>
      </c>
      <c r="T750">
        <f>7.6</f>
        <v>7.6</v>
      </c>
      <c r="U750">
        <f>308</f>
        <v>308</v>
      </c>
      <c r="X750">
        <f>0</f>
        <v>0</v>
      </c>
      <c r="Y750" t="s">
        <v>180</v>
      </c>
      <c r="Z750">
        <f>0</f>
        <v>0</v>
      </c>
      <c r="AA750" t="s">
        <v>179</v>
      </c>
      <c r="AB750" t="s">
        <v>179</v>
      </c>
      <c r="AC750">
        <f>0</f>
        <v>0</v>
      </c>
      <c r="AD750">
        <f>0</f>
        <v>0</v>
      </c>
      <c r="AE750">
        <f>0</f>
        <v>0</v>
      </c>
      <c r="AG750" t="s">
        <v>180</v>
      </c>
    </row>
    <row r="751" spans="1:157" x14ac:dyDescent="0.25">
      <c r="A751" t="s">
        <v>2739</v>
      </c>
      <c r="B751" t="s">
        <v>170</v>
      </c>
      <c r="C751" s="1">
        <v>46084</v>
      </c>
      <c r="D751" t="s">
        <v>222</v>
      </c>
      <c r="E751" t="s">
        <v>260</v>
      </c>
      <c r="F751" t="s">
        <v>3579</v>
      </c>
      <c r="G751" t="s">
        <v>2740</v>
      </c>
      <c r="H751">
        <v>835</v>
      </c>
      <c r="I751" t="s">
        <v>2740</v>
      </c>
      <c r="J751">
        <v>1857</v>
      </c>
      <c r="K751" t="s">
        <v>4492</v>
      </c>
      <c r="L751" t="s">
        <v>291</v>
      </c>
      <c r="M751" t="s">
        <v>4901</v>
      </c>
      <c r="N751" t="s">
        <v>2741</v>
      </c>
      <c r="O751" t="s">
        <v>2742</v>
      </c>
      <c r="Q751" t="s">
        <v>2743</v>
      </c>
      <c r="R751">
        <f>1</f>
        <v>1</v>
      </c>
      <c r="S751">
        <f>9</f>
        <v>9</v>
      </c>
      <c r="T751">
        <f>7.4</f>
        <v>7.4</v>
      </c>
      <c r="U751">
        <f>516</f>
        <v>516</v>
      </c>
      <c r="X751">
        <f>0</f>
        <v>0</v>
      </c>
      <c r="Y751">
        <f>0.21</f>
        <v>0.21</v>
      </c>
      <c r="Z751">
        <f>0</f>
        <v>0</v>
      </c>
      <c r="AA751" t="s">
        <v>179</v>
      </c>
      <c r="AB751" t="s">
        <v>179</v>
      </c>
      <c r="AD751">
        <f>0</f>
        <v>0</v>
      </c>
      <c r="AE751">
        <f>0</f>
        <v>0</v>
      </c>
      <c r="AG751" t="s">
        <v>220</v>
      </c>
      <c r="AH751">
        <f>0.39</f>
        <v>0.39</v>
      </c>
      <c r="AK751" t="s">
        <v>286</v>
      </c>
      <c r="AL751">
        <f>0.012</f>
        <v>1.2E-2</v>
      </c>
      <c r="AM751">
        <f>8.8</f>
        <v>8.8000000000000007</v>
      </c>
      <c r="AN751">
        <f>0.18</f>
        <v>0.18</v>
      </c>
      <c r="AO751">
        <f>11</f>
        <v>11</v>
      </c>
      <c r="AP751">
        <f>4.6</f>
        <v>4.5999999999999996</v>
      </c>
      <c r="AQ751">
        <f>0.072</f>
        <v>7.1999999999999995E-2</v>
      </c>
    </row>
    <row r="752" spans="1:157" x14ac:dyDescent="0.25">
      <c r="A752" t="s">
        <v>2744</v>
      </c>
      <c r="B752" t="s">
        <v>170</v>
      </c>
      <c r="C752" s="1">
        <v>46105</v>
      </c>
      <c r="D752" t="s">
        <v>251</v>
      </c>
      <c r="E752" t="s">
        <v>252</v>
      </c>
      <c r="F752" t="s">
        <v>280</v>
      </c>
      <c r="G752" t="s">
        <v>2745</v>
      </c>
      <c r="H752">
        <v>1815</v>
      </c>
      <c r="I752" t="s">
        <v>2746</v>
      </c>
      <c r="J752">
        <v>1899</v>
      </c>
      <c r="K752" t="s">
        <v>4494</v>
      </c>
      <c r="L752" t="s">
        <v>3655</v>
      </c>
      <c r="M752" t="s">
        <v>4140</v>
      </c>
      <c r="N752" t="s">
        <v>2747</v>
      </c>
      <c r="Q752" t="s">
        <v>257</v>
      </c>
      <c r="R752">
        <f>1</f>
        <v>1</v>
      </c>
      <c r="S752">
        <f>11.5</f>
        <v>11.5</v>
      </c>
      <c r="T752">
        <f>7.9</f>
        <v>7.9</v>
      </c>
      <c r="U752">
        <f>234</f>
        <v>234</v>
      </c>
      <c r="X752">
        <f>0</f>
        <v>0</v>
      </c>
      <c r="Y752" t="s">
        <v>180</v>
      </c>
      <c r="Z752">
        <f>0</f>
        <v>0</v>
      </c>
      <c r="AA752">
        <f>0</f>
        <v>0</v>
      </c>
      <c r="AB752">
        <f>0</f>
        <v>0</v>
      </c>
      <c r="AC752">
        <f>0</f>
        <v>0</v>
      </c>
      <c r="AD752">
        <f>0</f>
        <v>0</v>
      </c>
      <c r="AE752">
        <f>0</f>
        <v>0</v>
      </c>
      <c r="AG752" t="s">
        <v>180</v>
      </c>
    </row>
    <row r="753" spans="1:165" x14ac:dyDescent="0.25">
      <c r="A753" t="s">
        <v>2748</v>
      </c>
      <c r="B753" t="s">
        <v>170</v>
      </c>
      <c r="C753" s="1">
        <v>46128</v>
      </c>
      <c r="D753" t="s">
        <v>171</v>
      </c>
      <c r="E753" t="s">
        <v>172</v>
      </c>
      <c r="F753" t="s">
        <v>441</v>
      </c>
      <c r="G753" t="s">
        <v>442</v>
      </c>
      <c r="H753">
        <v>1680</v>
      </c>
      <c r="I753" t="s">
        <v>4902</v>
      </c>
      <c r="J753">
        <v>5580</v>
      </c>
      <c r="K753" t="s">
        <v>4492</v>
      </c>
      <c r="L753" t="s">
        <v>266</v>
      </c>
      <c r="M753" t="s">
        <v>4141</v>
      </c>
      <c r="N753" t="s">
        <v>4903</v>
      </c>
      <c r="R753">
        <f>1</f>
        <v>1</v>
      </c>
      <c r="S753">
        <f>14.5</f>
        <v>14.5</v>
      </c>
      <c r="T753">
        <f>6.8</f>
        <v>6.8</v>
      </c>
      <c r="U753">
        <f>586</f>
        <v>586</v>
      </c>
      <c r="V753" t="s">
        <v>192</v>
      </c>
      <c r="X753">
        <f>0</f>
        <v>0</v>
      </c>
      <c r="Y753">
        <f>0.1</f>
        <v>0.1</v>
      </c>
      <c r="Z753">
        <f>0</f>
        <v>0</v>
      </c>
      <c r="AA753" t="s">
        <v>179</v>
      </c>
      <c r="AB753" t="s">
        <v>179</v>
      </c>
      <c r="AD753">
        <f>0</f>
        <v>0</v>
      </c>
      <c r="AE753">
        <f>0</f>
        <v>0</v>
      </c>
      <c r="AG753" t="s">
        <v>180</v>
      </c>
      <c r="CF753" t="s">
        <v>285</v>
      </c>
      <c r="CG753" t="s">
        <v>285</v>
      </c>
      <c r="CH753" t="s">
        <v>285</v>
      </c>
      <c r="CI753" t="s">
        <v>285</v>
      </c>
      <c r="CJ753" t="s">
        <v>285</v>
      </c>
      <c r="CK753" t="s">
        <v>285</v>
      </c>
      <c r="CL753" t="s">
        <v>285</v>
      </c>
      <c r="CM753" t="s">
        <v>285</v>
      </c>
      <c r="CN753" t="s">
        <v>286</v>
      </c>
      <c r="CO753" t="s">
        <v>285</v>
      </c>
      <c r="CP753" t="s">
        <v>192</v>
      </c>
      <c r="CQ753" t="s">
        <v>192</v>
      </c>
      <c r="CR753" t="s">
        <v>192</v>
      </c>
      <c r="CS753" t="s">
        <v>192</v>
      </c>
      <c r="CT753" t="s">
        <v>286</v>
      </c>
      <c r="CU753" t="s">
        <v>286</v>
      </c>
      <c r="CV753" t="s">
        <v>285</v>
      </c>
      <c r="CW753" t="s">
        <v>285</v>
      </c>
      <c r="CX753" t="s">
        <v>286</v>
      </c>
      <c r="CY753" t="s">
        <v>192</v>
      </c>
      <c r="CZ753">
        <f>0.072</f>
        <v>7.1999999999999995E-2</v>
      </c>
      <c r="DA753" t="s">
        <v>285</v>
      </c>
      <c r="DB753" t="s">
        <v>182</v>
      </c>
      <c r="DC753" t="s">
        <v>286</v>
      </c>
      <c r="DD753" t="s">
        <v>286</v>
      </c>
      <c r="DE753" t="s">
        <v>286</v>
      </c>
      <c r="DF753" t="s">
        <v>286</v>
      </c>
      <c r="DG753" t="s">
        <v>286</v>
      </c>
      <c r="DH753" t="s">
        <v>286</v>
      </c>
      <c r="DI753" t="s">
        <v>286</v>
      </c>
      <c r="DJ753" t="s">
        <v>286</v>
      </c>
      <c r="DK753" t="s">
        <v>286</v>
      </c>
      <c r="DL753" t="s">
        <v>286</v>
      </c>
      <c r="DM753" t="s">
        <v>286</v>
      </c>
      <c r="DN753" t="s">
        <v>286</v>
      </c>
      <c r="DO753" t="s">
        <v>286</v>
      </c>
      <c r="DP753" t="s">
        <v>286</v>
      </c>
      <c r="DQ753" t="s">
        <v>286</v>
      </c>
      <c r="DR753" t="s">
        <v>286</v>
      </c>
      <c r="DS753" t="s">
        <v>286</v>
      </c>
      <c r="DT753" t="s">
        <v>286</v>
      </c>
      <c r="DU753" t="s">
        <v>286</v>
      </c>
      <c r="DV753" t="s">
        <v>285</v>
      </c>
      <c r="DW753" t="s">
        <v>286</v>
      </c>
      <c r="DX753" t="s">
        <v>286</v>
      </c>
      <c r="DY753" t="s">
        <v>286</v>
      </c>
      <c r="DZ753" t="s">
        <v>285</v>
      </c>
      <c r="EA753" t="s">
        <v>285</v>
      </c>
      <c r="EB753" t="s">
        <v>286</v>
      </c>
      <c r="EC753">
        <f>0.072</f>
        <v>7.1999999999999995E-2</v>
      </c>
      <c r="ED753" t="s">
        <v>286</v>
      </c>
      <c r="EE753" t="s">
        <v>286</v>
      </c>
      <c r="EF753" t="s">
        <v>286</v>
      </c>
      <c r="EG753" t="s">
        <v>285</v>
      </c>
      <c r="EH753" t="s">
        <v>286</v>
      </c>
      <c r="EI753" t="s">
        <v>286</v>
      </c>
      <c r="EJ753" t="s">
        <v>286</v>
      </c>
      <c r="EK753" t="s">
        <v>286</v>
      </c>
      <c r="EL753" t="s">
        <v>285</v>
      </c>
      <c r="EM753" t="s">
        <v>286</v>
      </c>
      <c r="EN753" t="s">
        <v>285</v>
      </c>
      <c r="EO753" t="s">
        <v>285</v>
      </c>
      <c r="EP753" t="s">
        <v>285</v>
      </c>
      <c r="EQ753" t="s">
        <v>285</v>
      </c>
      <c r="ER753" t="s">
        <v>285</v>
      </c>
      <c r="ES753" t="s">
        <v>285</v>
      </c>
      <c r="ET753" t="s">
        <v>285</v>
      </c>
      <c r="EU753" t="s">
        <v>285</v>
      </c>
      <c r="EV753" t="s">
        <v>192</v>
      </c>
      <c r="EW753" t="s">
        <v>286</v>
      </c>
      <c r="EX753" t="s">
        <v>285</v>
      </c>
      <c r="EY753" t="s">
        <v>285</v>
      </c>
      <c r="EZ753" t="s">
        <v>192</v>
      </c>
      <c r="FA753" t="s">
        <v>285</v>
      </c>
      <c r="FF753" t="s">
        <v>180</v>
      </c>
      <c r="FG753" t="s">
        <v>180</v>
      </c>
      <c r="FI753" t="s">
        <v>220</v>
      </c>
    </row>
    <row r="754" spans="1:165" x14ac:dyDescent="0.25">
      <c r="A754" t="s">
        <v>2749</v>
      </c>
      <c r="B754" t="s">
        <v>170</v>
      </c>
      <c r="C754" s="1">
        <v>46134</v>
      </c>
      <c r="D754" t="s">
        <v>171</v>
      </c>
      <c r="E754" t="s">
        <v>172</v>
      </c>
      <c r="F754" t="s">
        <v>2750</v>
      </c>
      <c r="G754" t="s">
        <v>2751</v>
      </c>
      <c r="H754">
        <v>1824</v>
      </c>
      <c r="I754" t="s">
        <v>3780</v>
      </c>
      <c r="J754">
        <v>5600</v>
      </c>
      <c r="K754" t="s">
        <v>4492</v>
      </c>
      <c r="M754" t="s">
        <v>4142</v>
      </c>
      <c r="N754" t="s">
        <v>2752</v>
      </c>
      <c r="Q754" t="s">
        <v>4143</v>
      </c>
      <c r="R754">
        <f>1</f>
        <v>1</v>
      </c>
      <c r="S754">
        <f>15.5</f>
        <v>15.5</v>
      </c>
      <c r="T754">
        <f>7.1</f>
        <v>7.1</v>
      </c>
      <c r="U754">
        <f>395</f>
        <v>395</v>
      </c>
      <c r="X754">
        <f>0</f>
        <v>0</v>
      </c>
      <c r="Y754">
        <f>0.1</f>
        <v>0.1</v>
      </c>
      <c r="Z754">
        <f>0</f>
        <v>0</v>
      </c>
      <c r="AA754" t="s">
        <v>179</v>
      </c>
      <c r="AB754" t="s">
        <v>179</v>
      </c>
      <c r="AD754">
        <f>0</f>
        <v>0</v>
      </c>
      <c r="AE754">
        <f>0</f>
        <v>0</v>
      </c>
      <c r="AG754" t="s">
        <v>180</v>
      </c>
      <c r="AH754">
        <f>0.6</f>
        <v>0.6</v>
      </c>
      <c r="AK754" t="s">
        <v>181</v>
      </c>
      <c r="AL754" t="s">
        <v>182</v>
      </c>
      <c r="AM754">
        <f>35</f>
        <v>35</v>
      </c>
      <c r="AN754">
        <f>0.7</f>
        <v>0.7</v>
      </c>
      <c r="AO754">
        <f>23</f>
        <v>23</v>
      </c>
      <c r="AP754">
        <f>26</f>
        <v>26</v>
      </c>
      <c r="AQ754" t="s">
        <v>180</v>
      </c>
      <c r="CF754" t="s">
        <v>285</v>
      </c>
      <c r="CG754" t="s">
        <v>285</v>
      </c>
      <c r="CH754" t="s">
        <v>285</v>
      </c>
      <c r="CI754" t="s">
        <v>285</v>
      </c>
      <c r="CJ754" t="s">
        <v>285</v>
      </c>
      <c r="CK754" t="s">
        <v>285</v>
      </c>
      <c r="CL754" t="s">
        <v>285</v>
      </c>
      <c r="CM754" t="s">
        <v>285</v>
      </c>
      <c r="CN754" t="s">
        <v>286</v>
      </c>
      <c r="CO754" t="s">
        <v>285</v>
      </c>
      <c r="CP754" t="s">
        <v>192</v>
      </c>
      <c r="CQ754" t="s">
        <v>192</v>
      </c>
      <c r="CR754" t="s">
        <v>192</v>
      </c>
      <c r="CS754" t="s">
        <v>192</v>
      </c>
      <c r="CT754" t="s">
        <v>286</v>
      </c>
      <c r="CU754" t="s">
        <v>286</v>
      </c>
      <c r="CV754" t="s">
        <v>285</v>
      </c>
      <c r="CW754" t="s">
        <v>285</v>
      </c>
      <c r="CX754" t="s">
        <v>286</v>
      </c>
      <c r="CY754" t="s">
        <v>192</v>
      </c>
      <c r="CZ754">
        <f>0.046</f>
        <v>4.5999999999999999E-2</v>
      </c>
      <c r="DA754" t="s">
        <v>285</v>
      </c>
      <c r="DB754" t="s">
        <v>182</v>
      </c>
      <c r="DC754" t="s">
        <v>286</v>
      </c>
      <c r="DD754" t="s">
        <v>286</v>
      </c>
      <c r="DE754" t="s">
        <v>286</v>
      </c>
      <c r="DF754" t="s">
        <v>286</v>
      </c>
      <c r="DG754" t="s">
        <v>286</v>
      </c>
      <c r="DH754" t="s">
        <v>286</v>
      </c>
      <c r="DI754" t="s">
        <v>286</v>
      </c>
      <c r="DJ754" t="s">
        <v>286</v>
      </c>
      <c r="DK754" t="s">
        <v>286</v>
      </c>
      <c r="DL754" t="s">
        <v>286</v>
      </c>
      <c r="DM754" t="s">
        <v>286</v>
      </c>
      <c r="DN754" t="s">
        <v>286</v>
      </c>
      <c r="DO754" t="s">
        <v>286</v>
      </c>
      <c r="DP754" t="s">
        <v>286</v>
      </c>
      <c r="DQ754" t="s">
        <v>286</v>
      </c>
      <c r="DR754" t="s">
        <v>286</v>
      </c>
      <c r="DS754" t="s">
        <v>286</v>
      </c>
      <c r="DT754" t="s">
        <v>286</v>
      </c>
      <c r="DU754" t="s">
        <v>286</v>
      </c>
      <c r="DV754" t="s">
        <v>285</v>
      </c>
      <c r="DW754" t="s">
        <v>286</v>
      </c>
      <c r="DX754" t="s">
        <v>286</v>
      </c>
      <c r="DY754" t="s">
        <v>286</v>
      </c>
      <c r="DZ754" t="s">
        <v>285</v>
      </c>
      <c r="EA754" t="s">
        <v>285</v>
      </c>
      <c r="EB754" t="s">
        <v>286</v>
      </c>
      <c r="EC754">
        <f>0.046</f>
        <v>4.5999999999999999E-2</v>
      </c>
      <c r="ED754" t="s">
        <v>286</v>
      </c>
      <c r="EE754" t="s">
        <v>286</v>
      </c>
      <c r="EF754" t="s">
        <v>286</v>
      </c>
      <c r="EG754" t="s">
        <v>285</v>
      </c>
      <c r="EH754" t="s">
        <v>286</v>
      </c>
      <c r="EI754" t="s">
        <v>286</v>
      </c>
      <c r="EJ754" t="s">
        <v>286</v>
      </c>
      <c r="EK754" t="s">
        <v>286</v>
      </c>
      <c r="EL754" t="s">
        <v>285</v>
      </c>
      <c r="EM754" t="s">
        <v>286</v>
      </c>
      <c r="EN754" t="s">
        <v>285</v>
      </c>
      <c r="EO754" t="s">
        <v>285</v>
      </c>
      <c r="EP754" t="s">
        <v>285</v>
      </c>
      <c r="EQ754" t="s">
        <v>285</v>
      </c>
      <c r="ER754" t="s">
        <v>285</v>
      </c>
      <c r="ES754" t="s">
        <v>285</v>
      </c>
      <c r="ET754" t="s">
        <v>285</v>
      </c>
      <c r="EU754" t="s">
        <v>285</v>
      </c>
      <c r="EV754" t="s">
        <v>192</v>
      </c>
      <c r="EW754" t="s">
        <v>286</v>
      </c>
      <c r="EX754" t="s">
        <v>285</v>
      </c>
      <c r="EY754" t="s">
        <v>285</v>
      </c>
      <c r="EZ754" t="s">
        <v>192</v>
      </c>
      <c r="FA754" t="s">
        <v>285</v>
      </c>
    </row>
    <row r="755" spans="1:165" x14ac:dyDescent="0.25">
      <c r="A755" t="s">
        <v>2753</v>
      </c>
      <c r="B755" t="s">
        <v>170</v>
      </c>
      <c r="C755" s="1">
        <v>46128</v>
      </c>
      <c r="D755" t="s">
        <v>251</v>
      </c>
      <c r="E755" t="s">
        <v>252</v>
      </c>
      <c r="F755" t="s">
        <v>280</v>
      </c>
      <c r="G755" t="s">
        <v>643</v>
      </c>
      <c r="H755">
        <v>339</v>
      </c>
      <c r="I755" t="s">
        <v>643</v>
      </c>
      <c r="J755">
        <v>6803</v>
      </c>
      <c r="K755" t="s">
        <v>4494</v>
      </c>
      <c r="L755" t="s">
        <v>619</v>
      </c>
      <c r="M755" t="s">
        <v>644</v>
      </c>
      <c r="N755" t="s">
        <v>645</v>
      </c>
      <c r="Q755" t="s">
        <v>3472</v>
      </c>
      <c r="R755">
        <f>1</f>
        <v>1</v>
      </c>
      <c r="S755">
        <f>9.7</f>
        <v>9.6999999999999993</v>
      </c>
      <c r="T755">
        <f>8</f>
        <v>8</v>
      </c>
      <c r="U755">
        <f>278</f>
        <v>278</v>
      </c>
      <c r="V755" t="s">
        <v>258</v>
      </c>
      <c r="X755">
        <f>0</f>
        <v>0</v>
      </c>
      <c r="Y755" t="s">
        <v>180</v>
      </c>
      <c r="Z755">
        <f>0</f>
        <v>0</v>
      </c>
      <c r="AA755">
        <f>0</f>
        <v>0</v>
      </c>
      <c r="AB755">
        <f>0</f>
        <v>0</v>
      </c>
      <c r="AC755">
        <f>0</f>
        <v>0</v>
      </c>
      <c r="AD755">
        <f>0</f>
        <v>0</v>
      </c>
      <c r="AE755">
        <f>0</f>
        <v>0</v>
      </c>
      <c r="AG755" t="s">
        <v>180</v>
      </c>
    </row>
    <row r="756" spans="1:165" x14ac:dyDescent="0.25">
      <c r="A756" t="s">
        <v>2754</v>
      </c>
      <c r="B756" t="s">
        <v>170</v>
      </c>
      <c r="C756" s="1">
        <v>46099</v>
      </c>
      <c r="D756" t="s">
        <v>251</v>
      </c>
      <c r="E756" t="s">
        <v>252</v>
      </c>
      <c r="F756" t="s">
        <v>758</v>
      </c>
      <c r="G756" t="s">
        <v>2755</v>
      </c>
      <c r="H756">
        <v>989</v>
      </c>
      <c r="I756" t="s">
        <v>2755</v>
      </c>
      <c r="J756">
        <v>1086</v>
      </c>
      <c r="K756" t="s">
        <v>4492</v>
      </c>
      <c r="L756" t="s">
        <v>3567</v>
      </c>
      <c r="M756" t="s">
        <v>2756</v>
      </c>
      <c r="N756" t="s">
        <v>4429</v>
      </c>
      <c r="Q756" t="s">
        <v>257</v>
      </c>
      <c r="R756">
        <f>1</f>
        <v>1</v>
      </c>
      <c r="S756">
        <f>7</f>
        <v>7</v>
      </c>
      <c r="T756">
        <f>7.8</f>
        <v>7.8</v>
      </c>
      <c r="U756">
        <f>260</f>
        <v>260</v>
      </c>
      <c r="X756">
        <f>0</f>
        <v>0</v>
      </c>
      <c r="Y756" t="s">
        <v>180</v>
      </c>
      <c r="Z756">
        <f>0</f>
        <v>0</v>
      </c>
      <c r="AA756">
        <f>0</f>
        <v>0</v>
      </c>
      <c r="AB756">
        <f>0</f>
        <v>0</v>
      </c>
      <c r="AD756">
        <f>0</f>
        <v>0</v>
      </c>
      <c r="AE756">
        <f>0</f>
        <v>0</v>
      </c>
      <c r="AG756" t="s">
        <v>180</v>
      </c>
    </row>
    <row r="757" spans="1:165" x14ac:dyDescent="0.25">
      <c r="A757" t="s">
        <v>2757</v>
      </c>
      <c r="B757" t="s">
        <v>766</v>
      </c>
      <c r="C757" s="1">
        <v>46129</v>
      </c>
      <c r="D757" t="s">
        <v>184</v>
      </c>
      <c r="E757" t="s">
        <v>185</v>
      </c>
      <c r="F757" t="s">
        <v>384</v>
      </c>
      <c r="G757" t="s">
        <v>4430</v>
      </c>
      <c r="H757">
        <v>12</v>
      </c>
      <c r="I757" t="s">
        <v>4430</v>
      </c>
      <c r="J757">
        <v>7170</v>
      </c>
      <c r="K757" t="s">
        <v>4494</v>
      </c>
      <c r="L757" t="s">
        <v>3656</v>
      </c>
      <c r="M757" t="s">
        <v>4431</v>
      </c>
      <c r="N757" t="s">
        <v>4432</v>
      </c>
      <c r="O757" t="s">
        <v>2758</v>
      </c>
      <c r="R757">
        <f>1</f>
        <v>1</v>
      </c>
      <c r="S757">
        <f>14</f>
        <v>14</v>
      </c>
      <c r="T757">
        <f>7.4</f>
        <v>7.4</v>
      </c>
      <c r="U757">
        <f>385</f>
        <v>385</v>
      </c>
      <c r="V757" t="s">
        <v>192</v>
      </c>
      <c r="X757">
        <f>0</f>
        <v>0</v>
      </c>
      <c r="Y757" t="s">
        <v>180</v>
      </c>
      <c r="Z757">
        <f>0</f>
        <v>0</v>
      </c>
      <c r="AA757">
        <f>30</f>
        <v>30</v>
      </c>
      <c r="AB757">
        <f>11</f>
        <v>11</v>
      </c>
      <c r="AC757">
        <f>0</f>
        <v>0</v>
      </c>
      <c r="AD757">
        <f>0</f>
        <v>0</v>
      </c>
      <c r="AE757">
        <f>1</f>
        <v>1</v>
      </c>
      <c r="AG757" t="s">
        <v>180</v>
      </c>
    </row>
    <row r="758" spans="1:165" x14ac:dyDescent="0.25">
      <c r="A758" t="s">
        <v>2759</v>
      </c>
      <c r="B758" t="s">
        <v>170</v>
      </c>
      <c r="C758" s="1">
        <v>46083</v>
      </c>
      <c r="D758" t="s">
        <v>425</v>
      </c>
      <c r="E758" t="s">
        <v>426</v>
      </c>
      <c r="F758" t="s">
        <v>695</v>
      </c>
      <c r="G758" t="s">
        <v>2760</v>
      </c>
      <c r="H758">
        <v>51</v>
      </c>
      <c r="I758" t="s">
        <v>2760</v>
      </c>
      <c r="J758">
        <v>1140</v>
      </c>
      <c r="K758" t="s">
        <v>4494</v>
      </c>
      <c r="L758" t="s">
        <v>266</v>
      </c>
      <c r="M758" t="s">
        <v>4144</v>
      </c>
      <c r="N758" t="s">
        <v>4145</v>
      </c>
      <c r="O758" t="s">
        <v>2761</v>
      </c>
      <c r="R758">
        <f>1</f>
        <v>1</v>
      </c>
      <c r="S758">
        <f>11.6</f>
        <v>11.6</v>
      </c>
      <c r="T758">
        <f>7.9</f>
        <v>7.9</v>
      </c>
      <c r="U758">
        <f>87</f>
        <v>87</v>
      </c>
      <c r="V758">
        <f>0.12</f>
        <v>0.12</v>
      </c>
      <c r="X758">
        <f>0</f>
        <v>0</v>
      </c>
      <c r="Y758" t="s">
        <v>180</v>
      </c>
      <c r="Z758">
        <f>0</f>
        <v>0</v>
      </c>
      <c r="AA758" t="s">
        <v>179</v>
      </c>
      <c r="AB758" t="s">
        <v>179</v>
      </c>
      <c r="AC758">
        <f>0</f>
        <v>0</v>
      </c>
      <c r="AD758">
        <f>0</f>
        <v>0</v>
      </c>
      <c r="AE758">
        <f>0</f>
        <v>0</v>
      </c>
      <c r="AG758" t="s">
        <v>180</v>
      </c>
    </row>
    <row r="759" spans="1:165" x14ac:dyDescent="0.25">
      <c r="A759" t="s">
        <v>2762</v>
      </c>
      <c r="B759" t="s">
        <v>170</v>
      </c>
      <c r="C759" s="1">
        <v>46125</v>
      </c>
      <c r="D759" t="s">
        <v>222</v>
      </c>
      <c r="E759" t="s">
        <v>223</v>
      </c>
      <c r="F759" t="s">
        <v>296</v>
      </c>
      <c r="G759" t="s">
        <v>297</v>
      </c>
      <c r="H759">
        <v>155</v>
      </c>
      <c r="I759" t="s">
        <v>2763</v>
      </c>
      <c r="J759">
        <v>934</v>
      </c>
      <c r="K759" t="s">
        <v>4494</v>
      </c>
      <c r="L759" t="s">
        <v>2764</v>
      </c>
      <c r="M759" t="s">
        <v>4904</v>
      </c>
      <c r="N759" t="s">
        <v>4905</v>
      </c>
      <c r="O759" t="s">
        <v>2765</v>
      </c>
      <c r="Q759" t="s">
        <v>3539</v>
      </c>
      <c r="R759">
        <f>1</f>
        <v>1</v>
      </c>
      <c r="S759">
        <f>9.4</f>
        <v>9.4</v>
      </c>
      <c r="T759">
        <f>7.8</f>
        <v>7.8</v>
      </c>
      <c r="U759">
        <f>425</f>
        <v>425</v>
      </c>
      <c r="V759">
        <f>0.24</f>
        <v>0.24</v>
      </c>
      <c r="X759">
        <f>1</f>
        <v>1</v>
      </c>
      <c r="Y759" t="s">
        <v>180</v>
      </c>
      <c r="Z759">
        <f>0</f>
        <v>0</v>
      </c>
      <c r="AA759" t="s">
        <v>179</v>
      </c>
      <c r="AB759" t="s">
        <v>179</v>
      </c>
      <c r="AC759">
        <f>0</f>
        <v>0</v>
      </c>
      <c r="AD759">
        <f>0</f>
        <v>0</v>
      </c>
      <c r="AE759">
        <f>0</f>
        <v>0</v>
      </c>
      <c r="AG759" t="s">
        <v>180</v>
      </c>
    </row>
    <row r="760" spans="1:165" x14ac:dyDescent="0.25">
      <c r="A760" t="s">
        <v>2766</v>
      </c>
      <c r="B760" t="s">
        <v>170</v>
      </c>
      <c r="C760" s="1">
        <v>46084</v>
      </c>
      <c r="D760" t="s">
        <v>238</v>
      </c>
      <c r="E760" t="s">
        <v>239</v>
      </c>
      <c r="F760" t="s">
        <v>240</v>
      </c>
      <c r="G760" t="s">
        <v>3781</v>
      </c>
      <c r="H760">
        <v>161</v>
      </c>
      <c r="I760" t="s">
        <v>3781</v>
      </c>
      <c r="J760">
        <v>1839</v>
      </c>
      <c r="K760" t="s">
        <v>4494</v>
      </c>
      <c r="L760" t="s">
        <v>3562</v>
      </c>
      <c r="M760" t="s">
        <v>4146</v>
      </c>
      <c r="N760" t="s">
        <v>2767</v>
      </c>
      <c r="O760" t="s">
        <v>2768</v>
      </c>
      <c r="R760">
        <f>1</f>
        <v>1</v>
      </c>
      <c r="S760">
        <f>10.4</f>
        <v>10.4</v>
      </c>
      <c r="T760">
        <f>7.4</f>
        <v>7.4</v>
      </c>
      <c r="U760">
        <f>544</f>
        <v>544</v>
      </c>
      <c r="X760">
        <f>0</f>
        <v>0</v>
      </c>
      <c r="Y760">
        <f>0.27</f>
        <v>0.27</v>
      </c>
      <c r="Z760">
        <f>0</f>
        <v>0</v>
      </c>
      <c r="AA760" t="s">
        <v>179</v>
      </c>
      <c r="AB760" t="s">
        <v>179</v>
      </c>
      <c r="AC760">
        <f>0</f>
        <v>0</v>
      </c>
      <c r="AD760">
        <f>0</f>
        <v>0</v>
      </c>
      <c r="AE760">
        <f>0</f>
        <v>0</v>
      </c>
      <c r="AG760" t="s">
        <v>220</v>
      </c>
      <c r="AH760">
        <f>3.9</f>
        <v>3.9</v>
      </c>
      <c r="AK760" t="s">
        <v>286</v>
      </c>
      <c r="AL760">
        <f>0.0092</f>
        <v>9.1999999999999998E-3</v>
      </c>
      <c r="AM760">
        <f>4.5</f>
        <v>4.5</v>
      </c>
      <c r="AN760">
        <f>0.093</f>
        <v>9.2999999999999999E-2</v>
      </c>
      <c r="AO760">
        <f>6.1</f>
        <v>6.1</v>
      </c>
      <c r="AP760">
        <f>1.1</f>
        <v>1.1000000000000001</v>
      </c>
      <c r="AQ760">
        <f>0.054</f>
        <v>5.3999999999999999E-2</v>
      </c>
    </row>
    <row r="761" spans="1:165" x14ac:dyDescent="0.25">
      <c r="A761" t="s">
        <v>2769</v>
      </c>
      <c r="B761" t="s">
        <v>170</v>
      </c>
      <c r="C761" s="1">
        <v>46129</v>
      </c>
      <c r="D761" t="s">
        <v>238</v>
      </c>
      <c r="E761" t="s">
        <v>239</v>
      </c>
      <c r="F761" t="s">
        <v>478</v>
      </c>
      <c r="G761" t="s">
        <v>4147</v>
      </c>
      <c r="H761">
        <v>231</v>
      </c>
      <c r="I761" t="s">
        <v>4148</v>
      </c>
      <c r="J761">
        <v>580</v>
      </c>
      <c r="K761" t="s">
        <v>4492</v>
      </c>
      <c r="L761" t="s">
        <v>266</v>
      </c>
      <c r="M761" t="s">
        <v>4149</v>
      </c>
      <c r="N761" t="s">
        <v>4150</v>
      </c>
      <c r="O761" t="s">
        <v>2770</v>
      </c>
      <c r="Q761" t="s">
        <v>4151</v>
      </c>
      <c r="R761">
        <f>1</f>
        <v>1</v>
      </c>
      <c r="S761">
        <f>13.5</f>
        <v>13.5</v>
      </c>
      <c r="T761">
        <f>7.4</f>
        <v>7.4</v>
      </c>
      <c r="U761">
        <f>638</f>
        <v>638</v>
      </c>
      <c r="V761">
        <f>0.12</f>
        <v>0.12</v>
      </c>
      <c r="X761">
        <f>0</f>
        <v>0</v>
      </c>
      <c r="Y761">
        <f>0.16</f>
        <v>0.16</v>
      </c>
      <c r="Z761">
        <f>0</f>
        <v>0</v>
      </c>
      <c r="AA761" t="s">
        <v>179</v>
      </c>
      <c r="AB761" t="s">
        <v>179</v>
      </c>
      <c r="AD761">
        <f>0</f>
        <v>0</v>
      </c>
      <c r="AE761">
        <f>0</f>
        <v>0</v>
      </c>
      <c r="AG761" t="s">
        <v>220</v>
      </c>
      <c r="AH761">
        <f>0.55</f>
        <v>0.55000000000000004</v>
      </c>
      <c r="AK761" t="s">
        <v>286</v>
      </c>
      <c r="AL761">
        <f>0.015</f>
        <v>1.4999999999999999E-2</v>
      </c>
      <c r="AM761">
        <f>11</f>
        <v>11</v>
      </c>
      <c r="AN761">
        <f>0.225</f>
        <v>0.22500000000000001</v>
      </c>
      <c r="AO761">
        <f>11</f>
        <v>11</v>
      </c>
      <c r="AP761">
        <f>7.1</f>
        <v>7.1</v>
      </c>
      <c r="AQ761">
        <f>0.067</f>
        <v>6.7000000000000004E-2</v>
      </c>
    </row>
    <row r="762" spans="1:165" x14ac:dyDescent="0.25">
      <c r="A762" t="s">
        <v>2771</v>
      </c>
      <c r="B762" t="s">
        <v>170</v>
      </c>
      <c r="C762" s="1">
        <v>46090</v>
      </c>
      <c r="D762" t="s">
        <v>222</v>
      </c>
      <c r="E762" t="s">
        <v>223</v>
      </c>
      <c r="F762" t="s">
        <v>838</v>
      </c>
      <c r="G762" t="s">
        <v>2772</v>
      </c>
      <c r="H762">
        <v>869</v>
      </c>
      <c r="I762" t="s">
        <v>2772</v>
      </c>
      <c r="J762">
        <v>1050</v>
      </c>
      <c r="K762" t="s">
        <v>4494</v>
      </c>
      <c r="L762" t="s">
        <v>3589</v>
      </c>
      <c r="M762" t="s">
        <v>4906</v>
      </c>
      <c r="N762" t="s">
        <v>2773</v>
      </c>
      <c r="O762" t="s">
        <v>2774</v>
      </c>
      <c r="R762">
        <f>1</f>
        <v>1</v>
      </c>
      <c r="S762">
        <f>9.6</f>
        <v>9.6</v>
      </c>
      <c r="T762">
        <f>8</f>
        <v>8</v>
      </c>
      <c r="U762">
        <f>265</f>
        <v>265</v>
      </c>
      <c r="V762">
        <f>0.12</f>
        <v>0.12</v>
      </c>
      <c r="X762">
        <f>0</f>
        <v>0</v>
      </c>
      <c r="Y762">
        <f>0.21</f>
        <v>0.21</v>
      </c>
      <c r="Z762">
        <f>0</f>
        <v>0</v>
      </c>
      <c r="AA762" t="s">
        <v>179</v>
      </c>
      <c r="AB762" t="s">
        <v>179</v>
      </c>
      <c r="AC762">
        <f>0</f>
        <v>0</v>
      </c>
      <c r="AD762">
        <f>0</f>
        <v>0</v>
      </c>
      <c r="AE762">
        <f>0</f>
        <v>0</v>
      </c>
      <c r="AG762" t="s">
        <v>180</v>
      </c>
    </row>
    <row r="763" spans="1:165" x14ac:dyDescent="0.25">
      <c r="A763" t="s">
        <v>2775</v>
      </c>
      <c r="B763" t="s">
        <v>170</v>
      </c>
      <c r="C763" s="1">
        <v>46115</v>
      </c>
      <c r="D763" t="s">
        <v>302</v>
      </c>
      <c r="E763" t="s">
        <v>303</v>
      </c>
      <c r="F763" t="s">
        <v>509</v>
      </c>
      <c r="G763" t="s">
        <v>2776</v>
      </c>
      <c r="H763">
        <v>850</v>
      </c>
      <c r="I763" t="s">
        <v>2777</v>
      </c>
      <c r="J763">
        <v>1099</v>
      </c>
      <c r="K763" t="s">
        <v>4494</v>
      </c>
      <c r="L763" t="s">
        <v>369</v>
      </c>
      <c r="M763" t="s">
        <v>2778</v>
      </c>
      <c r="N763" t="s">
        <v>2779</v>
      </c>
      <c r="O763" t="s">
        <v>2780</v>
      </c>
      <c r="R763">
        <f>1</f>
        <v>1</v>
      </c>
      <c r="S763">
        <f>10.2</f>
        <v>10.199999999999999</v>
      </c>
      <c r="T763">
        <f>7.4</f>
        <v>7.4</v>
      </c>
      <c r="U763">
        <f>106</f>
        <v>106</v>
      </c>
      <c r="V763" t="s">
        <v>192</v>
      </c>
      <c r="X763">
        <f>0</f>
        <v>0</v>
      </c>
      <c r="Y763" t="s">
        <v>180</v>
      </c>
      <c r="Z763">
        <f>0</f>
        <v>0</v>
      </c>
      <c r="AA763" t="s">
        <v>179</v>
      </c>
      <c r="AB763" t="s">
        <v>179</v>
      </c>
      <c r="AC763">
        <f>0</f>
        <v>0</v>
      </c>
      <c r="AD763">
        <f>0</f>
        <v>0</v>
      </c>
      <c r="AE763">
        <f>0</f>
        <v>0</v>
      </c>
      <c r="AG763" t="s">
        <v>180</v>
      </c>
    </row>
    <row r="764" spans="1:165" x14ac:dyDescent="0.25">
      <c r="A764" t="s">
        <v>2781</v>
      </c>
      <c r="B764" t="s">
        <v>170</v>
      </c>
      <c r="C764" s="1">
        <v>46092</v>
      </c>
      <c r="D764" t="s">
        <v>302</v>
      </c>
      <c r="E764" t="s">
        <v>303</v>
      </c>
      <c r="F764" t="s">
        <v>4508</v>
      </c>
      <c r="G764" t="s">
        <v>4433</v>
      </c>
      <c r="H764">
        <v>899</v>
      </c>
      <c r="I764" t="s">
        <v>4433</v>
      </c>
      <c r="J764">
        <v>1057</v>
      </c>
      <c r="K764" t="s">
        <v>4494</v>
      </c>
      <c r="L764" t="s">
        <v>291</v>
      </c>
      <c r="M764" t="s">
        <v>4152</v>
      </c>
      <c r="N764" t="s">
        <v>3444</v>
      </c>
      <c r="O764" t="s">
        <v>2782</v>
      </c>
      <c r="R764">
        <f>1</f>
        <v>1</v>
      </c>
      <c r="S764">
        <f>10.6</f>
        <v>10.6</v>
      </c>
      <c r="T764">
        <f>7.6</f>
        <v>7.6</v>
      </c>
      <c r="U764">
        <f>340</f>
        <v>340</v>
      </c>
      <c r="X764">
        <f>0</f>
        <v>0</v>
      </c>
      <c r="Y764">
        <f>0.51</f>
        <v>0.51</v>
      </c>
      <c r="Z764">
        <f>0</f>
        <v>0</v>
      </c>
      <c r="AA764" t="s">
        <v>179</v>
      </c>
      <c r="AB764" t="s">
        <v>179</v>
      </c>
      <c r="AC764">
        <f>0</f>
        <v>0</v>
      </c>
      <c r="AD764">
        <f>0</f>
        <v>0</v>
      </c>
      <c r="AE764">
        <f>0</f>
        <v>0</v>
      </c>
      <c r="AG764" t="s">
        <v>180</v>
      </c>
    </row>
    <row r="765" spans="1:165" x14ac:dyDescent="0.25">
      <c r="A765" t="s">
        <v>2783</v>
      </c>
      <c r="B765" t="s">
        <v>170</v>
      </c>
      <c r="C765" s="1">
        <v>46090</v>
      </c>
      <c r="D765" t="s">
        <v>184</v>
      </c>
      <c r="E765" t="s">
        <v>546</v>
      </c>
      <c r="F765" t="s">
        <v>547</v>
      </c>
      <c r="G765" t="s">
        <v>2784</v>
      </c>
      <c r="H765">
        <v>1073</v>
      </c>
      <c r="I765" t="s">
        <v>2784</v>
      </c>
      <c r="J765">
        <v>980</v>
      </c>
      <c r="K765" t="s">
        <v>4494</v>
      </c>
      <c r="L765" t="s">
        <v>266</v>
      </c>
      <c r="M765" t="s">
        <v>4153</v>
      </c>
      <c r="N765" t="s">
        <v>2785</v>
      </c>
      <c r="O765" t="s">
        <v>2786</v>
      </c>
      <c r="R765">
        <f>1</f>
        <v>1</v>
      </c>
      <c r="S765">
        <f>9.3</f>
        <v>9.3000000000000007</v>
      </c>
      <c r="T765">
        <f>6.6</f>
        <v>6.6</v>
      </c>
      <c r="U765">
        <f>70</f>
        <v>70</v>
      </c>
      <c r="V765">
        <f>0.18</f>
        <v>0.18</v>
      </c>
      <c r="X765">
        <f>0</f>
        <v>0</v>
      </c>
      <c r="Y765">
        <f>0.1</f>
        <v>0.1</v>
      </c>
      <c r="Z765">
        <f>0</f>
        <v>0</v>
      </c>
      <c r="AA765" t="s">
        <v>179</v>
      </c>
      <c r="AB765">
        <f>10</f>
        <v>10</v>
      </c>
      <c r="AC765">
        <f>0</f>
        <v>0</v>
      </c>
      <c r="AD765">
        <f>0</f>
        <v>0</v>
      </c>
      <c r="AE765">
        <f>0</f>
        <v>0</v>
      </c>
      <c r="AG765" t="s">
        <v>180</v>
      </c>
    </row>
    <row r="766" spans="1:165" x14ac:dyDescent="0.25">
      <c r="A766" t="s">
        <v>2787</v>
      </c>
      <c r="B766" t="s">
        <v>170</v>
      </c>
      <c r="C766" s="1">
        <v>46093</v>
      </c>
      <c r="D766" t="s">
        <v>222</v>
      </c>
      <c r="E766" t="s">
        <v>260</v>
      </c>
      <c r="F766" t="s">
        <v>4508</v>
      </c>
      <c r="G766" t="s">
        <v>2788</v>
      </c>
      <c r="H766">
        <v>1151</v>
      </c>
      <c r="I766" t="s">
        <v>4434</v>
      </c>
      <c r="J766">
        <v>1056</v>
      </c>
      <c r="K766" t="s">
        <v>4494</v>
      </c>
      <c r="L766" t="s">
        <v>369</v>
      </c>
      <c r="M766" t="s">
        <v>4907</v>
      </c>
      <c r="N766" t="s">
        <v>2789</v>
      </c>
      <c r="O766" t="s">
        <v>2790</v>
      </c>
      <c r="R766">
        <f>1</f>
        <v>1</v>
      </c>
      <c r="S766">
        <f>9.8</f>
        <v>9.8000000000000007</v>
      </c>
      <c r="T766">
        <f>8.1</f>
        <v>8.1</v>
      </c>
      <c r="U766">
        <f>368</f>
        <v>368</v>
      </c>
      <c r="V766" t="s">
        <v>220</v>
      </c>
      <c r="X766">
        <f>0</f>
        <v>0</v>
      </c>
      <c r="Y766">
        <f>0.31</f>
        <v>0.31</v>
      </c>
      <c r="Z766">
        <f>0</f>
        <v>0</v>
      </c>
      <c r="AA766" t="s">
        <v>179</v>
      </c>
      <c r="AB766" t="s">
        <v>179</v>
      </c>
      <c r="AC766">
        <f>0</f>
        <v>0</v>
      </c>
      <c r="AD766">
        <f>0</f>
        <v>0</v>
      </c>
      <c r="AE766">
        <f>0</f>
        <v>0</v>
      </c>
      <c r="AG766" t="s">
        <v>180</v>
      </c>
    </row>
    <row r="767" spans="1:165" x14ac:dyDescent="0.25">
      <c r="A767" t="s">
        <v>2791</v>
      </c>
      <c r="B767" t="s">
        <v>170</v>
      </c>
      <c r="C767" s="1">
        <v>46128</v>
      </c>
      <c r="D767" t="s">
        <v>184</v>
      </c>
      <c r="E767" t="s">
        <v>546</v>
      </c>
      <c r="F767" t="s">
        <v>2792</v>
      </c>
      <c r="G767" t="s">
        <v>2793</v>
      </c>
      <c r="H767">
        <v>841</v>
      </c>
      <c r="I767" t="s">
        <v>2793</v>
      </c>
      <c r="J767">
        <v>800</v>
      </c>
      <c r="K767" t="s">
        <v>4492</v>
      </c>
      <c r="L767" t="s">
        <v>1528</v>
      </c>
      <c r="M767" t="s">
        <v>4154</v>
      </c>
      <c r="N767" t="s">
        <v>2794</v>
      </c>
      <c r="O767" t="s">
        <v>2795</v>
      </c>
      <c r="R767">
        <f>1</f>
        <v>1</v>
      </c>
      <c r="S767">
        <f>10.6</f>
        <v>10.6</v>
      </c>
      <c r="T767">
        <f>7.8</f>
        <v>7.8</v>
      </c>
      <c r="U767">
        <f>461</f>
        <v>461</v>
      </c>
      <c r="X767">
        <f>0</f>
        <v>0</v>
      </c>
      <c r="Y767">
        <f>0.1</f>
        <v>0.1</v>
      </c>
      <c r="Z767">
        <f>0</f>
        <v>0</v>
      </c>
      <c r="AA767" t="s">
        <v>179</v>
      </c>
      <c r="AB767" t="s">
        <v>179</v>
      </c>
      <c r="AD767">
        <f>0</f>
        <v>0</v>
      </c>
      <c r="AE767">
        <f>0</f>
        <v>0</v>
      </c>
      <c r="AG767" t="s">
        <v>180</v>
      </c>
      <c r="AH767" t="s">
        <v>193</v>
      </c>
      <c r="AK767" t="s">
        <v>181</v>
      </c>
      <c r="AL767" t="s">
        <v>182</v>
      </c>
      <c r="AM767">
        <f>5.3</f>
        <v>5.3</v>
      </c>
      <c r="AN767">
        <f>0.11</f>
        <v>0.11</v>
      </c>
      <c r="AO767">
        <f>26</f>
        <v>26</v>
      </c>
      <c r="AP767">
        <f>5.1</f>
        <v>5.0999999999999996</v>
      </c>
      <c r="AQ767" t="s">
        <v>180</v>
      </c>
      <c r="CC767" t="s">
        <v>701</v>
      </c>
    </row>
    <row r="768" spans="1:165" x14ac:dyDescent="0.25">
      <c r="A768" t="s">
        <v>2796</v>
      </c>
      <c r="B768" t="s">
        <v>170</v>
      </c>
      <c r="C768" s="1">
        <v>46111</v>
      </c>
      <c r="D768" t="s">
        <v>251</v>
      </c>
      <c r="E768" t="s">
        <v>252</v>
      </c>
      <c r="F768" t="s">
        <v>3445</v>
      </c>
      <c r="G768" t="s">
        <v>4435</v>
      </c>
      <c r="H768">
        <v>1060</v>
      </c>
      <c r="I768" t="s">
        <v>4435</v>
      </c>
      <c r="J768">
        <v>800</v>
      </c>
      <c r="K768" t="s">
        <v>4494</v>
      </c>
      <c r="L768" t="s">
        <v>271</v>
      </c>
      <c r="M768" t="s">
        <v>4908</v>
      </c>
      <c r="N768" t="s">
        <v>3446</v>
      </c>
      <c r="O768" t="s">
        <v>2797</v>
      </c>
      <c r="Q768" t="s">
        <v>274</v>
      </c>
      <c r="R768">
        <f>1</f>
        <v>1</v>
      </c>
      <c r="S768">
        <f>9.8</f>
        <v>9.8000000000000007</v>
      </c>
      <c r="T768">
        <f>8</f>
        <v>8</v>
      </c>
      <c r="U768">
        <f>268</f>
        <v>268</v>
      </c>
      <c r="X768">
        <f>0</f>
        <v>0</v>
      </c>
      <c r="Y768">
        <f>0.65</f>
        <v>0.65</v>
      </c>
      <c r="Z768">
        <f>0</f>
        <v>0</v>
      </c>
      <c r="AA768">
        <f>0</f>
        <v>0</v>
      </c>
      <c r="AB768">
        <f>0</f>
        <v>0</v>
      </c>
      <c r="AC768">
        <f>0</f>
        <v>0</v>
      </c>
      <c r="AD768">
        <f>0</f>
        <v>0</v>
      </c>
      <c r="AE768">
        <f>0</f>
        <v>0</v>
      </c>
      <c r="AG768" t="s">
        <v>180</v>
      </c>
      <c r="CC768" t="s">
        <v>284</v>
      </c>
    </row>
    <row r="769" spans="1:81" x14ac:dyDescent="0.25">
      <c r="A769" t="s">
        <v>2798</v>
      </c>
      <c r="B769" t="s">
        <v>170</v>
      </c>
      <c r="C769" s="1">
        <v>46086</v>
      </c>
      <c r="D769" t="s">
        <v>222</v>
      </c>
      <c r="E769" t="s">
        <v>260</v>
      </c>
      <c r="F769" t="s">
        <v>518</v>
      </c>
      <c r="G769" t="s">
        <v>2799</v>
      </c>
      <c r="H769">
        <v>479</v>
      </c>
      <c r="I769" t="s">
        <v>2799</v>
      </c>
      <c r="J769">
        <v>750</v>
      </c>
      <c r="K769" t="s">
        <v>4492</v>
      </c>
      <c r="L769" t="s">
        <v>266</v>
      </c>
      <c r="M769" t="s">
        <v>4909</v>
      </c>
      <c r="N769" t="s">
        <v>4910</v>
      </c>
      <c r="O769" t="s">
        <v>2800</v>
      </c>
      <c r="R769">
        <f>1</f>
        <v>1</v>
      </c>
      <c r="S769">
        <f>8.5</f>
        <v>8.5</v>
      </c>
      <c r="T769">
        <f>7.3</f>
        <v>7.3</v>
      </c>
      <c r="U769">
        <f>545</f>
        <v>545</v>
      </c>
      <c r="V769">
        <f>0.13</f>
        <v>0.13</v>
      </c>
      <c r="X769">
        <f>1</f>
        <v>1</v>
      </c>
      <c r="Y769" t="s">
        <v>180</v>
      </c>
      <c r="Z769">
        <f>0</f>
        <v>0</v>
      </c>
      <c r="AA769" t="s">
        <v>179</v>
      </c>
      <c r="AB769" t="s">
        <v>179</v>
      </c>
      <c r="AD769">
        <f>0</f>
        <v>0</v>
      </c>
      <c r="AE769">
        <f>0</f>
        <v>0</v>
      </c>
      <c r="AG769" t="s">
        <v>180</v>
      </c>
    </row>
    <row r="770" spans="1:81" x14ac:dyDescent="0.25">
      <c r="A770" t="s">
        <v>2801</v>
      </c>
      <c r="B770" t="s">
        <v>170</v>
      </c>
      <c r="C770" s="1">
        <v>46093</v>
      </c>
      <c r="D770" t="s">
        <v>184</v>
      </c>
      <c r="E770" t="s">
        <v>546</v>
      </c>
      <c r="F770" t="s">
        <v>547</v>
      </c>
      <c r="G770" t="s">
        <v>2802</v>
      </c>
      <c r="H770">
        <v>1501</v>
      </c>
      <c r="I770" t="s">
        <v>2803</v>
      </c>
      <c r="J770">
        <v>600</v>
      </c>
      <c r="K770" t="s">
        <v>4494</v>
      </c>
      <c r="L770" t="s">
        <v>369</v>
      </c>
      <c r="M770" t="s">
        <v>4155</v>
      </c>
      <c r="N770" t="s">
        <v>2804</v>
      </c>
      <c r="O770" t="s">
        <v>2805</v>
      </c>
      <c r="R770">
        <f>1</f>
        <v>1</v>
      </c>
      <c r="S770">
        <f>13.9</f>
        <v>13.9</v>
      </c>
      <c r="T770">
        <f>7.5</f>
        <v>7.5</v>
      </c>
      <c r="U770">
        <f>562</f>
        <v>562</v>
      </c>
      <c r="V770">
        <f>0.1</f>
        <v>0.1</v>
      </c>
      <c r="X770">
        <f>0</f>
        <v>0</v>
      </c>
      <c r="Y770" t="s">
        <v>180</v>
      </c>
      <c r="Z770">
        <f>0</f>
        <v>0</v>
      </c>
      <c r="AA770" t="s">
        <v>179</v>
      </c>
      <c r="AB770" t="s">
        <v>179</v>
      </c>
      <c r="AC770">
        <f>0</f>
        <v>0</v>
      </c>
      <c r="AD770">
        <f>0</f>
        <v>0</v>
      </c>
      <c r="AE770">
        <f>0</f>
        <v>0</v>
      </c>
      <c r="AG770" t="s">
        <v>180</v>
      </c>
    </row>
    <row r="771" spans="1:81" x14ac:dyDescent="0.25">
      <c r="A771" t="s">
        <v>2806</v>
      </c>
      <c r="B771" t="s">
        <v>170</v>
      </c>
      <c r="C771" s="1">
        <v>46125</v>
      </c>
      <c r="D771" t="s">
        <v>184</v>
      </c>
      <c r="E771" t="s">
        <v>546</v>
      </c>
      <c r="F771" t="s">
        <v>547</v>
      </c>
      <c r="G771" t="s">
        <v>4436</v>
      </c>
      <c r="H771">
        <v>1502</v>
      </c>
      <c r="I771" t="s">
        <v>4437</v>
      </c>
      <c r="J771">
        <v>750</v>
      </c>
      <c r="K771" t="s">
        <v>4494</v>
      </c>
      <c r="L771" t="s">
        <v>266</v>
      </c>
      <c r="M771" t="s">
        <v>4911</v>
      </c>
      <c r="N771" t="s">
        <v>3447</v>
      </c>
      <c r="O771" t="s">
        <v>2807</v>
      </c>
      <c r="R771">
        <f>1</f>
        <v>1</v>
      </c>
      <c r="S771">
        <f>15.6</f>
        <v>15.6</v>
      </c>
      <c r="T771">
        <f>7.9</f>
        <v>7.9</v>
      </c>
      <c r="U771">
        <f>410</f>
        <v>410</v>
      </c>
      <c r="V771">
        <f>0.14</f>
        <v>0.14000000000000001</v>
      </c>
      <c r="X771">
        <f>0</f>
        <v>0</v>
      </c>
      <c r="Y771">
        <f>0.2</f>
        <v>0.2</v>
      </c>
      <c r="Z771">
        <f>0</f>
        <v>0</v>
      </c>
      <c r="AA771" t="s">
        <v>179</v>
      </c>
      <c r="AB771" t="s">
        <v>179</v>
      </c>
      <c r="AC771">
        <f>0</f>
        <v>0</v>
      </c>
      <c r="AD771">
        <f>0</f>
        <v>0</v>
      </c>
      <c r="AE771">
        <f>0</f>
        <v>0</v>
      </c>
      <c r="AG771" t="s">
        <v>180</v>
      </c>
    </row>
    <row r="772" spans="1:81" x14ac:dyDescent="0.25">
      <c r="A772" t="s">
        <v>2808</v>
      </c>
      <c r="B772" t="s">
        <v>170</v>
      </c>
      <c r="C772" s="1">
        <v>46105</v>
      </c>
      <c r="D772" t="s">
        <v>184</v>
      </c>
      <c r="E772" t="s">
        <v>185</v>
      </c>
      <c r="F772" t="s">
        <v>4338</v>
      </c>
      <c r="G772" t="s">
        <v>3782</v>
      </c>
      <c r="H772">
        <v>587</v>
      </c>
      <c r="I772" t="s">
        <v>3782</v>
      </c>
      <c r="J772">
        <v>703</v>
      </c>
      <c r="K772" t="s">
        <v>4492</v>
      </c>
      <c r="L772" t="s">
        <v>3553</v>
      </c>
      <c r="M772" t="s">
        <v>4438</v>
      </c>
      <c r="N772" t="s">
        <v>2809</v>
      </c>
      <c r="O772" t="s">
        <v>2810</v>
      </c>
      <c r="R772">
        <f>1</f>
        <v>1</v>
      </c>
      <c r="S772">
        <f>10.5</f>
        <v>10.5</v>
      </c>
      <c r="T772">
        <f>7.6</f>
        <v>7.6</v>
      </c>
      <c r="U772">
        <f>495</f>
        <v>495</v>
      </c>
      <c r="V772">
        <f>0.1</f>
        <v>0.1</v>
      </c>
      <c r="X772">
        <f>0</f>
        <v>0</v>
      </c>
      <c r="Y772" t="s">
        <v>180</v>
      </c>
      <c r="Z772">
        <f>0</f>
        <v>0</v>
      </c>
      <c r="AA772" t="s">
        <v>179</v>
      </c>
      <c r="AB772" t="s">
        <v>179</v>
      </c>
      <c r="AD772">
        <f>0</f>
        <v>0</v>
      </c>
      <c r="AE772">
        <f>0</f>
        <v>0</v>
      </c>
      <c r="AG772" t="s">
        <v>180</v>
      </c>
    </row>
    <row r="773" spans="1:81" x14ac:dyDescent="0.25">
      <c r="A773" t="s">
        <v>2811</v>
      </c>
      <c r="B773" t="s">
        <v>170</v>
      </c>
      <c r="C773" s="1">
        <v>46121</v>
      </c>
      <c r="D773" t="s">
        <v>425</v>
      </c>
      <c r="E773" t="s">
        <v>426</v>
      </c>
      <c r="F773" t="s">
        <v>695</v>
      </c>
      <c r="G773" t="s">
        <v>715</v>
      </c>
      <c r="H773">
        <v>816</v>
      </c>
      <c r="I773" t="s">
        <v>894</v>
      </c>
      <c r="J773">
        <v>1000</v>
      </c>
      <c r="K773" t="s">
        <v>4492</v>
      </c>
      <c r="L773" t="s">
        <v>291</v>
      </c>
      <c r="M773" t="s">
        <v>895</v>
      </c>
      <c r="N773" t="s">
        <v>896</v>
      </c>
      <c r="O773" t="s">
        <v>897</v>
      </c>
      <c r="R773">
        <f>1</f>
        <v>1</v>
      </c>
      <c r="S773">
        <f>12.1</f>
        <v>12.1</v>
      </c>
      <c r="T773">
        <f>7.7</f>
        <v>7.7</v>
      </c>
      <c r="U773">
        <f>353</f>
        <v>353</v>
      </c>
      <c r="X773">
        <f>0</f>
        <v>0</v>
      </c>
      <c r="Y773" t="s">
        <v>180</v>
      </c>
      <c r="Z773">
        <f>0</f>
        <v>0</v>
      </c>
      <c r="AA773" t="s">
        <v>179</v>
      </c>
      <c r="AB773" t="s">
        <v>179</v>
      </c>
      <c r="AD773">
        <f>0</f>
        <v>0</v>
      </c>
      <c r="AE773">
        <f>0</f>
        <v>0</v>
      </c>
      <c r="AG773" t="s">
        <v>180</v>
      </c>
    </row>
    <row r="774" spans="1:81" x14ac:dyDescent="0.25">
      <c r="A774" t="s">
        <v>2812</v>
      </c>
      <c r="B774" t="s">
        <v>170</v>
      </c>
      <c r="C774" s="1">
        <v>46090</v>
      </c>
      <c r="D774" t="s">
        <v>184</v>
      </c>
      <c r="E774" t="s">
        <v>448</v>
      </c>
      <c r="F774" t="s">
        <v>558</v>
      </c>
      <c r="G774" t="s">
        <v>2813</v>
      </c>
      <c r="H774">
        <v>1554</v>
      </c>
      <c r="I774" t="s">
        <v>2813</v>
      </c>
      <c r="J774">
        <v>1161</v>
      </c>
      <c r="K774" t="s">
        <v>4494</v>
      </c>
      <c r="L774" t="s">
        <v>245</v>
      </c>
      <c r="M774" t="s">
        <v>4156</v>
      </c>
      <c r="N774" t="s">
        <v>2814</v>
      </c>
      <c r="O774" t="s">
        <v>2815</v>
      </c>
      <c r="R774">
        <f>1</f>
        <v>1</v>
      </c>
      <c r="S774">
        <f>15.4</f>
        <v>15.4</v>
      </c>
      <c r="T774">
        <f>7.5</f>
        <v>7.5</v>
      </c>
      <c r="U774">
        <f>449</f>
        <v>449</v>
      </c>
      <c r="W774">
        <f>0.03</f>
        <v>0.03</v>
      </c>
      <c r="X774">
        <f>0</f>
        <v>0</v>
      </c>
      <c r="Y774" t="s">
        <v>180</v>
      </c>
      <c r="Z774">
        <f>0</f>
        <v>0</v>
      </c>
      <c r="AA774" t="s">
        <v>179</v>
      </c>
      <c r="AB774" t="s">
        <v>179</v>
      </c>
      <c r="AC774">
        <f>0</f>
        <v>0</v>
      </c>
      <c r="AD774">
        <f>0</f>
        <v>0</v>
      </c>
      <c r="AE774">
        <f>0</f>
        <v>0</v>
      </c>
      <c r="AG774" t="s">
        <v>180</v>
      </c>
      <c r="AH774">
        <f>0.6</f>
        <v>0.6</v>
      </c>
      <c r="AK774" t="s">
        <v>181</v>
      </c>
      <c r="AL774" t="s">
        <v>182</v>
      </c>
      <c r="AM774">
        <f>4.9</f>
        <v>4.9000000000000004</v>
      </c>
      <c r="AN774">
        <f>0.1</f>
        <v>0.1</v>
      </c>
      <c r="AO774">
        <f>3.8</f>
        <v>3.8</v>
      </c>
      <c r="AP774">
        <f>3.9</f>
        <v>3.9</v>
      </c>
      <c r="AQ774" t="s">
        <v>180</v>
      </c>
    </row>
    <row r="775" spans="1:81" x14ac:dyDescent="0.25">
      <c r="A775" t="s">
        <v>2816</v>
      </c>
      <c r="B775" t="s">
        <v>170</v>
      </c>
      <c r="C775" s="1">
        <v>46125</v>
      </c>
      <c r="D775" t="s">
        <v>184</v>
      </c>
      <c r="E775" t="s">
        <v>546</v>
      </c>
      <c r="F775" t="s">
        <v>2817</v>
      </c>
      <c r="G775" t="s">
        <v>2818</v>
      </c>
      <c r="H775">
        <v>1355</v>
      </c>
      <c r="I775" t="s">
        <v>2818</v>
      </c>
      <c r="J775">
        <v>921</v>
      </c>
      <c r="K775" t="s">
        <v>4494</v>
      </c>
      <c r="L775" t="s">
        <v>266</v>
      </c>
      <c r="M775" t="s">
        <v>4912</v>
      </c>
      <c r="N775" t="s">
        <v>2819</v>
      </c>
      <c r="O775" t="s">
        <v>2820</v>
      </c>
      <c r="R775">
        <f>1</f>
        <v>1</v>
      </c>
      <c r="S775">
        <f>13.1</f>
        <v>13.1</v>
      </c>
      <c r="T775">
        <f>7.4</f>
        <v>7.4</v>
      </c>
      <c r="U775">
        <f>75</f>
        <v>75</v>
      </c>
      <c r="V775">
        <f>0.15</f>
        <v>0.15</v>
      </c>
      <c r="X775">
        <f>0</f>
        <v>0</v>
      </c>
      <c r="Y775" t="s">
        <v>180</v>
      </c>
      <c r="Z775">
        <f>0</f>
        <v>0</v>
      </c>
      <c r="AA775" t="s">
        <v>179</v>
      </c>
      <c r="AB775" t="s">
        <v>179</v>
      </c>
      <c r="AC775">
        <f>0</f>
        <v>0</v>
      </c>
      <c r="AD775">
        <f>0</f>
        <v>0</v>
      </c>
      <c r="AE775">
        <f>0</f>
        <v>0</v>
      </c>
      <c r="AG775" t="s">
        <v>180</v>
      </c>
      <c r="AH775" t="s">
        <v>193</v>
      </c>
      <c r="AK775" t="s">
        <v>181</v>
      </c>
      <c r="AL775" t="s">
        <v>182</v>
      </c>
      <c r="AM775">
        <f>2</f>
        <v>2</v>
      </c>
      <c r="AN775">
        <f>0.04</f>
        <v>0.04</v>
      </c>
      <c r="AO775">
        <f>4.9</f>
        <v>4.9000000000000004</v>
      </c>
      <c r="AP775">
        <f>2.1</f>
        <v>2.1</v>
      </c>
      <c r="AQ775" t="s">
        <v>180</v>
      </c>
      <c r="CC775" t="s">
        <v>701</v>
      </c>
    </row>
    <row r="776" spans="1:81" x14ac:dyDescent="0.25">
      <c r="A776" t="s">
        <v>2821</v>
      </c>
      <c r="B776" t="s">
        <v>170</v>
      </c>
      <c r="C776" s="1">
        <v>46098</v>
      </c>
      <c r="D776" t="s">
        <v>184</v>
      </c>
      <c r="E776" t="s">
        <v>185</v>
      </c>
      <c r="F776" t="s">
        <v>419</v>
      </c>
      <c r="G776" t="s">
        <v>4439</v>
      </c>
      <c r="H776">
        <v>28</v>
      </c>
      <c r="I776" t="s">
        <v>4439</v>
      </c>
      <c r="J776">
        <v>1000</v>
      </c>
      <c r="K776" t="s">
        <v>4494</v>
      </c>
      <c r="L776" t="s">
        <v>176</v>
      </c>
      <c r="M776" t="s">
        <v>4913</v>
      </c>
      <c r="N776" t="s">
        <v>2822</v>
      </c>
      <c r="O776" t="s">
        <v>2823</v>
      </c>
      <c r="R776">
        <f>1</f>
        <v>1</v>
      </c>
      <c r="S776">
        <f>9.2</f>
        <v>9.1999999999999993</v>
      </c>
      <c r="T776">
        <f>7.7</f>
        <v>7.7</v>
      </c>
      <c r="U776">
        <f>394</f>
        <v>394</v>
      </c>
      <c r="X776">
        <f>0</f>
        <v>0</v>
      </c>
      <c r="Y776" t="s">
        <v>180</v>
      </c>
      <c r="Z776">
        <f>0</f>
        <v>0</v>
      </c>
      <c r="AA776" t="s">
        <v>179</v>
      </c>
      <c r="AB776" t="s">
        <v>179</v>
      </c>
      <c r="AC776">
        <f>0</f>
        <v>0</v>
      </c>
      <c r="AD776">
        <f>0</f>
        <v>0</v>
      </c>
      <c r="AE776">
        <f>0</f>
        <v>0</v>
      </c>
      <c r="AG776" t="s">
        <v>180</v>
      </c>
    </row>
    <row r="777" spans="1:81" x14ac:dyDescent="0.25">
      <c r="A777" t="s">
        <v>2824</v>
      </c>
      <c r="B777" t="s">
        <v>170</v>
      </c>
      <c r="C777" s="1">
        <v>46090</v>
      </c>
      <c r="D777" t="s">
        <v>171</v>
      </c>
      <c r="E777" t="s">
        <v>172</v>
      </c>
      <c r="F777" t="s">
        <v>2750</v>
      </c>
      <c r="G777" t="s">
        <v>2751</v>
      </c>
      <c r="H777">
        <v>1826</v>
      </c>
      <c r="I777" t="s">
        <v>3783</v>
      </c>
      <c r="J777">
        <v>789</v>
      </c>
      <c r="K777" t="s">
        <v>4492</v>
      </c>
      <c r="M777" t="s">
        <v>2825</v>
      </c>
      <c r="N777" t="s">
        <v>4157</v>
      </c>
      <c r="R777">
        <f>1</f>
        <v>1</v>
      </c>
      <c r="S777">
        <f>16</f>
        <v>16</v>
      </c>
      <c r="T777">
        <f>7.6</f>
        <v>7.6</v>
      </c>
      <c r="U777">
        <f>473</f>
        <v>473</v>
      </c>
      <c r="X777">
        <f>0</f>
        <v>0</v>
      </c>
      <c r="Y777">
        <f>0.1</f>
        <v>0.1</v>
      </c>
      <c r="Z777">
        <f>0</f>
        <v>0</v>
      </c>
      <c r="AA777" t="s">
        <v>179</v>
      </c>
      <c r="AB777" t="s">
        <v>179</v>
      </c>
      <c r="AD777">
        <f>0</f>
        <v>0</v>
      </c>
      <c r="AE777">
        <f>0</f>
        <v>0</v>
      </c>
      <c r="AG777" t="s">
        <v>180</v>
      </c>
    </row>
    <row r="778" spans="1:81" x14ac:dyDescent="0.25">
      <c r="A778" t="s">
        <v>2826</v>
      </c>
      <c r="B778" t="s">
        <v>170</v>
      </c>
      <c r="C778" s="1">
        <v>46093</v>
      </c>
      <c r="D778" t="s">
        <v>184</v>
      </c>
      <c r="E778" t="s">
        <v>546</v>
      </c>
      <c r="F778" t="s">
        <v>660</v>
      </c>
      <c r="G778" t="s">
        <v>2827</v>
      </c>
      <c r="H778">
        <v>842</v>
      </c>
      <c r="I778" t="s">
        <v>2827</v>
      </c>
      <c r="J778">
        <v>1032</v>
      </c>
      <c r="K778" t="s">
        <v>4494</v>
      </c>
      <c r="L778" t="s">
        <v>266</v>
      </c>
      <c r="M778" t="s">
        <v>2828</v>
      </c>
      <c r="N778" t="s">
        <v>2829</v>
      </c>
      <c r="R778">
        <f>1</f>
        <v>1</v>
      </c>
      <c r="S778">
        <f>11</f>
        <v>11</v>
      </c>
      <c r="T778">
        <f>7.5</f>
        <v>7.5</v>
      </c>
      <c r="U778">
        <f>455</f>
        <v>455</v>
      </c>
      <c r="V778">
        <f>0.22</f>
        <v>0.22</v>
      </c>
      <c r="X778">
        <f>0</f>
        <v>0</v>
      </c>
      <c r="Y778">
        <f>0.1</f>
        <v>0.1</v>
      </c>
      <c r="Z778">
        <f>0</f>
        <v>0</v>
      </c>
      <c r="AA778" t="s">
        <v>179</v>
      </c>
      <c r="AB778" t="s">
        <v>179</v>
      </c>
      <c r="AC778">
        <f>0</f>
        <v>0</v>
      </c>
      <c r="AD778">
        <f>0</f>
        <v>0</v>
      </c>
      <c r="AE778">
        <f>0</f>
        <v>0</v>
      </c>
      <c r="AG778" t="s">
        <v>180</v>
      </c>
    </row>
    <row r="779" spans="1:81" x14ac:dyDescent="0.25">
      <c r="A779" t="s">
        <v>2830</v>
      </c>
      <c r="B779" t="s">
        <v>170</v>
      </c>
      <c r="C779" s="1">
        <v>46104</v>
      </c>
      <c r="D779" t="s">
        <v>184</v>
      </c>
      <c r="E779" t="s">
        <v>546</v>
      </c>
      <c r="F779" t="s">
        <v>660</v>
      </c>
      <c r="G779" t="s">
        <v>4440</v>
      </c>
      <c r="H779">
        <v>736</v>
      </c>
      <c r="I779" t="s">
        <v>4441</v>
      </c>
      <c r="J779">
        <v>695</v>
      </c>
      <c r="K779" t="s">
        <v>4494</v>
      </c>
      <c r="L779" t="s">
        <v>176</v>
      </c>
      <c r="M779" t="s">
        <v>2831</v>
      </c>
      <c r="N779" t="s">
        <v>2832</v>
      </c>
      <c r="R779">
        <f>1</f>
        <v>1</v>
      </c>
      <c r="S779">
        <f>11.5</f>
        <v>11.5</v>
      </c>
      <c r="T779">
        <f>7.6</f>
        <v>7.6</v>
      </c>
      <c r="U779">
        <f>441</f>
        <v>441</v>
      </c>
      <c r="X779">
        <f>0</f>
        <v>0</v>
      </c>
      <c r="Y779" t="s">
        <v>180</v>
      </c>
      <c r="Z779">
        <f>0</f>
        <v>0</v>
      </c>
      <c r="AA779" t="s">
        <v>179</v>
      </c>
      <c r="AB779" t="s">
        <v>179</v>
      </c>
      <c r="AC779">
        <f>0</f>
        <v>0</v>
      </c>
      <c r="AD779">
        <f>0</f>
        <v>0</v>
      </c>
      <c r="AE779">
        <f>0</f>
        <v>0</v>
      </c>
      <c r="AG779" t="s">
        <v>180</v>
      </c>
    </row>
    <row r="780" spans="1:81" x14ac:dyDescent="0.25">
      <c r="A780" t="s">
        <v>2833</v>
      </c>
      <c r="B780" t="s">
        <v>766</v>
      </c>
      <c r="C780" s="1">
        <v>46083</v>
      </c>
      <c r="D780" t="s">
        <v>251</v>
      </c>
      <c r="E780" t="s">
        <v>185</v>
      </c>
      <c r="F780" t="s">
        <v>4914</v>
      </c>
      <c r="G780" t="s">
        <v>4158</v>
      </c>
      <c r="H780">
        <v>1668</v>
      </c>
      <c r="I780" t="s">
        <v>4159</v>
      </c>
      <c r="J780">
        <v>570</v>
      </c>
      <c r="K780" t="s">
        <v>3334</v>
      </c>
      <c r="M780" t="s">
        <v>2834</v>
      </c>
      <c r="N780" t="s">
        <v>2835</v>
      </c>
      <c r="Q780" t="s">
        <v>2836</v>
      </c>
      <c r="R780">
        <f>1</f>
        <v>1</v>
      </c>
      <c r="S780">
        <f>6.8</f>
        <v>6.8</v>
      </c>
      <c r="T780">
        <f>7.4</f>
        <v>7.4</v>
      </c>
      <c r="U780">
        <f>311</f>
        <v>311</v>
      </c>
      <c r="X780">
        <f>0</f>
        <v>0</v>
      </c>
      <c r="Y780" t="s">
        <v>180</v>
      </c>
      <c r="Z780">
        <f>0</f>
        <v>0</v>
      </c>
      <c r="AA780">
        <f>17</f>
        <v>17</v>
      </c>
      <c r="AB780">
        <f>0</f>
        <v>0</v>
      </c>
      <c r="AC780">
        <f>0</f>
        <v>0</v>
      </c>
      <c r="AD780">
        <f>0</f>
        <v>0</v>
      </c>
      <c r="AE780">
        <f>7</f>
        <v>7</v>
      </c>
      <c r="AG780" t="s">
        <v>180</v>
      </c>
    </row>
    <row r="781" spans="1:81" x14ac:dyDescent="0.25">
      <c r="A781" t="s">
        <v>2837</v>
      </c>
      <c r="B781" t="s">
        <v>170</v>
      </c>
      <c r="C781" s="1">
        <v>46090</v>
      </c>
      <c r="D781" t="s">
        <v>195</v>
      </c>
      <c r="E781" t="s">
        <v>196</v>
      </c>
      <c r="F781" t="s">
        <v>3554</v>
      </c>
      <c r="G781" t="s">
        <v>3682</v>
      </c>
      <c r="H781">
        <v>172</v>
      </c>
      <c r="I781" t="s">
        <v>3682</v>
      </c>
      <c r="J781">
        <v>89433</v>
      </c>
      <c r="K781" t="s">
        <v>4494</v>
      </c>
      <c r="L781" t="s">
        <v>197</v>
      </c>
      <c r="M781" t="s">
        <v>2838</v>
      </c>
      <c r="N781" t="s">
        <v>2839</v>
      </c>
      <c r="O781" t="s">
        <v>2840</v>
      </c>
      <c r="R781">
        <f>1</f>
        <v>1</v>
      </c>
      <c r="S781">
        <f>12.2</f>
        <v>12.2</v>
      </c>
      <c r="T781">
        <f>7.6</f>
        <v>7.6</v>
      </c>
      <c r="U781">
        <f>356</f>
        <v>356</v>
      </c>
      <c r="X781">
        <f>0</f>
        <v>0</v>
      </c>
      <c r="Y781">
        <f>0.02</f>
        <v>0.02</v>
      </c>
      <c r="Z781">
        <f>0</f>
        <v>0</v>
      </c>
      <c r="AA781">
        <f>0</f>
        <v>0</v>
      </c>
      <c r="AB781">
        <f>0</f>
        <v>0</v>
      </c>
      <c r="AC781">
        <f>0</f>
        <v>0</v>
      </c>
      <c r="AD781">
        <f>0</f>
        <v>0</v>
      </c>
      <c r="AE781">
        <f>0</f>
        <v>0</v>
      </c>
      <c r="AG781" t="s">
        <v>180</v>
      </c>
    </row>
    <row r="782" spans="1:81" x14ac:dyDescent="0.25">
      <c r="A782" t="s">
        <v>2841</v>
      </c>
      <c r="B782" t="s">
        <v>170</v>
      </c>
      <c r="C782" s="1">
        <v>46121</v>
      </c>
      <c r="D782" t="s">
        <v>251</v>
      </c>
      <c r="E782" t="s">
        <v>252</v>
      </c>
      <c r="F782" t="s">
        <v>253</v>
      </c>
      <c r="G782" t="s">
        <v>254</v>
      </c>
      <c r="H782">
        <v>76</v>
      </c>
      <c r="I782" t="s">
        <v>254</v>
      </c>
      <c r="J782">
        <v>11982</v>
      </c>
      <c r="K782" t="s">
        <v>4492</v>
      </c>
      <c r="L782" t="s">
        <v>3553</v>
      </c>
      <c r="M782" t="s">
        <v>4500</v>
      </c>
      <c r="N782" t="s">
        <v>255</v>
      </c>
      <c r="O782" t="s">
        <v>256</v>
      </c>
      <c r="Q782" t="s">
        <v>257</v>
      </c>
      <c r="R782">
        <f>1</f>
        <v>1</v>
      </c>
      <c r="S782">
        <f>8.3</f>
        <v>8.3000000000000007</v>
      </c>
      <c r="T782">
        <f>7.9</f>
        <v>7.9</v>
      </c>
      <c r="U782">
        <f>245</f>
        <v>245</v>
      </c>
      <c r="V782">
        <f>0.05</f>
        <v>0.05</v>
      </c>
      <c r="X782">
        <f>0</f>
        <v>0</v>
      </c>
      <c r="Y782" t="s">
        <v>180</v>
      </c>
      <c r="Z782">
        <f>0</f>
        <v>0</v>
      </c>
      <c r="AA782">
        <f>0</f>
        <v>0</v>
      </c>
      <c r="AB782">
        <f>0</f>
        <v>0</v>
      </c>
      <c r="AD782">
        <f>0</f>
        <v>0</v>
      </c>
      <c r="AE782">
        <f>0</f>
        <v>0</v>
      </c>
      <c r="AG782" t="s">
        <v>180</v>
      </c>
      <c r="AH782" t="s">
        <v>284</v>
      </c>
      <c r="AK782" t="s">
        <v>285</v>
      </c>
      <c r="AL782" t="s">
        <v>286</v>
      </c>
      <c r="AM782">
        <f>2.4</f>
        <v>2.4</v>
      </c>
      <c r="AN782">
        <f>0.048</f>
        <v>4.8000000000000001E-2</v>
      </c>
      <c r="AO782">
        <f>1.6</f>
        <v>1.6</v>
      </c>
      <c r="AP782">
        <f>2.5</f>
        <v>2.5</v>
      </c>
      <c r="AQ782" t="s">
        <v>284</v>
      </c>
    </row>
    <row r="783" spans="1:81" x14ac:dyDescent="0.25">
      <c r="A783" t="s">
        <v>2842</v>
      </c>
      <c r="B783" t="s">
        <v>170</v>
      </c>
      <c r="C783" s="1">
        <v>46127</v>
      </c>
      <c r="D783" t="s">
        <v>251</v>
      </c>
      <c r="E783" t="s">
        <v>252</v>
      </c>
      <c r="F783" t="s">
        <v>265</v>
      </c>
      <c r="G783" t="s">
        <v>4408</v>
      </c>
      <c r="H783">
        <v>854</v>
      </c>
      <c r="I783" t="s">
        <v>4408</v>
      </c>
      <c r="J783">
        <v>12117</v>
      </c>
      <c r="K783" t="s">
        <v>4494</v>
      </c>
      <c r="L783" t="s">
        <v>3566</v>
      </c>
      <c r="M783" t="s">
        <v>4825</v>
      </c>
      <c r="N783" t="s">
        <v>4826</v>
      </c>
      <c r="O783" t="s">
        <v>2349</v>
      </c>
      <c r="Q783" t="s">
        <v>257</v>
      </c>
      <c r="R783">
        <f>1</f>
        <v>1</v>
      </c>
      <c r="S783">
        <f>8.9</f>
        <v>8.9</v>
      </c>
      <c r="T783">
        <f>8</f>
        <v>8</v>
      </c>
      <c r="U783">
        <f>183</f>
        <v>183</v>
      </c>
      <c r="X783">
        <f>0</f>
        <v>0</v>
      </c>
      <c r="Y783" t="s">
        <v>180</v>
      </c>
      <c r="Z783">
        <f>0</f>
        <v>0</v>
      </c>
      <c r="AA783">
        <f>0</f>
        <v>0</v>
      </c>
      <c r="AB783">
        <f>6</f>
        <v>6</v>
      </c>
      <c r="AC783">
        <f>0</f>
        <v>0</v>
      </c>
      <c r="AD783">
        <f>0</f>
        <v>0</v>
      </c>
      <c r="AE783">
        <f>0</f>
        <v>0</v>
      </c>
      <c r="AG783" t="s">
        <v>180</v>
      </c>
      <c r="AH783" t="s">
        <v>284</v>
      </c>
      <c r="AK783" t="s">
        <v>285</v>
      </c>
      <c r="AL783" t="s">
        <v>286</v>
      </c>
      <c r="AM783">
        <f>2.1</f>
        <v>2.1</v>
      </c>
      <c r="AN783">
        <f>0.042</f>
        <v>4.2000000000000003E-2</v>
      </c>
      <c r="AO783">
        <f>1.4</f>
        <v>1.4</v>
      </c>
      <c r="AP783" t="s">
        <v>284</v>
      </c>
      <c r="AQ783" t="s">
        <v>284</v>
      </c>
    </row>
    <row r="784" spans="1:81" x14ac:dyDescent="0.25">
      <c r="A784" t="s">
        <v>2843</v>
      </c>
      <c r="B784" t="s">
        <v>170</v>
      </c>
      <c r="C784" s="1">
        <v>46126</v>
      </c>
      <c r="D784" t="s">
        <v>184</v>
      </c>
      <c r="E784" t="s">
        <v>185</v>
      </c>
      <c r="F784" t="s">
        <v>269</v>
      </c>
      <c r="G784" t="s">
        <v>270</v>
      </c>
      <c r="H784">
        <v>346</v>
      </c>
      <c r="I784" t="s">
        <v>270</v>
      </c>
      <c r="J784">
        <v>21617</v>
      </c>
      <c r="K784" t="s">
        <v>4492</v>
      </c>
      <c r="L784" t="s">
        <v>271</v>
      </c>
      <c r="M784" t="s">
        <v>4829</v>
      </c>
      <c r="N784" t="s">
        <v>4085</v>
      </c>
      <c r="O784" t="s">
        <v>2353</v>
      </c>
      <c r="Q784" t="s">
        <v>274</v>
      </c>
      <c r="R784">
        <f>1</f>
        <v>1</v>
      </c>
      <c r="S784">
        <f>11.7</f>
        <v>11.7</v>
      </c>
      <c r="T784">
        <f>7.7</f>
        <v>7.7</v>
      </c>
      <c r="U784">
        <f>285</f>
        <v>285</v>
      </c>
      <c r="X784">
        <f>0</f>
        <v>0</v>
      </c>
      <c r="Y784" t="s">
        <v>180</v>
      </c>
      <c r="Z784">
        <f>0</f>
        <v>0</v>
      </c>
      <c r="AA784">
        <f>0</f>
        <v>0</v>
      </c>
      <c r="AB784">
        <f>0</f>
        <v>0</v>
      </c>
      <c r="AD784">
        <f>0</f>
        <v>0</v>
      </c>
      <c r="AE784">
        <f>0</f>
        <v>0</v>
      </c>
      <c r="AG784" t="s">
        <v>180</v>
      </c>
    </row>
    <row r="785" spans="1:157" x14ac:dyDescent="0.25">
      <c r="A785" t="s">
        <v>2844</v>
      </c>
      <c r="B785" t="s">
        <v>170</v>
      </c>
      <c r="C785" s="1">
        <v>46128</v>
      </c>
      <c r="D785" t="s">
        <v>302</v>
      </c>
      <c r="E785" t="s">
        <v>303</v>
      </c>
      <c r="F785" t="s">
        <v>304</v>
      </c>
      <c r="G785" t="s">
        <v>305</v>
      </c>
      <c r="H785">
        <v>782</v>
      </c>
      <c r="I785" t="s">
        <v>306</v>
      </c>
      <c r="J785">
        <v>28100</v>
      </c>
      <c r="K785" t="s">
        <v>4492</v>
      </c>
      <c r="L785" t="s">
        <v>271</v>
      </c>
      <c r="M785" t="s">
        <v>4093</v>
      </c>
      <c r="N785" t="s">
        <v>2387</v>
      </c>
      <c r="O785" t="s">
        <v>2388</v>
      </c>
      <c r="R785">
        <f>1</f>
        <v>1</v>
      </c>
      <c r="S785">
        <f>13.1</f>
        <v>13.1</v>
      </c>
      <c r="T785">
        <f>7.6</f>
        <v>7.6</v>
      </c>
      <c r="U785">
        <f>518</f>
        <v>518</v>
      </c>
      <c r="X785">
        <f>0</f>
        <v>0</v>
      </c>
      <c r="Y785" t="s">
        <v>180</v>
      </c>
      <c r="Z785">
        <f>0</f>
        <v>0</v>
      </c>
      <c r="AA785" t="s">
        <v>179</v>
      </c>
      <c r="AB785" t="s">
        <v>179</v>
      </c>
      <c r="AD785">
        <f>0</f>
        <v>0</v>
      </c>
      <c r="AE785">
        <f>0</f>
        <v>0</v>
      </c>
      <c r="AG785" t="s">
        <v>180</v>
      </c>
      <c r="AH785" t="s">
        <v>193</v>
      </c>
      <c r="AK785" t="s">
        <v>181</v>
      </c>
      <c r="AL785" t="s">
        <v>182</v>
      </c>
      <c r="AM785">
        <f>29</f>
        <v>29</v>
      </c>
      <c r="AN785">
        <f>0.58</f>
        <v>0.57999999999999996</v>
      </c>
      <c r="AO785">
        <f>13</f>
        <v>13</v>
      </c>
      <c r="AP785">
        <f>8.3</f>
        <v>8.3000000000000007</v>
      </c>
      <c r="AQ785" t="s">
        <v>180</v>
      </c>
    </row>
    <row r="786" spans="1:157" x14ac:dyDescent="0.25">
      <c r="A786" t="s">
        <v>2845</v>
      </c>
      <c r="B786" t="s">
        <v>170</v>
      </c>
      <c r="C786" s="1">
        <v>46125</v>
      </c>
      <c r="D786" t="s">
        <v>222</v>
      </c>
      <c r="E786" t="s">
        <v>223</v>
      </c>
      <c r="F786" t="s">
        <v>296</v>
      </c>
      <c r="G786" t="s">
        <v>297</v>
      </c>
      <c r="H786">
        <v>154</v>
      </c>
      <c r="I786" t="s">
        <v>3283</v>
      </c>
      <c r="J786">
        <v>55177</v>
      </c>
      <c r="K786" t="s">
        <v>4494</v>
      </c>
      <c r="L786" t="s">
        <v>4510</v>
      </c>
      <c r="M786" t="s">
        <v>4229</v>
      </c>
      <c r="N786" t="s">
        <v>298</v>
      </c>
      <c r="O786" t="s">
        <v>299</v>
      </c>
      <c r="R786">
        <f>1</f>
        <v>1</v>
      </c>
      <c r="S786">
        <f>12.6</f>
        <v>12.6</v>
      </c>
      <c r="T786">
        <f>7.4</f>
        <v>7.4</v>
      </c>
      <c r="U786">
        <f>572</f>
        <v>572</v>
      </c>
      <c r="V786">
        <f>0.24</f>
        <v>0.24</v>
      </c>
      <c r="X786">
        <f>1</f>
        <v>1</v>
      </c>
      <c r="Y786" t="s">
        <v>180</v>
      </c>
      <c r="Z786">
        <f>0</f>
        <v>0</v>
      </c>
      <c r="AA786" t="s">
        <v>179</v>
      </c>
      <c r="AB786" t="s">
        <v>179</v>
      </c>
      <c r="AC786">
        <f>0</f>
        <v>0</v>
      </c>
      <c r="AD786">
        <f>0</f>
        <v>0</v>
      </c>
      <c r="AE786">
        <f>0</f>
        <v>0</v>
      </c>
      <c r="AG786" t="s">
        <v>180</v>
      </c>
      <c r="AH786" t="s">
        <v>193</v>
      </c>
      <c r="AK786" t="s">
        <v>181</v>
      </c>
      <c r="AL786" t="s">
        <v>182</v>
      </c>
      <c r="AM786">
        <f>31</f>
        <v>31</v>
      </c>
      <c r="AN786">
        <f>0.62</f>
        <v>0.62</v>
      </c>
      <c r="AO786">
        <f>14</f>
        <v>14</v>
      </c>
      <c r="AP786">
        <f>15</f>
        <v>15</v>
      </c>
      <c r="AQ786" t="s">
        <v>180</v>
      </c>
      <c r="BQ786" t="s">
        <v>300</v>
      </c>
    </row>
    <row r="787" spans="1:157" x14ac:dyDescent="0.25">
      <c r="A787" t="s">
        <v>2846</v>
      </c>
      <c r="B787" t="s">
        <v>170</v>
      </c>
      <c r="C787" s="1">
        <v>46136</v>
      </c>
      <c r="D787" t="s">
        <v>302</v>
      </c>
      <c r="E787" t="s">
        <v>303</v>
      </c>
      <c r="F787" t="s">
        <v>310</v>
      </c>
      <c r="G787" t="s">
        <v>311</v>
      </c>
      <c r="H787">
        <v>800</v>
      </c>
      <c r="I787" t="s">
        <v>4231</v>
      </c>
      <c r="J787">
        <v>27331</v>
      </c>
      <c r="K787" t="s">
        <v>4492</v>
      </c>
      <c r="L787" t="s">
        <v>325</v>
      </c>
      <c r="M787" t="s">
        <v>4160</v>
      </c>
      <c r="N787" t="s">
        <v>4161</v>
      </c>
      <c r="O787" t="s">
        <v>2847</v>
      </c>
      <c r="R787">
        <f>1</f>
        <v>1</v>
      </c>
      <c r="S787">
        <f>15.2</f>
        <v>15.2</v>
      </c>
      <c r="T787">
        <f>7.3</f>
        <v>7.3</v>
      </c>
      <c r="U787">
        <f>545</f>
        <v>545</v>
      </c>
      <c r="V787" t="s">
        <v>192</v>
      </c>
      <c r="X787">
        <f>0</f>
        <v>0</v>
      </c>
      <c r="Y787" t="s">
        <v>180</v>
      </c>
      <c r="Z787">
        <f>0</f>
        <v>0</v>
      </c>
      <c r="AA787" t="s">
        <v>179</v>
      </c>
      <c r="AB787" t="s">
        <v>179</v>
      </c>
      <c r="AD787">
        <f>0</f>
        <v>0</v>
      </c>
      <c r="AE787">
        <f>0</f>
        <v>0</v>
      </c>
      <c r="AG787" t="s">
        <v>180</v>
      </c>
    </row>
    <row r="788" spans="1:157" x14ac:dyDescent="0.25">
      <c r="A788" t="s">
        <v>2848</v>
      </c>
      <c r="B788" t="s">
        <v>170</v>
      </c>
      <c r="C788" s="1">
        <v>46136</v>
      </c>
      <c r="D788" t="s">
        <v>302</v>
      </c>
      <c r="E788" t="s">
        <v>303</v>
      </c>
      <c r="F788" t="s">
        <v>310</v>
      </c>
      <c r="G788" t="s">
        <v>311</v>
      </c>
      <c r="H788">
        <v>803</v>
      </c>
      <c r="I788" t="s">
        <v>3285</v>
      </c>
      <c r="J788">
        <v>31048</v>
      </c>
      <c r="K788" t="s">
        <v>4492</v>
      </c>
      <c r="L788" t="s">
        <v>291</v>
      </c>
      <c r="M788" t="s">
        <v>331</v>
      </c>
      <c r="N788" t="s">
        <v>332</v>
      </c>
      <c r="O788" t="s">
        <v>333</v>
      </c>
      <c r="R788">
        <f>1</f>
        <v>1</v>
      </c>
      <c r="S788">
        <f>12.2</f>
        <v>12.2</v>
      </c>
      <c r="T788">
        <f>7.6</f>
        <v>7.6</v>
      </c>
      <c r="U788">
        <f>468</f>
        <v>468</v>
      </c>
      <c r="X788">
        <f>0</f>
        <v>0</v>
      </c>
      <c r="Y788" t="s">
        <v>180</v>
      </c>
      <c r="Z788">
        <f>0</f>
        <v>0</v>
      </c>
      <c r="AA788" t="s">
        <v>179</v>
      </c>
      <c r="AB788" t="s">
        <v>179</v>
      </c>
      <c r="AD788">
        <f>0</f>
        <v>0</v>
      </c>
      <c r="AE788">
        <f>0</f>
        <v>0</v>
      </c>
      <c r="AG788" t="s">
        <v>180</v>
      </c>
    </row>
    <row r="789" spans="1:157" x14ac:dyDescent="0.25">
      <c r="A789" t="s">
        <v>2849</v>
      </c>
      <c r="B789" t="s">
        <v>170</v>
      </c>
      <c r="C789" s="1">
        <v>46136</v>
      </c>
      <c r="D789" t="s">
        <v>302</v>
      </c>
      <c r="E789" t="s">
        <v>303</v>
      </c>
      <c r="F789" t="s">
        <v>310</v>
      </c>
      <c r="G789" t="s">
        <v>311</v>
      </c>
      <c r="H789">
        <v>803</v>
      </c>
      <c r="I789" t="s">
        <v>3285</v>
      </c>
      <c r="J789">
        <v>31048</v>
      </c>
      <c r="K789" t="s">
        <v>4492</v>
      </c>
      <c r="L789" t="s">
        <v>291</v>
      </c>
      <c r="M789" t="s">
        <v>352</v>
      </c>
      <c r="N789" t="s">
        <v>3841</v>
      </c>
      <c r="O789" t="s">
        <v>353</v>
      </c>
      <c r="R789">
        <f>1</f>
        <v>1</v>
      </c>
      <c r="S789">
        <f>12.2</f>
        <v>12.2</v>
      </c>
      <c r="T789">
        <f>7.6</f>
        <v>7.6</v>
      </c>
      <c r="U789">
        <f>489</f>
        <v>489</v>
      </c>
      <c r="X789">
        <f>0</f>
        <v>0</v>
      </c>
      <c r="Y789" t="s">
        <v>180</v>
      </c>
      <c r="Z789">
        <f>0</f>
        <v>0</v>
      </c>
      <c r="AA789" t="s">
        <v>179</v>
      </c>
      <c r="AB789" t="s">
        <v>179</v>
      </c>
      <c r="AD789">
        <f>0</f>
        <v>0</v>
      </c>
      <c r="AE789">
        <f>0</f>
        <v>0</v>
      </c>
      <c r="AG789" t="s">
        <v>180</v>
      </c>
      <c r="CF789" t="s">
        <v>285</v>
      </c>
      <c r="CG789" t="s">
        <v>285</v>
      </c>
      <c r="CH789" t="s">
        <v>285</v>
      </c>
      <c r="CI789" t="s">
        <v>285</v>
      </c>
      <c r="CJ789" t="s">
        <v>285</v>
      </c>
      <c r="CK789" t="s">
        <v>285</v>
      </c>
      <c r="CL789" t="s">
        <v>285</v>
      </c>
      <c r="CM789" t="s">
        <v>285</v>
      </c>
      <c r="CN789" t="s">
        <v>286</v>
      </c>
      <c r="CO789" t="s">
        <v>285</v>
      </c>
      <c r="CP789" t="s">
        <v>192</v>
      </c>
      <c r="CQ789" t="s">
        <v>192</v>
      </c>
      <c r="CR789" t="s">
        <v>192</v>
      </c>
      <c r="CS789" t="s">
        <v>192</v>
      </c>
      <c r="CT789" t="s">
        <v>286</v>
      </c>
      <c r="CU789" t="s">
        <v>286</v>
      </c>
      <c r="CV789" t="s">
        <v>285</v>
      </c>
      <c r="CW789" t="s">
        <v>285</v>
      </c>
      <c r="CX789" t="s">
        <v>286</v>
      </c>
      <c r="CY789" t="s">
        <v>192</v>
      </c>
      <c r="CZ789" t="s">
        <v>285</v>
      </c>
      <c r="DA789" t="s">
        <v>285</v>
      </c>
      <c r="DB789" t="s">
        <v>182</v>
      </c>
      <c r="DC789" t="s">
        <v>286</v>
      </c>
      <c r="DD789" t="s">
        <v>286</v>
      </c>
      <c r="DE789" t="s">
        <v>286</v>
      </c>
      <c r="DF789" t="s">
        <v>286</v>
      </c>
      <c r="DG789" t="s">
        <v>286</v>
      </c>
      <c r="DH789" t="s">
        <v>286</v>
      </c>
      <c r="DI789" t="s">
        <v>286</v>
      </c>
      <c r="DJ789" t="s">
        <v>286</v>
      </c>
      <c r="DK789" t="s">
        <v>286</v>
      </c>
      <c r="DL789" t="s">
        <v>286</v>
      </c>
      <c r="DM789" t="s">
        <v>286</v>
      </c>
      <c r="DN789" t="s">
        <v>286</v>
      </c>
      <c r="DO789" t="s">
        <v>286</v>
      </c>
      <c r="DP789" t="s">
        <v>286</v>
      </c>
      <c r="DQ789" t="s">
        <v>286</v>
      </c>
      <c r="DR789" t="s">
        <v>286</v>
      </c>
      <c r="DS789" t="s">
        <v>286</v>
      </c>
      <c r="DT789" t="s">
        <v>286</v>
      </c>
      <c r="DU789" t="s">
        <v>286</v>
      </c>
      <c r="DV789" t="s">
        <v>285</v>
      </c>
      <c r="DW789" t="s">
        <v>286</v>
      </c>
      <c r="DX789" t="s">
        <v>286</v>
      </c>
      <c r="DY789" t="s">
        <v>286</v>
      </c>
      <c r="DZ789" t="s">
        <v>285</v>
      </c>
      <c r="EA789" t="s">
        <v>285</v>
      </c>
      <c r="EB789" t="s">
        <v>286</v>
      </c>
      <c r="EC789" t="s">
        <v>192</v>
      </c>
      <c r="ED789" t="s">
        <v>286</v>
      </c>
      <c r="EE789" t="s">
        <v>286</v>
      </c>
      <c r="EF789" t="s">
        <v>286</v>
      </c>
      <c r="EG789" t="s">
        <v>285</v>
      </c>
      <c r="EH789" t="s">
        <v>286</v>
      </c>
      <c r="EI789" t="s">
        <v>286</v>
      </c>
      <c r="EJ789" t="s">
        <v>286</v>
      </c>
      <c r="EK789" t="s">
        <v>286</v>
      </c>
      <c r="EL789" t="s">
        <v>285</v>
      </c>
      <c r="EM789" t="s">
        <v>286</v>
      </c>
      <c r="EN789" t="s">
        <v>285</v>
      </c>
      <c r="EO789" t="s">
        <v>285</v>
      </c>
      <c r="EP789" t="s">
        <v>285</v>
      </c>
      <c r="EQ789" t="s">
        <v>285</v>
      </c>
      <c r="ER789" t="s">
        <v>285</v>
      </c>
      <c r="ES789" t="s">
        <v>285</v>
      </c>
      <c r="ET789" t="s">
        <v>285</v>
      </c>
      <c r="EU789" t="s">
        <v>285</v>
      </c>
      <c r="EV789" t="s">
        <v>192</v>
      </c>
      <c r="EW789" t="s">
        <v>286</v>
      </c>
      <c r="EX789" t="s">
        <v>285</v>
      </c>
      <c r="EY789" t="s">
        <v>285</v>
      </c>
      <c r="EZ789" t="s">
        <v>192</v>
      </c>
      <c r="FA789" t="s">
        <v>285</v>
      </c>
    </row>
    <row r="790" spans="1:157" x14ac:dyDescent="0.25">
      <c r="A790" t="s">
        <v>2850</v>
      </c>
      <c r="B790" t="s">
        <v>170</v>
      </c>
      <c r="C790" s="1">
        <v>46080</v>
      </c>
      <c r="D790" t="s">
        <v>238</v>
      </c>
      <c r="E790" t="s">
        <v>239</v>
      </c>
      <c r="F790" t="s">
        <v>240</v>
      </c>
      <c r="G790" t="s">
        <v>4237</v>
      </c>
      <c r="H790">
        <v>592</v>
      </c>
      <c r="I790" t="s">
        <v>4237</v>
      </c>
      <c r="J790">
        <v>13513</v>
      </c>
      <c r="K790" t="s">
        <v>4494</v>
      </c>
      <c r="L790" t="s">
        <v>3562</v>
      </c>
      <c r="M790" t="s">
        <v>375</v>
      </c>
      <c r="N790" t="s">
        <v>376</v>
      </c>
      <c r="O790" t="s">
        <v>377</v>
      </c>
      <c r="R790">
        <f>1</f>
        <v>1</v>
      </c>
      <c r="S790">
        <f>8.1</f>
        <v>8.1</v>
      </c>
      <c r="T790">
        <f>7.6</f>
        <v>7.6</v>
      </c>
      <c r="U790">
        <f>410</f>
        <v>410</v>
      </c>
      <c r="X790">
        <f>0</f>
        <v>0</v>
      </c>
      <c r="Y790">
        <f>0.17</f>
        <v>0.17</v>
      </c>
      <c r="Z790">
        <f>0</f>
        <v>0</v>
      </c>
      <c r="AA790" t="s">
        <v>179</v>
      </c>
      <c r="AB790" t="s">
        <v>179</v>
      </c>
      <c r="AC790">
        <f>0</f>
        <v>0</v>
      </c>
      <c r="AD790">
        <f>0</f>
        <v>0</v>
      </c>
      <c r="AE790">
        <f>0</f>
        <v>0</v>
      </c>
      <c r="AG790" t="s">
        <v>220</v>
      </c>
      <c r="AH790">
        <f>0.52</f>
        <v>0.52</v>
      </c>
      <c r="AK790" t="s">
        <v>286</v>
      </c>
      <c r="AL790">
        <f>0.0032</f>
        <v>3.2000000000000002E-3</v>
      </c>
      <c r="AM790">
        <f>5.6</f>
        <v>5.6</v>
      </c>
      <c r="AN790">
        <f>0.113</f>
        <v>0.113</v>
      </c>
      <c r="AO790">
        <f>3.9</f>
        <v>3.9</v>
      </c>
      <c r="AP790">
        <f>5.6</f>
        <v>5.6</v>
      </c>
      <c r="AQ790" t="s">
        <v>192</v>
      </c>
    </row>
    <row r="791" spans="1:157" x14ac:dyDescent="0.25">
      <c r="A791" t="s">
        <v>2851</v>
      </c>
      <c r="B791" t="s">
        <v>170</v>
      </c>
      <c r="C791" s="1">
        <v>46092</v>
      </c>
      <c r="D791" t="s">
        <v>184</v>
      </c>
      <c r="E791" t="s">
        <v>185</v>
      </c>
      <c r="F791" t="s">
        <v>384</v>
      </c>
      <c r="G791" t="s">
        <v>385</v>
      </c>
      <c r="H791">
        <v>1709</v>
      </c>
      <c r="I791" t="s">
        <v>4412</v>
      </c>
      <c r="J791">
        <v>38347</v>
      </c>
      <c r="K791" t="s">
        <v>4492</v>
      </c>
      <c r="L791" t="s">
        <v>271</v>
      </c>
      <c r="M791" t="s">
        <v>4100</v>
      </c>
      <c r="N791" t="s">
        <v>4858</v>
      </c>
      <c r="O791" t="s">
        <v>2484</v>
      </c>
      <c r="R791">
        <f>1</f>
        <v>1</v>
      </c>
      <c r="S791">
        <f>12.8</f>
        <v>12.8</v>
      </c>
      <c r="T791">
        <f>7.2</f>
        <v>7.2</v>
      </c>
      <c r="U791">
        <f>195</f>
        <v>195</v>
      </c>
      <c r="X791">
        <f>0</f>
        <v>0</v>
      </c>
      <c r="Y791" t="s">
        <v>180</v>
      </c>
      <c r="Z791">
        <f>0</f>
        <v>0</v>
      </c>
      <c r="AA791" t="s">
        <v>179</v>
      </c>
      <c r="AB791" t="s">
        <v>179</v>
      </c>
      <c r="AD791">
        <f>0</f>
        <v>0</v>
      </c>
      <c r="AE791">
        <f>0</f>
        <v>0</v>
      </c>
      <c r="AG791" t="s">
        <v>180</v>
      </c>
      <c r="AH791" t="s">
        <v>193</v>
      </c>
      <c r="AK791" t="s">
        <v>181</v>
      </c>
      <c r="AL791" t="s">
        <v>182</v>
      </c>
      <c r="AM791">
        <f>19</f>
        <v>19</v>
      </c>
      <c r="AN791">
        <f>0.38</f>
        <v>0.38</v>
      </c>
      <c r="AO791">
        <f>14</f>
        <v>14</v>
      </c>
      <c r="AP791">
        <f>29</f>
        <v>29</v>
      </c>
      <c r="AQ791" t="s">
        <v>180</v>
      </c>
    </row>
    <row r="792" spans="1:157" x14ac:dyDescent="0.25">
      <c r="A792" t="s">
        <v>2852</v>
      </c>
      <c r="B792" t="s">
        <v>170</v>
      </c>
      <c r="C792" s="1">
        <v>46129</v>
      </c>
      <c r="D792" t="s">
        <v>195</v>
      </c>
      <c r="E792" t="s">
        <v>196</v>
      </c>
      <c r="F792" t="s">
        <v>3857</v>
      </c>
      <c r="G792" t="s">
        <v>460</v>
      </c>
      <c r="H792">
        <v>328</v>
      </c>
      <c r="I792" t="s">
        <v>460</v>
      </c>
      <c r="J792">
        <v>19000</v>
      </c>
      <c r="K792" t="s">
        <v>4494</v>
      </c>
      <c r="L792" t="s">
        <v>461</v>
      </c>
      <c r="M792" t="s">
        <v>462</v>
      </c>
      <c r="N792" t="s">
        <v>463</v>
      </c>
      <c r="O792" t="s">
        <v>464</v>
      </c>
      <c r="Q792" t="s">
        <v>3858</v>
      </c>
      <c r="R792">
        <f>1</f>
        <v>1</v>
      </c>
      <c r="S792">
        <f>17</f>
        <v>17</v>
      </c>
      <c r="T792">
        <f>7.7</f>
        <v>7.7</v>
      </c>
      <c r="U792">
        <f>479</f>
        <v>479</v>
      </c>
      <c r="X792">
        <f>0</f>
        <v>0</v>
      </c>
      <c r="Y792">
        <f>0.01</f>
        <v>0.01</v>
      </c>
      <c r="Z792">
        <f>0</f>
        <v>0</v>
      </c>
      <c r="AA792">
        <f>0</f>
        <v>0</v>
      </c>
      <c r="AB792">
        <f>0</f>
        <v>0</v>
      </c>
      <c r="AC792">
        <f>0</f>
        <v>0</v>
      </c>
      <c r="AD792">
        <f>0</f>
        <v>0</v>
      </c>
      <c r="AE792">
        <f>0</f>
        <v>0</v>
      </c>
      <c r="AG792" t="s">
        <v>180</v>
      </c>
    </row>
    <row r="793" spans="1:157" x14ac:dyDescent="0.25">
      <c r="A793" t="s">
        <v>2853</v>
      </c>
      <c r="B793" t="s">
        <v>170</v>
      </c>
      <c r="C793" s="1">
        <v>46129</v>
      </c>
      <c r="D793" t="s">
        <v>195</v>
      </c>
      <c r="E793" t="s">
        <v>196</v>
      </c>
      <c r="F793" t="s">
        <v>3857</v>
      </c>
      <c r="G793" t="s">
        <v>460</v>
      </c>
      <c r="H793">
        <v>328</v>
      </c>
      <c r="I793" t="s">
        <v>460</v>
      </c>
      <c r="J793">
        <v>19000</v>
      </c>
      <c r="K793" t="s">
        <v>4494</v>
      </c>
      <c r="L793" t="s">
        <v>461</v>
      </c>
      <c r="M793" t="s">
        <v>2854</v>
      </c>
      <c r="N793" t="s">
        <v>4442</v>
      </c>
      <c r="O793" t="s">
        <v>2855</v>
      </c>
      <c r="R793">
        <f>1</f>
        <v>1</v>
      </c>
      <c r="S793">
        <f>12.9</f>
        <v>12.9</v>
      </c>
      <c r="T793">
        <f>7.9</f>
        <v>7.9</v>
      </c>
      <c r="U793">
        <f>480</f>
        <v>480</v>
      </c>
      <c r="X793">
        <f>0</f>
        <v>0</v>
      </c>
      <c r="Y793">
        <f>0.11</f>
        <v>0.11</v>
      </c>
      <c r="Z793">
        <f>0</f>
        <v>0</v>
      </c>
      <c r="AA793">
        <f>0</f>
        <v>0</v>
      </c>
      <c r="AB793">
        <f>0</f>
        <v>0</v>
      </c>
      <c r="AC793">
        <f>0</f>
        <v>0</v>
      </c>
      <c r="AD793">
        <f>0</f>
        <v>0</v>
      </c>
      <c r="AE793">
        <f>0</f>
        <v>0</v>
      </c>
      <c r="AG793" t="s">
        <v>180</v>
      </c>
    </row>
    <row r="794" spans="1:157" x14ac:dyDescent="0.25">
      <c r="A794" t="s">
        <v>2856</v>
      </c>
      <c r="B794" t="s">
        <v>170</v>
      </c>
      <c r="C794" s="1">
        <v>46127</v>
      </c>
      <c r="D794" t="s">
        <v>238</v>
      </c>
      <c r="E794" t="s">
        <v>239</v>
      </c>
      <c r="F794" t="s">
        <v>478</v>
      </c>
      <c r="G794" t="s">
        <v>479</v>
      </c>
      <c r="H794">
        <v>135</v>
      </c>
      <c r="I794" t="s">
        <v>479</v>
      </c>
      <c r="J794">
        <v>10755</v>
      </c>
      <c r="K794" t="s">
        <v>4492</v>
      </c>
      <c r="L794" t="s">
        <v>176</v>
      </c>
      <c r="M794" t="s">
        <v>4108</v>
      </c>
      <c r="N794" t="s">
        <v>3434</v>
      </c>
      <c r="O794" t="s">
        <v>2529</v>
      </c>
      <c r="R794">
        <f>1</f>
        <v>1</v>
      </c>
      <c r="S794">
        <f>12.3</f>
        <v>12.3</v>
      </c>
      <c r="T794">
        <f>7</f>
        <v>7</v>
      </c>
      <c r="U794">
        <f>625</f>
        <v>625</v>
      </c>
      <c r="X794">
        <f>0</f>
        <v>0</v>
      </c>
      <c r="Y794" t="s">
        <v>180</v>
      </c>
      <c r="Z794">
        <f>0</f>
        <v>0</v>
      </c>
      <c r="AA794" t="s">
        <v>179</v>
      </c>
      <c r="AB794" t="s">
        <v>179</v>
      </c>
      <c r="AD794">
        <f>0</f>
        <v>0</v>
      </c>
      <c r="AE794">
        <f>0</f>
        <v>0</v>
      </c>
      <c r="AG794" t="s">
        <v>220</v>
      </c>
    </row>
    <row r="795" spans="1:157" x14ac:dyDescent="0.25">
      <c r="A795" t="s">
        <v>2857</v>
      </c>
      <c r="B795" t="s">
        <v>170</v>
      </c>
      <c r="C795" s="1">
        <v>46090</v>
      </c>
      <c r="D795" t="s">
        <v>184</v>
      </c>
      <c r="E795" t="s">
        <v>546</v>
      </c>
      <c r="F795" t="s">
        <v>638</v>
      </c>
      <c r="G795" t="s">
        <v>639</v>
      </c>
      <c r="H795">
        <v>44</v>
      </c>
      <c r="I795" t="s">
        <v>640</v>
      </c>
      <c r="J795">
        <v>10820</v>
      </c>
      <c r="K795" t="s">
        <v>4494</v>
      </c>
      <c r="L795" t="s">
        <v>266</v>
      </c>
      <c r="M795" t="s">
        <v>4162</v>
      </c>
      <c r="N795" t="s">
        <v>2858</v>
      </c>
      <c r="O795" t="s">
        <v>2859</v>
      </c>
      <c r="R795">
        <f>1</f>
        <v>1</v>
      </c>
      <c r="S795">
        <f>18.7</f>
        <v>18.7</v>
      </c>
      <c r="T795">
        <f>7.5</f>
        <v>7.5</v>
      </c>
      <c r="U795">
        <f>326</f>
        <v>326</v>
      </c>
      <c r="V795" t="s">
        <v>258</v>
      </c>
      <c r="X795">
        <f>0</f>
        <v>0</v>
      </c>
      <c r="Y795" t="s">
        <v>180</v>
      </c>
      <c r="Z795">
        <f>0</f>
        <v>0</v>
      </c>
      <c r="AA795" t="s">
        <v>179</v>
      </c>
      <c r="AB795" t="s">
        <v>179</v>
      </c>
      <c r="AC795">
        <f>0</f>
        <v>0</v>
      </c>
      <c r="AD795">
        <f>0</f>
        <v>0</v>
      </c>
      <c r="AE795">
        <f>0</f>
        <v>0</v>
      </c>
      <c r="AG795" t="s">
        <v>180</v>
      </c>
    </row>
    <row r="796" spans="1:157" x14ac:dyDescent="0.25">
      <c r="A796" t="s">
        <v>2860</v>
      </c>
      <c r="B796" t="s">
        <v>170</v>
      </c>
      <c r="C796" s="1">
        <v>46120</v>
      </c>
      <c r="D796" t="s">
        <v>302</v>
      </c>
      <c r="E796" t="s">
        <v>303</v>
      </c>
      <c r="F796" t="s">
        <v>3645</v>
      </c>
      <c r="G796" t="s">
        <v>3769</v>
      </c>
      <c r="H796">
        <v>798</v>
      </c>
      <c r="I796" t="s">
        <v>2345</v>
      </c>
      <c r="J796">
        <v>18000</v>
      </c>
      <c r="K796" t="s">
        <v>4494</v>
      </c>
      <c r="L796" t="s">
        <v>2346</v>
      </c>
      <c r="M796" t="s">
        <v>4915</v>
      </c>
      <c r="N796" t="s">
        <v>4916</v>
      </c>
      <c r="O796" t="s">
        <v>2861</v>
      </c>
      <c r="R796">
        <f>1</f>
        <v>1</v>
      </c>
      <c r="S796">
        <f>10.1</f>
        <v>10.1</v>
      </c>
      <c r="T796">
        <f>7.8</f>
        <v>7.8</v>
      </c>
      <c r="U796">
        <f>510</f>
        <v>510</v>
      </c>
      <c r="X796">
        <f>0</f>
        <v>0</v>
      </c>
      <c r="Y796" t="s">
        <v>180</v>
      </c>
      <c r="Z796">
        <f>0</f>
        <v>0</v>
      </c>
      <c r="AA796" t="s">
        <v>179</v>
      </c>
      <c r="AB796" t="s">
        <v>179</v>
      </c>
      <c r="AC796">
        <f>0</f>
        <v>0</v>
      </c>
      <c r="AD796">
        <f>0</f>
        <v>0</v>
      </c>
      <c r="AE796">
        <f>0</f>
        <v>0</v>
      </c>
      <c r="AG796" t="s">
        <v>180</v>
      </c>
      <c r="BQ796" t="s">
        <v>646</v>
      </c>
    </row>
    <row r="797" spans="1:157" x14ac:dyDescent="0.25">
      <c r="A797" t="s">
        <v>2862</v>
      </c>
      <c r="B797" t="s">
        <v>170</v>
      </c>
      <c r="C797" s="1">
        <v>46084</v>
      </c>
      <c r="D797" t="s">
        <v>302</v>
      </c>
      <c r="E797" t="s">
        <v>303</v>
      </c>
      <c r="F797" t="s">
        <v>304</v>
      </c>
      <c r="G797" t="s">
        <v>305</v>
      </c>
      <c r="H797">
        <v>1588</v>
      </c>
      <c r="I797" t="s">
        <v>4871</v>
      </c>
      <c r="J797">
        <v>12100</v>
      </c>
      <c r="K797" t="s">
        <v>4492</v>
      </c>
      <c r="M797" t="s">
        <v>4163</v>
      </c>
      <c r="N797" t="s">
        <v>2863</v>
      </c>
      <c r="O797" t="s">
        <v>2864</v>
      </c>
      <c r="R797">
        <f>1</f>
        <v>1</v>
      </c>
      <c r="S797">
        <f>12.1</f>
        <v>12.1</v>
      </c>
      <c r="T797">
        <f>7.6</f>
        <v>7.6</v>
      </c>
      <c r="U797">
        <f>498</f>
        <v>498</v>
      </c>
      <c r="X797">
        <f>0</f>
        <v>0</v>
      </c>
      <c r="Y797" t="s">
        <v>180</v>
      </c>
      <c r="Z797">
        <f>0</f>
        <v>0</v>
      </c>
      <c r="AA797" t="s">
        <v>179</v>
      </c>
      <c r="AB797" t="s">
        <v>179</v>
      </c>
      <c r="AD797">
        <f>0</f>
        <v>0</v>
      </c>
      <c r="AE797">
        <f>0</f>
        <v>0</v>
      </c>
      <c r="AG797" t="s">
        <v>180</v>
      </c>
    </row>
    <row r="798" spans="1:157" x14ac:dyDescent="0.25">
      <c r="A798" t="s">
        <v>2865</v>
      </c>
      <c r="B798" t="s">
        <v>170</v>
      </c>
      <c r="C798" s="1">
        <v>46094</v>
      </c>
      <c r="D798" t="s">
        <v>184</v>
      </c>
      <c r="E798" t="s">
        <v>185</v>
      </c>
      <c r="F798" t="s">
        <v>384</v>
      </c>
      <c r="G798" t="s">
        <v>385</v>
      </c>
      <c r="H798">
        <v>1701</v>
      </c>
      <c r="I798" t="s">
        <v>4238</v>
      </c>
      <c r="J798">
        <v>138695</v>
      </c>
      <c r="K798" t="s">
        <v>4492</v>
      </c>
      <c r="L798" t="s">
        <v>271</v>
      </c>
      <c r="M798" t="s">
        <v>2866</v>
      </c>
      <c r="N798" t="s">
        <v>2867</v>
      </c>
      <c r="O798" t="s">
        <v>2868</v>
      </c>
      <c r="R798">
        <f>1</f>
        <v>1</v>
      </c>
      <c r="S798">
        <f>13.4</f>
        <v>13.4</v>
      </c>
      <c r="T798">
        <f>7.4</f>
        <v>7.4</v>
      </c>
      <c r="U798">
        <f>432</f>
        <v>432</v>
      </c>
      <c r="X798">
        <f>0</f>
        <v>0</v>
      </c>
      <c r="Y798" t="s">
        <v>180</v>
      </c>
      <c r="Z798">
        <f>0</f>
        <v>0</v>
      </c>
      <c r="AA798" t="s">
        <v>179</v>
      </c>
      <c r="AB798" t="s">
        <v>179</v>
      </c>
      <c r="AD798">
        <f>0</f>
        <v>0</v>
      </c>
      <c r="AE798">
        <f>0</f>
        <v>0</v>
      </c>
      <c r="AG798" t="s">
        <v>180</v>
      </c>
    </row>
    <row r="799" spans="1:157" x14ac:dyDescent="0.25">
      <c r="A799" t="s">
        <v>2869</v>
      </c>
      <c r="B799" t="s">
        <v>170</v>
      </c>
      <c r="C799" s="1">
        <v>46127</v>
      </c>
      <c r="D799" t="s">
        <v>184</v>
      </c>
      <c r="E799" t="s">
        <v>185</v>
      </c>
      <c r="F799" t="s">
        <v>384</v>
      </c>
      <c r="G799" t="s">
        <v>385</v>
      </c>
      <c r="H799">
        <v>1701</v>
      </c>
      <c r="I799" t="s">
        <v>4238</v>
      </c>
      <c r="J799">
        <v>138695</v>
      </c>
      <c r="K799" t="s">
        <v>4492</v>
      </c>
      <c r="L799" t="s">
        <v>271</v>
      </c>
      <c r="M799" t="s">
        <v>4519</v>
      </c>
      <c r="N799" t="s">
        <v>3290</v>
      </c>
      <c r="O799" t="s">
        <v>389</v>
      </c>
      <c r="R799">
        <f>1</f>
        <v>1</v>
      </c>
      <c r="S799">
        <f>14.8</f>
        <v>14.8</v>
      </c>
      <c r="T799">
        <f>7.3</f>
        <v>7.3</v>
      </c>
      <c r="U799">
        <f>429</f>
        <v>429</v>
      </c>
      <c r="X799">
        <f>0</f>
        <v>0</v>
      </c>
      <c r="Y799" t="s">
        <v>180</v>
      </c>
      <c r="Z799">
        <f>0</f>
        <v>0</v>
      </c>
      <c r="AA799" t="s">
        <v>179</v>
      </c>
      <c r="AB799" t="s">
        <v>179</v>
      </c>
      <c r="AD799">
        <f>0</f>
        <v>0</v>
      </c>
      <c r="AE799">
        <f>0</f>
        <v>0</v>
      </c>
      <c r="AG799" t="s">
        <v>180</v>
      </c>
    </row>
    <row r="800" spans="1:157" x14ac:dyDescent="0.25">
      <c r="A800" t="s">
        <v>2870</v>
      </c>
      <c r="B800" t="s">
        <v>170</v>
      </c>
      <c r="C800" s="1">
        <v>46133</v>
      </c>
      <c r="D800" t="s">
        <v>171</v>
      </c>
      <c r="E800" t="s">
        <v>172</v>
      </c>
      <c r="F800" t="s">
        <v>2750</v>
      </c>
      <c r="G800" t="s">
        <v>2751</v>
      </c>
      <c r="H800">
        <v>1825</v>
      </c>
      <c r="I800" t="s">
        <v>4443</v>
      </c>
      <c r="J800">
        <v>10500</v>
      </c>
      <c r="K800" t="s">
        <v>4492</v>
      </c>
      <c r="M800" t="s">
        <v>4917</v>
      </c>
      <c r="N800" t="s">
        <v>3448</v>
      </c>
      <c r="O800" t="s">
        <v>2871</v>
      </c>
      <c r="Q800" t="s">
        <v>3540</v>
      </c>
      <c r="R800">
        <f>1</f>
        <v>1</v>
      </c>
      <c r="S800">
        <f>15.6</f>
        <v>15.6</v>
      </c>
      <c r="T800">
        <f>7</f>
        <v>7</v>
      </c>
      <c r="U800">
        <f>414</f>
        <v>414</v>
      </c>
      <c r="X800">
        <f>0</f>
        <v>0</v>
      </c>
      <c r="Y800">
        <f>0.1</f>
        <v>0.1</v>
      </c>
      <c r="Z800">
        <f>0</f>
        <v>0</v>
      </c>
      <c r="AA800" t="s">
        <v>179</v>
      </c>
      <c r="AB800" t="s">
        <v>179</v>
      </c>
      <c r="AD800">
        <f>0</f>
        <v>0</v>
      </c>
      <c r="AE800">
        <f>0</f>
        <v>0</v>
      </c>
      <c r="AG800" t="s">
        <v>180</v>
      </c>
    </row>
    <row r="801" spans="1:82" x14ac:dyDescent="0.25">
      <c r="A801" t="s">
        <v>2872</v>
      </c>
      <c r="B801" t="s">
        <v>170</v>
      </c>
      <c r="C801" s="1">
        <v>46083</v>
      </c>
      <c r="D801" t="s">
        <v>184</v>
      </c>
      <c r="E801" t="s">
        <v>185</v>
      </c>
      <c r="F801" t="s">
        <v>384</v>
      </c>
      <c r="G801" t="s">
        <v>385</v>
      </c>
      <c r="H801">
        <v>1703</v>
      </c>
      <c r="I801" t="s">
        <v>3872</v>
      </c>
      <c r="J801">
        <v>19041</v>
      </c>
      <c r="K801" t="s">
        <v>4492</v>
      </c>
      <c r="L801" t="s">
        <v>3282</v>
      </c>
      <c r="M801" t="s">
        <v>2873</v>
      </c>
      <c r="N801" t="s">
        <v>3784</v>
      </c>
      <c r="O801" t="s">
        <v>2874</v>
      </c>
      <c r="R801">
        <f>1</f>
        <v>1</v>
      </c>
      <c r="S801">
        <f>9.9</f>
        <v>9.9</v>
      </c>
      <c r="T801">
        <f>7.3</f>
        <v>7.3</v>
      </c>
      <c r="U801">
        <f>664</f>
        <v>664</v>
      </c>
      <c r="X801">
        <f>0</f>
        <v>0</v>
      </c>
      <c r="Y801" t="s">
        <v>180</v>
      </c>
      <c r="Z801">
        <f>0</f>
        <v>0</v>
      </c>
      <c r="AA801" t="s">
        <v>179</v>
      </c>
      <c r="AB801" t="s">
        <v>179</v>
      </c>
      <c r="AD801">
        <f>0</f>
        <v>0</v>
      </c>
      <c r="AE801">
        <f>0</f>
        <v>0</v>
      </c>
      <c r="AG801" t="s">
        <v>180</v>
      </c>
    </row>
    <row r="802" spans="1:82" x14ac:dyDescent="0.25">
      <c r="A802" t="s">
        <v>2875</v>
      </c>
      <c r="B802" t="s">
        <v>170</v>
      </c>
      <c r="C802" s="1">
        <v>46091</v>
      </c>
      <c r="D802" t="s">
        <v>222</v>
      </c>
      <c r="E802" t="s">
        <v>223</v>
      </c>
      <c r="F802" t="s">
        <v>224</v>
      </c>
      <c r="G802" t="s">
        <v>3825</v>
      </c>
      <c r="H802">
        <v>212</v>
      </c>
      <c r="I802" t="s">
        <v>230</v>
      </c>
      <c r="J802">
        <v>21265</v>
      </c>
      <c r="K802" t="s">
        <v>4494</v>
      </c>
      <c r="L802" t="s">
        <v>231</v>
      </c>
      <c r="M802" t="s">
        <v>4918</v>
      </c>
      <c r="N802" t="s">
        <v>4919</v>
      </c>
      <c r="O802" t="s">
        <v>2876</v>
      </c>
      <c r="R802">
        <f>1</f>
        <v>1</v>
      </c>
      <c r="S802">
        <f>9.6</f>
        <v>9.6</v>
      </c>
      <c r="T802">
        <f>7.8</f>
        <v>7.8</v>
      </c>
      <c r="U802">
        <f>203</f>
        <v>203</v>
      </c>
      <c r="X802">
        <f>1</f>
        <v>1</v>
      </c>
      <c r="Y802" t="s">
        <v>180</v>
      </c>
      <c r="Z802">
        <f>0</f>
        <v>0</v>
      </c>
      <c r="AA802" t="s">
        <v>179</v>
      </c>
      <c r="AB802" t="s">
        <v>179</v>
      </c>
      <c r="AC802">
        <f>0</f>
        <v>0</v>
      </c>
      <c r="AD802">
        <f>0</f>
        <v>0</v>
      </c>
      <c r="AE802">
        <f>0</f>
        <v>0</v>
      </c>
      <c r="AG802" t="s">
        <v>180</v>
      </c>
      <c r="AH802" t="s">
        <v>193</v>
      </c>
      <c r="AK802" t="s">
        <v>181</v>
      </c>
      <c r="AL802" t="s">
        <v>182</v>
      </c>
      <c r="AM802">
        <f>3.1</f>
        <v>3.1</v>
      </c>
      <c r="AN802">
        <f>0.06</f>
        <v>0.06</v>
      </c>
      <c r="AO802">
        <f>5</f>
        <v>5</v>
      </c>
      <c r="AP802">
        <f>1.1</f>
        <v>1.1000000000000001</v>
      </c>
      <c r="AQ802" t="s">
        <v>180</v>
      </c>
    </row>
    <row r="803" spans="1:82" x14ac:dyDescent="0.25">
      <c r="A803" t="s">
        <v>2877</v>
      </c>
      <c r="B803" t="s">
        <v>170</v>
      </c>
      <c r="C803" s="1">
        <v>46079</v>
      </c>
      <c r="D803" t="s">
        <v>251</v>
      </c>
      <c r="E803" t="s">
        <v>252</v>
      </c>
      <c r="F803" t="s">
        <v>361</v>
      </c>
      <c r="G803" t="s">
        <v>362</v>
      </c>
      <c r="H803">
        <v>821</v>
      </c>
      <c r="I803" t="s">
        <v>363</v>
      </c>
      <c r="J803">
        <v>9564</v>
      </c>
      <c r="K803" t="s">
        <v>4492</v>
      </c>
      <c r="L803" t="s">
        <v>271</v>
      </c>
      <c r="M803" t="s">
        <v>2878</v>
      </c>
      <c r="N803" t="s">
        <v>4920</v>
      </c>
      <c r="O803" t="s">
        <v>2879</v>
      </c>
      <c r="Q803" t="s">
        <v>3472</v>
      </c>
      <c r="R803">
        <f>1</f>
        <v>1</v>
      </c>
      <c r="S803">
        <f>9.5</f>
        <v>9.5</v>
      </c>
      <c r="T803">
        <f>7.9</f>
        <v>7.9</v>
      </c>
      <c r="U803">
        <f>243</f>
        <v>243</v>
      </c>
      <c r="X803">
        <f>0</f>
        <v>0</v>
      </c>
      <c r="Y803" t="s">
        <v>180</v>
      </c>
      <c r="Z803">
        <f>0</f>
        <v>0</v>
      </c>
      <c r="AA803">
        <f>0</f>
        <v>0</v>
      </c>
      <c r="AB803">
        <f>0</f>
        <v>0</v>
      </c>
      <c r="AD803">
        <f>0</f>
        <v>0</v>
      </c>
      <c r="AE803">
        <f>0</f>
        <v>0</v>
      </c>
      <c r="AG803" t="s">
        <v>180</v>
      </c>
      <c r="AH803" t="s">
        <v>284</v>
      </c>
      <c r="AK803" t="s">
        <v>285</v>
      </c>
      <c r="AL803" t="s">
        <v>286</v>
      </c>
      <c r="AM803">
        <f>2.3</f>
        <v>2.2999999999999998</v>
      </c>
      <c r="AN803">
        <f>0.046</f>
        <v>4.5999999999999999E-2</v>
      </c>
      <c r="AO803">
        <f>1.6</f>
        <v>1.6</v>
      </c>
      <c r="AP803">
        <f>1.8</f>
        <v>1.8</v>
      </c>
      <c r="AQ803" t="s">
        <v>284</v>
      </c>
    </row>
    <row r="804" spans="1:82" x14ac:dyDescent="0.25">
      <c r="A804" t="s">
        <v>2880</v>
      </c>
      <c r="B804" t="s">
        <v>170</v>
      </c>
      <c r="C804" s="1">
        <v>46091</v>
      </c>
      <c r="D804" t="s">
        <v>238</v>
      </c>
      <c r="E804" t="s">
        <v>260</v>
      </c>
      <c r="F804" t="s">
        <v>261</v>
      </c>
      <c r="G804" t="s">
        <v>3828</v>
      </c>
      <c r="H804">
        <v>145</v>
      </c>
      <c r="I804" t="s">
        <v>3828</v>
      </c>
      <c r="J804">
        <v>14228</v>
      </c>
      <c r="K804" t="s">
        <v>4492</v>
      </c>
      <c r="L804" t="s">
        <v>262</v>
      </c>
      <c r="M804" t="s">
        <v>4501</v>
      </c>
      <c r="N804" t="s">
        <v>4502</v>
      </c>
      <c r="O804" t="s">
        <v>263</v>
      </c>
      <c r="R804">
        <f>1</f>
        <v>1</v>
      </c>
      <c r="S804">
        <f>14.3</f>
        <v>14.3</v>
      </c>
      <c r="T804">
        <f>7.4</f>
        <v>7.4</v>
      </c>
      <c r="U804">
        <f>393</f>
        <v>393</v>
      </c>
      <c r="V804">
        <f>0.09</f>
        <v>0.09</v>
      </c>
      <c r="X804">
        <f>0</f>
        <v>0</v>
      </c>
      <c r="Y804">
        <f>0.06</f>
        <v>0.06</v>
      </c>
      <c r="Z804">
        <f>0</f>
        <v>0</v>
      </c>
      <c r="AA804" t="s">
        <v>179</v>
      </c>
      <c r="AB804" t="s">
        <v>179</v>
      </c>
      <c r="AD804">
        <f>0</f>
        <v>0</v>
      </c>
      <c r="AE804">
        <f>0</f>
        <v>0</v>
      </c>
      <c r="AG804" t="s">
        <v>220</v>
      </c>
      <c r="AH804">
        <f>0.38</f>
        <v>0.38</v>
      </c>
      <c r="AK804" t="s">
        <v>286</v>
      </c>
      <c r="AL804" t="s">
        <v>556</v>
      </c>
      <c r="AM804">
        <f>3.4</f>
        <v>3.4</v>
      </c>
      <c r="AN804">
        <f>0.068</f>
        <v>6.8000000000000005E-2</v>
      </c>
      <c r="AO804">
        <f>11</f>
        <v>11</v>
      </c>
      <c r="AP804">
        <f>6</f>
        <v>6</v>
      </c>
      <c r="AQ804">
        <f>0.1</f>
        <v>0.1</v>
      </c>
    </row>
    <row r="805" spans="1:82" x14ac:dyDescent="0.25">
      <c r="A805" t="s">
        <v>2881</v>
      </c>
      <c r="B805" t="s">
        <v>170</v>
      </c>
      <c r="C805" s="1">
        <v>46127</v>
      </c>
      <c r="D805" t="s">
        <v>251</v>
      </c>
      <c r="E805" t="s">
        <v>252</v>
      </c>
      <c r="F805" t="s">
        <v>265</v>
      </c>
      <c r="G805" t="s">
        <v>3829</v>
      </c>
      <c r="H805">
        <v>889</v>
      </c>
      <c r="I805" t="s">
        <v>3830</v>
      </c>
      <c r="J805">
        <v>10779</v>
      </c>
      <c r="K805" t="s">
        <v>4494</v>
      </c>
      <c r="L805" t="s">
        <v>266</v>
      </c>
      <c r="M805" t="s">
        <v>4503</v>
      </c>
      <c r="N805" t="s">
        <v>3684</v>
      </c>
      <c r="O805" t="s">
        <v>267</v>
      </c>
      <c r="Q805" t="s">
        <v>257</v>
      </c>
      <c r="R805">
        <f>1</f>
        <v>1</v>
      </c>
      <c r="S805">
        <f>10</f>
        <v>10</v>
      </c>
      <c r="T805">
        <f>8.1</f>
        <v>8.1</v>
      </c>
      <c r="U805">
        <f>167</f>
        <v>167</v>
      </c>
      <c r="V805">
        <f>0.1</f>
        <v>0.1</v>
      </c>
      <c r="X805">
        <f>0</f>
        <v>0</v>
      </c>
      <c r="Y805" t="s">
        <v>180</v>
      </c>
      <c r="Z805">
        <f>0</f>
        <v>0</v>
      </c>
      <c r="AA805">
        <f>0</f>
        <v>0</v>
      </c>
      <c r="AB805">
        <f>0</f>
        <v>0</v>
      </c>
      <c r="AC805">
        <f>0</f>
        <v>0</v>
      </c>
      <c r="AD805">
        <f>0</f>
        <v>0</v>
      </c>
      <c r="AE805">
        <f>0</f>
        <v>0</v>
      </c>
      <c r="AG805" t="s">
        <v>180</v>
      </c>
      <c r="AH805" t="s">
        <v>284</v>
      </c>
      <c r="AK805" t="s">
        <v>285</v>
      </c>
      <c r="AL805" t="s">
        <v>286</v>
      </c>
      <c r="AM805">
        <f>2.2</f>
        <v>2.2000000000000002</v>
      </c>
      <c r="AN805">
        <f>0.044</f>
        <v>4.3999999999999997E-2</v>
      </c>
      <c r="AO805">
        <f>2.5</f>
        <v>2.5</v>
      </c>
      <c r="AP805" t="s">
        <v>284</v>
      </c>
      <c r="AQ805" t="s">
        <v>284</v>
      </c>
    </row>
    <row r="806" spans="1:82" x14ac:dyDescent="0.25">
      <c r="A806" t="s">
        <v>2882</v>
      </c>
      <c r="B806" t="s">
        <v>170</v>
      </c>
      <c r="C806" s="1">
        <v>46087</v>
      </c>
      <c r="D806" t="s">
        <v>251</v>
      </c>
      <c r="E806" t="s">
        <v>252</v>
      </c>
      <c r="F806" t="s">
        <v>280</v>
      </c>
      <c r="G806" t="s">
        <v>643</v>
      </c>
      <c r="H806">
        <v>339</v>
      </c>
      <c r="I806" t="s">
        <v>643</v>
      </c>
      <c r="J806">
        <v>6803</v>
      </c>
      <c r="K806" t="s">
        <v>4494</v>
      </c>
      <c r="L806" t="s">
        <v>619</v>
      </c>
      <c r="M806" t="s">
        <v>4921</v>
      </c>
      <c r="N806" t="s">
        <v>4922</v>
      </c>
      <c r="O806" t="s">
        <v>2883</v>
      </c>
      <c r="Q806" t="s">
        <v>257</v>
      </c>
      <c r="R806">
        <f>1</f>
        <v>1</v>
      </c>
      <c r="S806">
        <f>9.1</f>
        <v>9.1</v>
      </c>
      <c r="T806">
        <f>7.9</f>
        <v>7.9</v>
      </c>
      <c r="U806">
        <f>274</f>
        <v>274</v>
      </c>
      <c r="V806" t="s">
        <v>258</v>
      </c>
      <c r="X806">
        <f>0</f>
        <v>0</v>
      </c>
      <c r="Y806">
        <f>0.13</f>
        <v>0.13</v>
      </c>
      <c r="Z806">
        <f>0</f>
        <v>0</v>
      </c>
      <c r="AA806">
        <f>0</f>
        <v>0</v>
      </c>
      <c r="AB806">
        <f>0</f>
        <v>0</v>
      </c>
      <c r="AC806">
        <f>0</f>
        <v>0</v>
      </c>
      <c r="AD806">
        <f>0</f>
        <v>0</v>
      </c>
      <c r="AE806">
        <f>0</f>
        <v>0</v>
      </c>
      <c r="AG806" t="s">
        <v>180</v>
      </c>
    </row>
    <row r="807" spans="1:82" x14ac:dyDescent="0.25">
      <c r="A807" t="s">
        <v>2884</v>
      </c>
      <c r="B807" t="s">
        <v>170</v>
      </c>
      <c r="C807" s="1">
        <v>46107</v>
      </c>
      <c r="D807" t="s">
        <v>184</v>
      </c>
      <c r="E807" t="s">
        <v>185</v>
      </c>
      <c r="F807" t="s">
        <v>384</v>
      </c>
      <c r="G807" t="s">
        <v>385</v>
      </c>
      <c r="H807">
        <v>1701</v>
      </c>
      <c r="I807" t="s">
        <v>4238</v>
      </c>
      <c r="J807">
        <v>138695</v>
      </c>
      <c r="K807" t="s">
        <v>4492</v>
      </c>
      <c r="L807" t="s">
        <v>271</v>
      </c>
      <c r="M807" t="s">
        <v>2568</v>
      </c>
      <c r="N807" t="s">
        <v>2569</v>
      </c>
      <c r="O807" t="s">
        <v>2570</v>
      </c>
      <c r="R807">
        <f>1</f>
        <v>1</v>
      </c>
      <c r="S807">
        <f>14.1</f>
        <v>14.1</v>
      </c>
      <c r="T807">
        <f>7.5</f>
        <v>7.5</v>
      </c>
      <c r="U807">
        <f>455</f>
        <v>455</v>
      </c>
      <c r="X807">
        <f>0</f>
        <v>0</v>
      </c>
      <c r="Y807" t="s">
        <v>180</v>
      </c>
      <c r="Z807">
        <f>0</f>
        <v>0</v>
      </c>
      <c r="AA807" t="s">
        <v>179</v>
      </c>
      <c r="AB807" t="s">
        <v>179</v>
      </c>
      <c r="AD807">
        <f>0</f>
        <v>0</v>
      </c>
      <c r="AE807">
        <f>0</f>
        <v>0</v>
      </c>
      <c r="AG807" t="s">
        <v>180</v>
      </c>
      <c r="AH807" t="s">
        <v>193</v>
      </c>
      <c r="AK807" t="s">
        <v>181</v>
      </c>
      <c r="AL807" t="s">
        <v>182</v>
      </c>
      <c r="AM807">
        <f>14</f>
        <v>14</v>
      </c>
      <c r="AN807">
        <f>0.28</f>
        <v>0.28000000000000003</v>
      </c>
      <c r="AO807">
        <f>9.7</f>
        <v>9.6999999999999993</v>
      </c>
      <c r="AP807">
        <f>7.6</f>
        <v>7.6</v>
      </c>
      <c r="AQ807" t="s">
        <v>180</v>
      </c>
    </row>
    <row r="808" spans="1:82" x14ac:dyDescent="0.25">
      <c r="A808" t="s">
        <v>2885</v>
      </c>
      <c r="B808" t="s">
        <v>170</v>
      </c>
      <c r="C808" s="1">
        <v>46112</v>
      </c>
      <c r="D808" t="s">
        <v>216</v>
      </c>
      <c r="E808" t="s">
        <v>217</v>
      </c>
      <c r="F808" t="s">
        <v>408</v>
      </c>
      <c r="G808" t="s">
        <v>413</v>
      </c>
      <c r="H808">
        <v>243</v>
      </c>
      <c r="I808" t="s">
        <v>2886</v>
      </c>
      <c r="J808">
        <v>5553</v>
      </c>
      <c r="K808" t="s">
        <v>4494</v>
      </c>
      <c r="L808" t="s">
        <v>3657</v>
      </c>
      <c r="M808" t="s">
        <v>2887</v>
      </c>
      <c r="N808" t="s">
        <v>2888</v>
      </c>
      <c r="Q808" t="s">
        <v>3468</v>
      </c>
      <c r="R808">
        <f>1</f>
        <v>1</v>
      </c>
      <c r="S808">
        <f>12.8</f>
        <v>12.8</v>
      </c>
      <c r="T808">
        <f>8.2</f>
        <v>8.1999999999999993</v>
      </c>
      <c r="U808">
        <f>234</f>
        <v>234</v>
      </c>
      <c r="X808">
        <f>1</f>
        <v>1</v>
      </c>
      <c r="Y808">
        <f>0.19</f>
        <v>0.19</v>
      </c>
      <c r="Z808">
        <f>0</f>
        <v>0</v>
      </c>
      <c r="AA808">
        <f>0</f>
        <v>0</v>
      </c>
      <c r="AB808">
        <f>0</f>
        <v>0</v>
      </c>
      <c r="AC808">
        <f>0</f>
        <v>0</v>
      </c>
      <c r="AD808">
        <f>0</f>
        <v>0</v>
      </c>
      <c r="AE808">
        <f>0</f>
        <v>0</v>
      </c>
      <c r="AG808" t="s">
        <v>220</v>
      </c>
      <c r="BQ808" t="s">
        <v>300</v>
      </c>
    </row>
    <row r="809" spans="1:82" x14ac:dyDescent="0.25">
      <c r="A809" t="s">
        <v>2889</v>
      </c>
      <c r="B809" t="s">
        <v>170</v>
      </c>
      <c r="C809" s="1">
        <v>46091</v>
      </c>
      <c r="D809" t="s">
        <v>184</v>
      </c>
      <c r="E809" t="s">
        <v>185</v>
      </c>
      <c r="F809" t="s">
        <v>384</v>
      </c>
      <c r="G809" t="s">
        <v>4430</v>
      </c>
      <c r="H809">
        <v>12</v>
      </c>
      <c r="I809" t="s">
        <v>4430</v>
      </c>
      <c r="J809">
        <v>7170</v>
      </c>
      <c r="K809" t="s">
        <v>4494</v>
      </c>
      <c r="L809" t="s">
        <v>3656</v>
      </c>
      <c r="M809" t="s">
        <v>4164</v>
      </c>
      <c r="N809" t="s">
        <v>2890</v>
      </c>
      <c r="O809" t="s">
        <v>2891</v>
      </c>
      <c r="R809">
        <f>1</f>
        <v>1</v>
      </c>
      <c r="S809">
        <f>16.2</f>
        <v>16.2</v>
      </c>
      <c r="T809">
        <f>7.4</f>
        <v>7.4</v>
      </c>
      <c r="U809">
        <f>200</f>
        <v>200</v>
      </c>
      <c r="V809">
        <f>0.09</f>
        <v>0.09</v>
      </c>
      <c r="X809">
        <f>0</f>
        <v>0</v>
      </c>
      <c r="Y809" t="s">
        <v>180</v>
      </c>
      <c r="Z809">
        <f>0</f>
        <v>0</v>
      </c>
      <c r="AA809" t="s">
        <v>179</v>
      </c>
      <c r="AB809" t="s">
        <v>179</v>
      </c>
      <c r="AC809">
        <f>0</f>
        <v>0</v>
      </c>
      <c r="AD809">
        <f>0</f>
        <v>0</v>
      </c>
      <c r="AE809">
        <f>0</f>
        <v>0</v>
      </c>
      <c r="AG809" t="s">
        <v>180</v>
      </c>
    </row>
    <row r="810" spans="1:82" x14ac:dyDescent="0.25">
      <c r="A810" t="s">
        <v>2892</v>
      </c>
      <c r="B810" t="s">
        <v>170</v>
      </c>
      <c r="C810" s="1">
        <v>46078</v>
      </c>
      <c r="D810" t="s">
        <v>184</v>
      </c>
      <c r="E810" t="s">
        <v>185</v>
      </c>
      <c r="F810" t="s">
        <v>419</v>
      </c>
      <c r="G810" t="s">
        <v>2893</v>
      </c>
      <c r="H810">
        <v>711</v>
      </c>
      <c r="I810" t="s">
        <v>2893</v>
      </c>
      <c r="J810">
        <v>3705</v>
      </c>
      <c r="K810" t="s">
        <v>4492</v>
      </c>
      <c r="L810" t="s">
        <v>176</v>
      </c>
      <c r="M810" t="s">
        <v>4165</v>
      </c>
      <c r="N810" t="s">
        <v>2894</v>
      </c>
      <c r="O810" t="s">
        <v>2895</v>
      </c>
      <c r="R810">
        <f>1</f>
        <v>1</v>
      </c>
      <c r="S810">
        <f>8.5</f>
        <v>8.5</v>
      </c>
      <c r="T810">
        <f>7.7</f>
        <v>7.7</v>
      </c>
      <c r="U810">
        <f>478</f>
        <v>478</v>
      </c>
      <c r="X810">
        <f>0</f>
        <v>0</v>
      </c>
      <c r="Y810" t="s">
        <v>180</v>
      </c>
      <c r="Z810">
        <f>0</f>
        <v>0</v>
      </c>
      <c r="AA810" t="s">
        <v>179</v>
      </c>
      <c r="AB810" t="s">
        <v>179</v>
      </c>
      <c r="AD810">
        <f>0</f>
        <v>0</v>
      </c>
      <c r="AE810">
        <f>0</f>
        <v>0</v>
      </c>
      <c r="AG810" t="s">
        <v>180</v>
      </c>
    </row>
    <row r="811" spans="1:82" x14ac:dyDescent="0.25">
      <c r="A811" t="s">
        <v>2896</v>
      </c>
      <c r="B811" t="s">
        <v>170</v>
      </c>
      <c r="C811" s="1">
        <v>46087</v>
      </c>
      <c r="D811" t="s">
        <v>184</v>
      </c>
      <c r="E811" t="s">
        <v>448</v>
      </c>
      <c r="F811" t="s">
        <v>558</v>
      </c>
      <c r="G811" t="s">
        <v>3785</v>
      </c>
      <c r="H811">
        <v>1082</v>
      </c>
      <c r="I811" t="s">
        <v>3785</v>
      </c>
      <c r="J811">
        <v>3497</v>
      </c>
      <c r="K811" t="s">
        <v>4494</v>
      </c>
      <c r="L811" t="s">
        <v>3658</v>
      </c>
      <c r="M811" t="s">
        <v>4166</v>
      </c>
      <c r="N811" t="s">
        <v>2897</v>
      </c>
      <c r="O811" t="s">
        <v>2898</v>
      </c>
      <c r="R811">
        <f>1</f>
        <v>1</v>
      </c>
      <c r="S811">
        <f>12</f>
        <v>12</v>
      </c>
      <c r="T811">
        <f>7.6</f>
        <v>7.6</v>
      </c>
      <c r="U811">
        <f>407</f>
        <v>407</v>
      </c>
      <c r="W811">
        <f>0.05</f>
        <v>0.05</v>
      </c>
      <c r="X811">
        <f>0</f>
        <v>0</v>
      </c>
      <c r="Y811" t="s">
        <v>180</v>
      </c>
      <c r="Z811">
        <f>0</f>
        <v>0</v>
      </c>
      <c r="AA811" t="s">
        <v>179</v>
      </c>
      <c r="AB811" t="s">
        <v>179</v>
      </c>
      <c r="AC811">
        <f>0</f>
        <v>0</v>
      </c>
      <c r="AD811">
        <f>0</f>
        <v>0</v>
      </c>
      <c r="AE811">
        <f>0</f>
        <v>0</v>
      </c>
      <c r="AG811" t="s">
        <v>180</v>
      </c>
    </row>
    <row r="812" spans="1:82" x14ac:dyDescent="0.25">
      <c r="A812" t="s">
        <v>2899</v>
      </c>
      <c r="B812" t="s">
        <v>170</v>
      </c>
      <c r="C812" s="1">
        <v>46114</v>
      </c>
      <c r="D812" t="s">
        <v>302</v>
      </c>
      <c r="E812" t="s">
        <v>303</v>
      </c>
      <c r="F812" t="s">
        <v>304</v>
      </c>
      <c r="G812" t="s">
        <v>305</v>
      </c>
      <c r="H812">
        <v>1587</v>
      </c>
      <c r="I812" t="s">
        <v>4923</v>
      </c>
      <c r="J812">
        <v>9300</v>
      </c>
      <c r="K812" t="s">
        <v>4492</v>
      </c>
      <c r="M812" t="s">
        <v>4167</v>
      </c>
      <c r="N812" t="s">
        <v>4924</v>
      </c>
      <c r="O812" t="s">
        <v>2900</v>
      </c>
      <c r="R812">
        <f>1</f>
        <v>1</v>
      </c>
      <c r="S812">
        <f>11.3</f>
        <v>11.3</v>
      </c>
      <c r="T812">
        <f>7.5</f>
        <v>7.5</v>
      </c>
      <c r="U812">
        <f>481</f>
        <v>481</v>
      </c>
      <c r="X812">
        <f>0</f>
        <v>0</v>
      </c>
      <c r="Y812" t="s">
        <v>180</v>
      </c>
      <c r="Z812">
        <f>0</f>
        <v>0</v>
      </c>
      <c r="AA812" t="s">
        <v>179</v>
      </c>
      <c r="AB812" t="s">
        <v>179</v>
      </c>
      <c r="AD812">
        <f>0</f>
        <v>0</v>
      </c>
      <c r="AE812">
        <f>0</f>
        <v>0</v>
      </c>
      <c r="AG812" t="s">
        <v>180</v>
      </c>
    </row>
    <row r="813" spans="1:82" x14ac:dyDescent="0.25">
      <c r="A813" t="s">
        <v>2901</v>
      </c>
      <c r="B813" t="s">
        <v>170</v>
      </c>
      <c r="C813" s="1">
        <v>46084</v>
      </c>
      <c r="D813" t="s">
        <v>238</v>
      </c>
      <c r="E813" t="s">
        <v>239</v>
      </c>
      <c r="F813" t="s">
        <v>240</v>
      </c>
      <c r="G813" t="s">
        <v>2588</v>
      </c>
      <c r="H813">
        <v>151</v>
      </c>
      <c r="I813" t="s">
        <v>2588</v>
      </c>
      <c r="J813">
        <v>3340</v>
      </c>
      <c r="K813" t="s">
        <v>4494</v>
      </c>
      <c r="L813" t="s">
        <v>3562</v>
      </c>
      <c r="M813" t="s">
        <v>2589</v>
      </c>
      <c r="N813" t="s">
        <v>2590</v>
      </c>
      <c r="O813" t="s">
        <v>2591</v>
      </c>
      <c r="Q813" t="s">
        <v>3541</v>
      </c>
      <c r="R813">
        <f>1</f>
        <v>1</v>
      </c>
      <c r="S813">
        <f>18.9</f>
        <v>18.899999999999999</v>
      </c>
      <c r="T813">
        <f>7.3</f>
        <v>7.3</v>
      </c>
      <c r="U813">
        <f>433</f>
        <v>433</v>
      </c>
      <c r="X813">
        <f>0</f>
        <v>0</v>
      </c>
      <c r="Y813">
        <f>2.46</f>
        <v>2.46</v>
      </c>
      <c r="Z813">
        <f>0</f>
        <v>0</v>
      </c>
      <c r="AA813" t="s">
        <v>179</v>
      </c>
      <c r="AB813" t="s">
        <v>179</v>
      </c>
      <c r="AC813">
        <f>0</f>
        <v>0</v>
      </c>
      <c r="AD813">
        <f>0</f>
        <v>0</v>
      </c>
      <c r="AE813">
        <f>0</f>
        <v>0</v>
      </c>
      <c r="AG813" t="s">
        <v>220</v>
      </c>
    </row>
    <row r="814" spans="1:82" x14ac:dyDescent="0.25">
      <c r="A814" t="s">
        <v>2902</v>
      </c>
      <c r="B814" t="s">
        <v>170</v>
      </c>
      <c r="C814" s="1">
        <v>46132</v>
      </c>
      <c r="D814" t="s">
        <v>425</v>
      </c>
      <c r="E814" t="s">
        <v>426</v>
      </c>
      <c r="F814" t="s">
        <v>695</v>
      </c>
      <c r="G814" t="s">
        <v>715</v>
      </c>
      <c r="H814">
        <v>818</v>
      </c>
      <c r="I814" t="s">
        <v>715</v>
      </c>
      <c r="J814">
        <v>7500</v>
      </c>
      <c r="K814" t="s">
        <v>4492</v>
      </c>
      <c r="L814" t="s">
        <v>291</v>
      </c>
      <c r="M814" t="s">
        <v>4123</v>
      </c>
      <c r="N814" t="s">
        <v>2613</v>
      </c>
      <c r="O814" t="s">
        <v>2614</v>
      </c>
      <c r="R814">
        <f>1</f>
        <v>1</v>
      </c>
      <c r="S814">
        <f>12.6</f>
        <v>12.6</v>
      </c>
      <c r="T814">
        <f>7.7</f>
        <v>7.7</v>
      </c>
      <c r="U814">
        <f>356</f>
        <v>356</v>
      </c>
      <c r="X814">
        <f>0</f>
        <v>0</v>
      </c>
      <c r="Y814" t="s">
        <v>180</v>
      </c>
      <c r="Z814">
        <f>0</f>
        <v>0</v>
      </c>
      <c r="AA814" t="s">
        <v>179</v>
      </c>
      <c r="AB814" t="s">
        <v>179</v>
      </c>
      <c r="AD814">
        <f>0</f>
        <v>0</v>
      </c>
      <c r="AE814">
        <f>0</f>
        <v>0</v>
      </c>
      <c r="AG814" t="s">
        <v>180</v>
      </c>
    </row>
    <row r="815" spans="1:82" x14ac:dyDescent="0.25">
      <c r="A815" t="s">
        <v>2903</v>
      </c>
      <c r="B815" t="s">
        <v>170</v>
      </c>
      <c r="C815" s="1">
        <v>46098</v>
      </c>
      <c r="D815" t="s">
        <v>238</v>
      </c>
      <c r="E815" t="s">
        <v>239</v>
      </c>
      <c r="F815" t="s">
        <v>473</v>
      </c>
      <c r="G815" t="s">
        <v>2627</v>
      </c>
      <c r="H815">
        <v>143</v>
      </c>
      <c r="I815" t="s">
        <v>2627</v>
      </c>
      <c r="J815">
        <v>2211</v>
      </c>
      <c r="K815" t="s">
        <v>4494</v>
      </c>
      <c r="L815" t="s">
        <v>266</v>
      </c>
      <c r="M815" t="s">
        <v>4878</v>
      </c>
      <c r="N815" t="s">
        <v>2628</v>
      </c>
      <c r="O815" t="s">
        <v>2629</v>
      </c>
      <c r="Q815" t="s">
        <v>3542</v>
      </c>
      <c r="R815">
        <f>1</f>
        <v>1</v>
      </c>
      <c r="S815">
        <f>11.6</f>
        <v>11.6</v>
      </c>
      <c r="T815">
        <f>7.7</f>
        <v>7.7</v>
      </c>
      <c r="U815">
        <f>402</f>
        <v>402</v>
      </c>
      <c r="V815">
        <f>0.21</f>
        <v>0.21</v>
      </c>
      <c r="X815">
        <f>0</f>
        <v>0</v>
      </c>
      <c r="Y815">
        <f>0.06</f>
        <v>0.06</v>
      </c>
      <c r="Z815">
        <f>0</f>
        <v>0</v>
      </c>
      <c r="AA815" t="s">
        <v>179</v>
      </c>
      <c r="AB815" t="s">
        <v>179</v>
      </c>
      <c r="AC815">
        <f>0</f>
        <v>0</v>
      </c>
      <c r="AD815">
        <f>0</f>
        <v>0</v>
      </c>
      <c r="AE815">
        <f>0</f>
        <v>0</v>
      </c>
      <c r="AG815" t="s">
        <v>220</v>
      </c>
    </row>
    <row r="816" spans="1:82" x14ac:dyDescent="0.25">
      <c r="A816" t="s">
        <v>2904</v>
      </c>
      <c r="B816" t="s">
        <v>170</v>
      </c>
      <c r="C816" s="1">
        <v>46097</v>
      </c>
      <c r="D816" t="s">
        <v>216</v>
      </c>
      <c r="E816" t="s">
        <v>217</v>
      </c>
      <c r="F816" t="s">
        <v>3312</v>
      </c>
      <c r="G816" t="s">
        <v>1403</v>
      </c>
      <c r="H816">
        <v>245</v>
      </c>
      <c r="I816" t="s">
        <v>2905</v>
      </c>
      <c r="J816">
        <v>1030</v>
      </c>
      <c r="K816" t="s">
        <v>4494</v>
      </c>
      <c r="L816" t="s">
        <v>3641</v>
      </c>
      <c r="M816" t="s">
        <v>4547</v>
      </c>
      <c r="N816" t="s">
        <v>2906</v>
      </c>
      <c r="O816" t="s">
        <v>2907</v>
      </c>
      <c r="Q816" t="s">
        <v>3468</v>
      </c>
      <c r="R816">
        <f>1</f>
        <v>1</v>
      </c>
      <c r="S816">
        <f>11</f>
        <v>11</v>
      </c>
      <c r="T816">
        <f>8.1</f>
        <v>8.1</v>
      </c>
      <c r="U816">
        <f>229</f>
        <v>229</v>
      </c>
      <c r="V816">
        <f>0.11</f>
        <v>0.11</v>
      </c>
      <c r="X816">
        <f>1</f>
        <v>1</v>
      </c>
      <c r="Y816">
        <f>0.15</f>
        <v>0.15</v>
      </c>
      <c r="Z816">
        <f>0</f>
        <v>0</v>
      </c>
      <c r="AA816">
        <f>0</f>
        <v>0</v>
      </c>
      <c r="AB816">
        <f>0</f>
        <v>0</v>
      </c>
      <c r="AC816">
        <f>0</f>
        <v>0</v>
      </c>
      <c r="AD816">
        <f>0</f>
        <v>0</v>
      </c>
      <c r="AE816">
        <f>0</f>
        <v>0</v>
      </c>
      <c r="AG816" t="s">
        <v>220</v>
      </c>
      <c r="BU816">
        <f>18</f>
        <v>18</v>
      </c>
      <c r="CD816" t="s">
        <v>2425</v>
      </c>
    </row>
    <row r="817" spans="1:33" x14ac:dyDescent="0.25">
      <c r="A817" t="s">
        <v>2908</v>
      </c>
      <c r="B817" t="s">
        <v>170</v>
      </c>
      <c r="C817" s="1">
        <v>46097</v>
      </c>
      <c r="D817" t="s">
        <v>184</v>
      </c>
      <c r="E817" t="s">
        <v>239</v>
      </c>
      <c r="F817" t="s">
        <v>276</v>
      </c>
      <c r="G817" t="s">
        <v>4127</v>
      </c>
      <c r="H817">
        <v>681</v>
      </c>
      <c r="I817" t="s">
        <v>4127</v>
      </c>
      <c r="J817">
        <v>1805</v>
      </c>
      <c r="K817" t="s">
        <v>4494</v>
      </c>
      <c r="L817" t="s">
        <v>277</v>
      </c>
      <c r="M817" t="s">
        <v>4881</v>
      </c>
      <c r="N817" t="s">
        <v>4882</v>
      </c>
      <c r="O817" t="s">
        <v>2638</v>
      </c>
      <c r="R817">
        <f>1</f>
        <v>1</v>
      </c>
      <c r="S817">
        <f>10.6</f>
        <v>10.6</v>
      </c>
      <c r="T817">
        <f>7.7</f>
        <v>7.7</v>
      </c>
      <c r="U817">
        <f>341</f>
        <v>341</v>
      </c>
      <c r="X817">
        <f>0</f>
        <v>0</v>
      </c>
      <c r="Y817">
        <f>0.31</f>
        <v>0.31</v>
      </c>
      <c r="Z817">
        <f>0</f>
        <v>0</v>
      </c>
      <c r="AA817" t="s">
        <v>179</v>
      </c>
      <c r="AB817" t="s">
        <v>179</v>
      </c>
      <c r="AC817">
        <f>0</f>
        <v>0</v>
      </c>
      <c r="AD817">
        <f>0</f>
        <v>0</v>
      </c>
      <c r="AE817">
        <f>0</f>
        <v>0</v>
      </c>
      <c r="AG817" t="s">
        <v>220</v>
      </c>
    </row>
    <row r="818" spans="1:33" x14ac:dyDescent="0.25">
      <c r="A818" t="s">
        <v>2909</v>
      </c>
      <c r="B818" t="s">
        <v>170</v>
      </c>
      <c r="C818" s="1">
        <v>46097</v>
      </c>
      <c r="D818" t="s">
        <v>251</v>
      </c>
      <c r="E818" t="s">
        <v>252</v>
      </c>
      <c r="F818" t="s">
        <v>4280</v>
      </c>
      <c r="G818" t="s">
        <v>3786</v>
      </c>
      <c r="H818">
        <v>1091</v>
      </c>
      <c r="I818" t="s">
        <v>3787</v>
      </c>
      <c r="J818">
        <v>2000</v>
      </c>
      <c r="K818" t="s">
        <v>4492</v>
      </c>
      <c r="L818" t="s">
        <v>369</v>
      </c>
      <c r="M818" t="s">
        <v>4925</v>
      </c>
      <c r="N818" t="s">
        <v>2910</v>
      </c>
      <c r="O818" t="s">
        <v>2911</v>
      </c>
      <c r="Q818" t="s">
        <v>274</v>
      </c>
      <c r="R818">
        <f>1</f>
        <v>1</v>
      </c>
      <c r="S818">
        <f>11.9</f>
        <v>11.9</v>
      </c>
      <c r="T818">
        <f>8</f>
        <v>8</v>
      </c>
      <c r="U818">
        <f>305</f>
        <v>305</v>
      </c>
      <c r="V818">
        <f>0.1</f>
        <v>0.1</v>
      </c>
      <c r="X818">
        <f>0</f>
        <v>0</v>
      </c>
      <c r="Y818">
        <f>0.21</f>
        <v>0.21</v>
      </c>
      <c r="Z818">
        <f>0</f>
        <v>0</v>
      </c>
      <c r="AA818">
        <f>0</f>
        <v>0</v>
      </c>
      <c r="AB818">
        <f>0</f>
        <v>0</v>
      </c>
      <c r="AD818">
        <f>0</f>
        <v>0</v>
      </c>
      <c r="AE818">
        <f>0</f>
        <v>0</v>
      </c>
      <c r="AG818" t="s">
        <v>180</v>
      </c>
    </row>
    <row r="819" spans="1:33" x14ac:dyDescent="0.25">
      <c r="A819" t="s">
        <v>2912</v>
      </c>
      <c r="B819" t="s">
        <v>170</v>
      </c>
      <c r="C819" s="1">
        <v>46093</v>
      </c>
      <c r="D819" t="s">
        <v>222</v>
      </c>
      <c r="E819" t="s">
        <v>223</v>
      </c>
      <c r="F819" t="s">
        <v>4508</v>
      </c>
      <c r="G819" t="s">
        <v>3788</v>
      </c>
      <c r="H819">
        <v>1165</v>
      </c>
      <c r="I819" t="s">
        <v>3788</v>
      </c>
      <c r="J819">
        <v>2660</v>
      </c>
      <c r="K819" t="s">
        <v>4494</v>
      </c>
      <c r="L819" t="s">
        <v>369</v>
      </c>
      <c r="M819" t="s">
        <v>4543</v>
      </c>
      <c r="N819" t="s">
        <v>3449</v>
      </c>
      <c r="R819">
        <f>1</f>
        <v>1</v>
      </c>
      <c r="S819">
        <f>9.4</f>
        <v>9.4</v>
      </c>
      <c r="T819">
        <f>7.9</f>
        <v>7.9</v>
      </c>
      <c r="U819">
        <f>386</f>
        <v>386</v>
      </c>
      <c r="V819">
        <f>0.23</f>
        <v>0.23</v>
      </c>
      <c r="X819">
        <f>0</f>
        <v>0</v>
      </c>
      <c r="Y819">
        <f>0.23</f>
        <v>0.23</v>
      </c>
      <c r="Z819">
        <f>0</f>
        <v>0</v>
      </c>
      <c r="AA819" t="s">
        <v>179</v>
      </c>
      <c r="AB819" t="s">
        <v>179</v>
      </c>
      <c r="AC819">
        <f>0</f>
        <v>0</v>
      </c>
      <c r="AD819">
        <f>0</f>
        <v>0</v>
      </c>
      <c r="AE819">
        <f>0</f>
        <v>0</v>
      </c>
      <c r="AG819" t="s">
        <v>180</v>
      </c>
    </row>
    <row r="820" spans="1:33" x14ac:dyDescent="0.25">
      <c r="A820" t="s">
        <v>2913</v>
      </c>
      <c r="B820" t="s">
        <v>170</v>
      </c>
      <c r="C820" s="1">
        <v>46094</v>
      </c>
      <c r="D820" t="s">
        <v>302</v>
      </c>
      <c r="E820" t="s">
        <v>303</v>
      </c>
      <c r="F820" t="s">
        <v>509</v>
      </c>
      <c r="G820" t="s">
        <v>2914</v>
      </c>
      <c r="H820">
        <v>849</v>
      </c>
      <c r="I820" t="s">
        <v>2915</v>
      </c>
      <c r="J820">
        <v>1984</v>
      </c>
      <c r="K820" t="s">
        <v>4494</v>
      </c>
      <c r="L820" t="s">
        <v>291</v>
      </c>
      <c r="M820" t="s">
        <v>4444</v>
      </c>
      <c r="N820" t="s">
        <v>2916</v>
      </c>
      <c r="O820" t="s">
        <v>2917</v>
      </c>
      <c r="R820">
        <f>1</f>
        <v>1</v>
      </c>
      <c r="S820">
        <f>10.5</f>
        <v>10.5</v>
      </c>
      <c r="T820">
        <f>7.7</f>
        <v>7.7</v>
      </c>
      <c r="U820">
        <f>65</f>
        <v>65</v>
      </c>
      <c r="X820">
        <f>0</f>
        <v>0</v>
      </c>
      <c r="Y820" t="s">
        <v>180</v>
      </c>
      <c r="Z820">
        <f>0</f>
        <v>0</v>
      </c>
      <c r="AA820" t="s">
        <v>179</v>
      </c>
      <c r="AB820" t="s">
        <v>179</v>
      </c>
      <c r="AC820">
        <f>0</f>
        <v>0</v>
      </c>
      <c r="AD820">
        <f>0</f>
        <v>0</v>
      </c>
      <c r="AE820">
        <f>0</f>
        <v>0</v>
      </c>
      <c r="AG820" t="s">
        <v>180</v>
      </c>
    </row>
    <row r="821" spans="1:33" x14ac:dyDescent="0.25">
      <c r="A821" t="s">
        <v>2918</v>
      </c>
      <c r="B821" t="s">
        <v>170</v>
      </c>
      <c r="C821" s="1">
        <v>46090</v>
      </c>
      <c r="D821" t="s">
        <v>302</v>
      </c>
      <c r="E821" t="s">
        <v>303</v>
      </c>
      <c r="F821" t="s">
        <v>310</v>
      </c>
      <c r="G821" t="s">
        <v>311</v>
      </c>
      <c r="H821">
        <v>804</v>
      </c>
      <c r="I821" t="s">
        <v>4134</v>
      </c>
      <c r="J821">
        <v>3329</v>
      </c>
      <c r="K821" t="s">
        <v>4492</v>
      </c>
      <c r="L821" t="s">
        <v>291</v>
      </c>
      <c r="M821" t="s">
        <v>2697</v>
      </c>
      <c r="N821" t="s">
        <v>2698</v>
      </c>
      <c r="O821" t="s">
        <v>2699</v>
      </c>
      <c r="R821">
        <f>1</f>
        <v>1</v>
      </c>
      <c r="S821">
        <f>8.6</f>
        <v>8.6</v>
      </c>
      <c r="T821">
        <f>7.3</f>
        <v>7.3</v>
      </c>
      <c r="U821">
        <f>522</f>
        <v>522</v>
      </c>
      <c r="X821">
        <f>0</f>
        <v>0</v>
      </c>
      <c r="Y821" t="s">
        <v>180</v>
      </c>
      <c r="Z821">
        <f>0</f>
        <v>0</v>
      </c>
      <c r="AA821" t="s">
        <v>179</v>
      </c>
      <c r="AB821" t="s">
        <v>179</v>
      </c>
      <c r="AD821">
        <f>0</f>
        <v>0</v>
      </c>
      <c r="AE821">
        <f>0</f>
        <v>0</v>
      </c>
      <c r="AG821" t="s">
        <v>180</v>
      </c>
    </row>
    <row r="822" spans="1:33" x14ac:dyDescent="0.25">
      <c r="A822" t="s">
        <v>2919</v>
      </c>
      <c r="B822" t="s">
        <v>170</v>
      </c>
      <c r="C822" s="1">
        <v>46097</v>
      </c>
      <c r="D822" t="s">
        <v>216</v>
      </c>
      <c r="E822" t="s">
        <v>217</v>
      </c>
      <c r="F822" t="s">
        <v>368</v>
      </c>
      <c r="G822" t="s">
        <v>2920</v>
      </c>
      <c r="H822">
        <v>1399</v>
      </c>
      <c r="I822" t="s">
        <v>2920</v>
      </c>
      <c r="J822">
        <v>505</v>
      </c>
      <c r="K822" t="s">
        <v>4494</v>
      </c>
      <c r="L822" t="s">
        <v>369</v>
      </c>
      <c r="M822" t="s">
        <v>4168</v>
      </c>
      <c r="N822" t="s">
        <v>2921</v>
      </c>
      <c r="O822" t="s">
        <v>2922</v>
      </c>
      <c r="R822">
        <f>1</f>
        <v>1</v>
      </c>
      <c r="S822">
        <f>12.1</f>
        <v>12.1</v>
      </c>
      <c r="T822">
        <f>8.1</f>
        <v>8.1</v>
      </c>
      <c r="U822">
        <f>262</f>
        <v>262</v>
      </c>
      <c r="V822">
        <f>0.06</f>
        <v>0.06</v>
      </c>
      <c r="X822">
        <f>1</f>
        <v>1</v>
      </c>
      <c r="Y822">
        <f>0.21</f>
        <v>0.21</v>
      </c>
      <c r="Z822">
        <f>0</f>
        <v>0</v>
      </c>
      <c r="AA822">
        <f>0</f>
        <v>0</v>
      </c>
      <c r="AB822">
        <f>0</f>
        <v>0</v>
      </c>
      <c r="AC822">
        <f>0</f>
        <v>0</v>
      </c>
      <c r="AD822">
        <f>0</f>
        <v>0</v>
      </c>
      <c r="AE822">
        <f>0</f>
        <v>0</v>
      </c>
      <c r="AG822" t="s">
        <v>220</v>
      </c>
    </row>
    <row r="823" spans="1:33" x14ac:dyDescent="0.25">
      <c r="A823" t="s">
        <v>2923</v>
      </c>
      <c r="B823" t="s">
        <v>170</v>
      </c>
      <c r="C823" s="1">
        <v>46099</v>
      </c>
      <c r="D823" t="s">
        <v>251</v>
      </c>
      <c r="E823" t="s">
        <v>252</v>
      </c>
      <c r="F823" t="s">
        <v>265</v>
      </c>
      <c r="G823" t="s">
        <v>2924</v>
      </c>
      <c r="H823">
        <v>887</v>
      </c>
      <c r="I823" t="s">
        <v>2924</v>
      </c>
      <c r="J823">
        <v>1168</v>
      </c>
      <c r="K823" t="s">
        <v>4492</v>
      </c>
      <c r="L823" t="s">
        <v>271</v>
      </c>
      <c r="M823" t="s">
        <v>3659</v>
      </c>
      <c r="N823" t="s">
        <v>3789</v>
      </c>
      <c r="O823" t="s">
        <v>2925</v>
      </c>
      <c r="Q823" t="s">
        <v>3472</v>
      </c>
      <c r="R823">
        <f>1</f>
        <v>1</v>
      </c>
      <c r="S823">
        <f>7.8</f>
        <v>7.8</v>
      </c>
      <c r="T823">
        <f>8</f>
        <v>8</v>
      </c>
      <c r="U823">
        <f>199</f>
        <v>199</v>
      </c>
      <c r="X823">
        <f>0</f>
        <v>0</v>
      </c>
      <c r="Y823">
        <f>0.1</f>
        <v>0.1</v>
      </c>
      <c r="Z823">
        <f>0</f>
        <v>0</v>
      </c>
      <c r="AA823">
        <f>0</f>
        <v>0</v>
      </c>
      <c r="AB823">
        <f>0</f>
        <v>0</v>
      </c>
      <c r="AD823">
        <f>0</f>
        <v>0</v>
      </c>
      <c r="AE823">
        <f>0</f>
        <v>0</v>
      </c>
      <c r="AG823" t="s">
        <v>180</v>
      </c>
    </row>
    <row r="824" spans="1:33" x14ac:dyDescent="0.25">
      <c r="A824" t="s">
        <v>2926</v>
      </c>
      <c r="B824" t="s">
        <v>170</v>
      </c>
      <c r="C824" s="1">
        <v>46133</v>
      </c>
      <c r="D824" t="s">
        <v>216</v>
      </c>
      <c r="E824" t="s">
        <v>217</v>
      </c>
      <c r="F824" t="s">
        <v>368</v>
      </c>
      <c r="G824" t="s">
        <v>4169</v>
      </c>
      <c r="H824">
        <v>253</v>
      </c>
      <c r="I824" t="s">
        <v>4169</v>
      </c>
      <c r="J824">
        <v>677</v>
      </c>
      <c r="K824" t="s">
        <v>4494</v>
      </c>
      <c r="L824" t="s">
        <v>3553</v>
      </c>
      <c r="M824" t="s">
        <v>4926</v>
      </c>
      <c r="N824" t="s">
        <v>4927</v>
      </c>
      <c r="O824" t="s">
        <v>2927</v>
      </c>
      <c r="R824">
        <f>1</f>
        <v>1</v>
      </c>
      <c r="S824">
        <f>11.6</f>
        <v>11.6</v>
      </c>
      <c r="T824">
        <f>8</f>
        <v>8</v>
      </c>
      <c r="U824">
        <f>404</f>
        <v>404</v>
      </c>
      <c r="V824">
        <f>0.07</f>
        <v>7.0000000000000007E-2</v>
      </c>
      <c r="X824">
        <f>1</f>
        <v>1</v>
      </c>
      <c r="Y824">
        <f>0.28</f>
        <v>0.28000000000000003</v>
      </c>
      <c r="Z824">
        <f>0</f>
        <v>0</v>
      </c>
      <c r="AA824">
        <f>2</f>
        <v>2</v>
      </c>
      <c r="AB824">
        <f>1</f>
        <v>1</v>
      </c>
      <c r="AC824">
        <f>0</f>
        <v>0</v>
      </c>
      <c r="AD824">
        <f>0</f>
        <v>0</v>
      </c>
      <c r="AE824">
        <f>0</f>
        <v>0</v>
      </c>
      <c r="AG824" t="s">
        <v>220</v>
      </c>
    </row>
    <row r="825" spans="1:33" x14ac:dyDescent="0.25">
      <c r="A825" t="s">
        <v>2928</v>
      </c>
      <c r="B825" t="s">
        <v>170</v>
      </c>
      <c r="C825" s="1">
        <v>46083</v>
      </c>
      <c r="D825" t="s">
        <v>238</v>
      </c>
      <c r="E825" t="s">
        <v>239</v>
      </c>
      <c r="F825" t="s">
        <v>240</v>
      </c>
      <c r="G825" t="s">
        <v>2929</v>
      </c>
      <c r="H825">
        <v>595</v>
      </c>
      <c r="I825" t="s">
        <v>2929</v>
      </c>
      <c r="J825">
        <v>2058</v>
      </c>
      <c r="K825" t="s">
        <v>4492</v>
      </c>
      <c r="L825" t="s">
        <v>176</v>
      </c>
      <c r="M825" t="s">
        <v>4170</v>
      </c>
      <c r="N825" t="s">
        <v>4171</v>
      </c>
      <c r="O825" t="s">
        <v>2930</v>
      </c>
      <c r="R825">
        <f>1</f>
        <v>1</v>
      </c>
      <c r="S825">
        <f>10.7</f>
        <v>10.7</v>
      </c>
      <c r="T825">
        <f>7.6</f>
        <v>7.6</v>
      </c>
      <c r="U825">
        <f>551</f>
        <v>551</v>
      </c>
      <c r="X825">
        <f>0</f>
        <v>0</v>
      </c>
      <c r="Y825" t="s">
        <v>243</v>
      </c>
      <c r="Z825">
        <f>0</f>
        <v>0</v>
      </c>
      <c r="AA825" t="s">
        <v>179</v>
      </c>
      <c r="AB825" t="s">
        <v>179</v>
      </c>
      <c r="AD825">
        <f>0</f>
        <v>0</v>
      </c>
      <c r="AE825">
        <f>0</f>
        <v>0</v>
      </c>
      <c r="AG825" t="s">
        <v>220</v>
      </c>
    </row>
    <row r="826" spans="1:33" x14ac:dyDescent="0.25">
      <c r="A826" t="s">
        <v>2931</v>
      </c>
      <c r="B826" t="s">
        <v>170</v>
      </c>
      <c r="C826" s="1">
        <v>46090</v>
      </c>
      <c r="D826" t="s">
        <v>222</v>
      </c>
      <c r="E826" t="s">
        <v>260</v>
      </c>
      <c r="F826" t="s">
        <v>4928</v>
      </c>
      <c r="G826" t="s">
        <v>4172</v>
      </c>
      <c r="H826">
        <v>831</v>
      </c>
      <c r="I826" t="s">
        <v>4172</v>
      </c>
      <c r="J826">
        <v>1100</v>
      </c>
      <c r="K826" t="s">
        <v>4492</v>
      </c>
      <c r="L826" t="s">
        <v>369</v>
      </c>
      <c r="M826" t="s">
        <v>2932</v>
      </c>
      <c r="N826" t="s">
        <v>4929</v>
      </c>
      <c r="O826" t="s">
        <v>2933</v>
      </c>
      <c r="R826">
        <f>1</f>
        <v>1</v>
      </c>
      <c r="S826">
        <f>11.5</f>
        <v>11.5</v>
      </c>
      <c r="T826">
        <f>7.4</f>
        <v>7.4</v>
      </c>
      <c r="U826">
        <f>427</f>
        <v>427</v>
      </c>
      <c r="V826">
        <f>0.12</f>
        <v>0.12</v>
      </c>
      <c r="X826">
        <f>1</f>
        <v>1</v>
      </c>
      <c r="Y826" t="s">
        <v>180</v>
      </c>
      <c r="Z826">
        <f>0</f>
        <v>0</v>
      </c>
      <c r="AA826" t="s">
        <v>179</v>
      </c>
      <c r="AB826" t="s">
        <v>179</v>
      </c>
      <c r="AD826">
        <f>0</f>
        <v>0</v>
      </c>
      <c r="AE826">
        <f>0</f>
        <v>0</v>
      </c>
      <c r="AG826" t="s">
        <v>180</v>
      </c>
    </row>
    <row r="827" spans="1:33" x14ac:dyDescent="0.25">
      <c r="A827" t="s">
        <v>2934</v>
      </c>
      <c r="B827" t="s">
        <v>170</v>
      </c>
      <c r="C827" s="1">
        <v>46113</v>
      </c>
      <c r="D827" t="s">
        <v>425</v>
      </c>
      <c r="E827" t="s">
        <v>426</v>
      </c>
      <c r="F827" t="s">
        <v>4445</v>
      </c>
      <c r="G827" t="s">
        <v>4446</v>
      </c>
      <c r="H827">
        <v>38</v>
      </c>
      <c r="I827" t="s">
        <v>2935</v>
      </c>
      <c r="J827">
        <v>1850</v>
      </c>
      <c r="K827" t="s">
        <v>4494</v>
      </c>
      <c r="L827" t="s">
        <v>3303</v>
      </c>
      <c r="M827" t="s">
        <v>4447</v>
      </c>
      <c r="N827" t="s">
        <v>4930</v>
      </c>
      <c r="O827" t="s">
        <v>2936</v>
      </c>
      <c r="R827">
        <f>1</f>
        <v>1</v>
      </c>
      <c r="S827">
        <f>7.8</f>
        <v>7.8</v>
      </c>
      <c r="T827">
        <f>7.9</f>
        <v>7.9</v>
      </c>
      <c r="U827">
        <f>307</f>
        <v>307</v>
      </c>
      <c r="V827" t="s">
        <v>192</v>
      </c>
      <c r="X827">
        <f>0</f>
        <v>0</v>
      </c>
      <c r="Y827" t="s">
        <v>180</v>
      </c>
      <c r="Z827">
        <f>0</f>
        <v>0</v>
      </c>
      <c r="AA827" t="s">
        <v>179</v>
      </c>
      <c r="AB827" t="s">
        <v>179</v>
      </c>
      <c r="AC827">
        <f>0</f>
        <v>0</v>
      </c>
      <c r="AD827">
        <f>0</f>
        <v>0</v>
      </c>
      <c r="AE827">
        <f>0</f>
        <v>0</v>
      </c>
      <c r="AG827" t="s">
        <v>180</v>
      </c>
    </row>
    <row r="828" spans="1:33" x14ac:dyDescent="0.25">
      <c r="A828" t="s">
        <v>2937</v>
      </c>
      <c r="B828" t="s">
        <v>170</v>
      </c>
      <c r="C828" s="1">
        <v>46087</v>
      </c>
      <c r="D828" t="s">
        <v>222</v>
      </c>
      <c r="E828" t="s">
        <v>223</v>
      </c>
      <c r="F828" t="s">
        <v>296</v>
      </c>
      <c r="G828" t="s">
        <v>722</v>
      </c>
      <c r="H828">
        <v>721</v>
      </c>
      <c r="I828" t="s">
        <v>4931</v>
      </c>
      <c r="J828">
        <v>1209</v>
      </c>
      <c r="K828" t="s">
        <v>4494</v>
      </c>
      <c r="L828" t="s">
        <v>2764</v>
      </c>
      <c r="M828" t="s">
        <v>2938</v>
      </c>
      <c r="N828" t="s">
        <v>2939</v>
      </c>
      <c r="O828" t="s">
        <v>2940</v>
      </c>
      <c r="Q828" t="s">
        <v>4173</v>
      </c>
      <c r="R828">
        <f>1</f>
        <v>1</v>
      </c>
      <c r="S828">
        <f>11.4</f>
        <v>11.4</v>
      </c>
      <c r="T828">
        <f>7.8</f>
        <v>7.8</v>
      </c>
      <c r="U828">
        <f>485</f>
        <v>485</v>
      </c>
      <c r="V828">
        <f>0.17</f>
        <v>0.17</v>
      </c>
      <c r="X828">
        <f>0</f>
        <v>0</v>
      </c>
      <c r="Y828" t="s">
        <v>180</v>
      </c>
      <c r="Z828">
        <f>0</f>
        <v>0</v>
      </c>
      <c r="AA828" t="s">
        <v>179</v>
      </c>
      <c r="AB828" t="s">
        <v>179</v>
      </c>
      <c r="AC828">
        <f>0</f>
        <v>0</v>
      </c>
      <c r="AD828">
        <f>0</f>
        <v>0</v>
      </c>
      <c r="AE828">
        <f>0</f>
        <v>0</v>
      </c>
      <c r="AG828" t="s">
        <v>180</v>
      </c>
    </row>
    <row r="829" spans="1:33" x14ac:dyDescent="0.25">
      <c r="A829" t="s">
        <v>2941</v>
      </c>
      <c r="B829" t="s">
        <v>170</v>
      </c>
      <c r="C829" s="1">
        <v>46112</v>
      </c>
      <c r="D829" t="s">
        <v>216</v>
      </c>
      <c r="E829" t="s">
        <v>217</v>
      </c>
      <c r="F829" t="s">
        <v>368</v>
      </c>
      <c r="G829" t="s">
        <v>2942</v>
      </c>
      <c r="H829">
        <v>373</v>
      </c>
      <c r="I829" t="s">
        <v>2942</v>
      </c>
      <c r="J829">
        <v>1489</v>
      </c>
      <c r="K829" t="s">
        <v>4494</v>
      </c>
      <c r="L829" t="s">
        <v>369</v>
      </c>
      <c r="M829" t="s">
        <v>2943</v>
      </c>
      <c r="N829" t="s">
        <v>3450</v>
      </c>
      <c r="O829" t="s">
        <v>2944</v>
      </c>
      <c r="Q829" t="s">
        <v>3468</v>
      </c>
      <c r="R829">
        <f>1</f>
        <v>1</v>
      </c>
      <c r="S829">
        <f>10.8</f>
        <v>10.8</v>
      </c>
      <c r="T829">
        <f>8.1</f>
        <v>8.1</v>
      </c>
      <c r="U829">
        <f>221</f>
        <v>221</v>
      </c>
      <c r="V829">
        <f>0.11</f>
        <v>0.11</v>
      </c>
      <c r="X829">
        <f>1</f>
        <v>1</v>
      </c>
      <c r="Y829">
        <f>0.19</f>
        <v>0.19</v>
      </c>
      <c r="Z829">
        <f>0</f>
        <v>0</v>
      </c>
      <c r="AA829">
        <f>0</f>
        <v>0</v>
      </c>
      <c r="AB829">
        <f>1</f>
        <v>1</v>
      </c>
      <c r="AC829">
        <f>0</f>
        <v>0</v>
      </c>
      <c r="AD829">
        <f>0</f>
        <v>0</v>
      </c>
      <c r="AE829">
        <f>0</f>
        <v>0</v>
      </c>
      <c r="AG829" t="s">
        <v>220</v>
      </c>
    </row>
    <row r="830" spans="1:33" x14ac:dyDescent="0.25">
      <c r="A830" t="s">
        <v>2945</v>
      </c>
      <c r="B830" t="s">
        <v>170</v>
      </c>
      <c r="C830" s="1">
        <v>46092</v>
      </c>
      <c r="D830" t="s">
        <v>425</v>
      </c>
      <c r="E830" t="s">
        <v>426</v>
      </c>
      <c r="F830" t="s">
        <v>655</v>
      </c>
      <c r="G830" t="s">
        <v>2946</v>
      </c>
      <c r="H830">
        <v>29</v>
      </c>
      <c r="I830" t="s">
        <v>2947</v>
      </c>
      <c r="J830">
        <v>2164</v>
      </c>
      <c r="K830" t="s">
        <v>4494</v>
      </c>
      <c r="L830" t="s">
        <v>369</v>
      </c>
      <c r="M830" t="s">
        <v>4174</v>
      </c>
      <c r="N830" t="s">
        <v>4175</v>
      </c>
      <c r="O830" t="s">
        <v>2948</v>
      </c>
      <c r="R830">
        <f>1</f>
        <v>1</v>
      </c>
      <c r="S830">
        <f>11.3</f>
        <v>11.3</v>
      </c>
      <c r="T830">
        <f>8</f>
        <v>8</v>
      </c>
      <c r="U830">
        <f>151</f>
        <v>151</v>
      </c>
      <c r="V830">
        <f>0.07</f>
        <v>7.0000000000000007E-2</v>
      </c>
      <c r="X830">
        <f>0</f>
        <v>0</v>
      </c>
      <c r="Y830" t="s">
        <v>180</v>
      </c>
      <c r="Z830">
        <f>0</f>
        <v>0</v>
      </c>
      <c r="AA830">
        <f>12</f>
        <v>12</v>
      </c>
      <c r="AB830" t="s">
        <v>179</v>
      </c>
      <c r="AC830">
        <f>0</f>
        <v>0</v>
      </c>
      <c r="AD830">
        <f>0</f>
        <v>0</v>
      </c>
      <c r="AE830">
        <f>0</f>
        <v>0</v>
      </c>
      <c r="AG830" t="s">
        <v>180</v>
      </c>
    </row>
    <row r="831" spans="1:33" x14ac:dyDescent="0.25">
      <c r="A831" t="s">
        <v>2949</v>
      </c>
      <c r="B831" t="s">
        <v>170</v>
      </c>
      <c r="C831" s="1">
        <v>46079</v>
      </c>
      <c r="D831" t="s">
        <v>302</v>
      </c>
      <c r="E831" t="s">
        <v>303</v>
      </c>
      <c r="F831" t="s">
        <v>3338</v>
      </c>
      <c r="G831" t="s">
        <v>4348</v>
      </c>
      <c r="H831">
        <v>1033</v>
      </c>
      <c r="I831" t="s">
        <v>2735</v>
      </c>
      <c r="J831">
        <v>1550</v>
      </c>
      <c r="K831" t="s">
        <v>4494</v>
      </c>
      <c r="L831" t="s">
        <v>3331</v>
      </c>
      <c r="M831" t="s">
        <v>2736</v>
      </c>
      <c r="N831" t="s">
        <v>2737</v>
      </c>
      <c r="O831" t="s">
        <v>2738</v>
      </c>
      <c r="R831">
        <f>1</f>
        <v>1</v>
      </c>
      <c r="S831">
        <f>7.6</f>
        <v>7.6</v>
      </c>
      <c r="T831">
        <f>7.9</f>
        <v>7.9</v>
      </c>
      <c r="U831">
        <f>338</f>
        <v>338</v>
      </c>
      <c r="X831">
        <f>0</f>
        <v>0</v>
      </c>
      <c r="Y831" t="s">
        <v>180</v>
      </c>
      <c r="Z831">
        <f>0</f>
        <v>0</v>
      </c>
      <c r="AA831" t="s">
        <v>179</v>
      </c>
      <c r="AB831" t="s">
        <v>179</v>
      </c>
      <c r="AC831">
        <f>0</f>
        <v>0</v>
      </c>
      <c r="AD831">
        <f>0</f>
        <v>0</v>
      </c>
      <c r="AE831">
        <f>0</f>
        <v>0</v>
      </c>
      <c r="AG831" t="s">
        <v>180</v>
      </c>
    </row>
    <row r="832" spans="1:33" x14ac:dyDescent="0.25">
      <c r="A832" t="s">
        <v>2950</v>
      </c>
      <c r="B832" t="s">
        <v>170</v>
      </c>
      <c r="C832" s="1">
        <v>46121</v>
      </c>
      <c r="D832" t="s">
        <v>216</v>
      </c>
      <c r="E832" t="s">
        <v>217</v>
      </c>
      <c r="F832" t="s">
        <v>3327</v>
      </c>
      <c r="G832" t="s">
        <v>2951</v>
      </c>
      <c r="H832">
        <v>1285</v>
      </c>
      <c r="I832" t="s">
        <v>2951</v>
      </c>
      <c r="J832">
        <v>1400</v>
      </c>
      <c r="K832" t="s">
        <v>4494</v>
      </c>
      <c r="L832" t="s">
        <v>266</v>
      </c>
      <c r="M832" t="s">
        <v>3451</v>
      </c>
      <c r="N832" t="s">
        <v>2952</v>
      </c>
      <c r="Q832" t="s">
        <v>3660</v>
      </c>
      <c r="R832">
        <f>1</f>
        <v>1</v>
      </c>
      <c r="S832">
        <f>11.5</f>
        <v>11.5</v>
      </c>
      <c r="T832">
        <f>8.3</f>
        <v>8.3000000000000007</v>
      </c>
      <c r="U832">
        <f>241</f>
        <v>241</v>
      </c>
      <c r="V832">
        <f>0.19</f>
        <v>0.19</v>
      </c>
      <c r="X832">
        <f>1</f>
        <v>1</v>
      </c>
      <c r="Y832">
        <f>0.1</f>
        <v>0.1</v>
      </c>
      <c r="Z832">
        <f>0</f>
        <v>0</v>
      </c>
      <c r="AA832">
        <f>0</f>
        <v>0</v>
      </c>
      <c r="AB832">
        <f>0</f>
        <v>0</v>
      </c>
      <c r="AC832">
        <f>0</f>
        <v>0</v>
      </c>
      <c r="AD832">
        <f>0</f>
        <v>0</v>
      </c>
      <c r="AE832">
        <f>0</f>
        <v>0</v>
      </c>
      <c r="AG832" t="s">
        <v>220</v>
      </c>
    </row>
    <row r="833" spans="1:165" x14ac:dyDescent="0.25">
      <c r="A833" t="s">
        <v>2953</v>
      </c>
      <c r="B833" t="s">
        <v>766</v>
      </c>
      <c r="C833" s="1">
        <v>46097</v>
      </c>
      <c r="D833" t="s">
        <v>184</v>
      </c>
      <c r="E833" t="s">
        <v>185</v>
      </c>
      <c r="F833" t="s">
        <v>384</v>
      </c>
      <c r="G833" t="s">
        <v>385</v>
      </c>
      <c r="H833">
        <v>1703</v>
      </c>
      <c r="I833" t="s">
        <v>3872</v>
      </c>
      <c r="J833">
        <v>19041</v>
      </c>
      <c r="K833" t="s">
        <v>4492</v>
      </c>
      <c r="L833" t="s">
        <v>3282</v>
      </c>
      <c r="M833" t="s">
        <v>4176</v>
      </c>
      <c r="N833" t="s">
        <v>3661</v>
      </c>
      <c r="O833" t="s">
        <v>2954</v>
      </c>
      <c r="R833">
        <f>1</f>
        <v>1</v>
      </c>
      <c r="S833">
        <f>10.4</f>
        <v>10.4</v>
      </c>
      <c r="T833">
        <f>7.2</f>
        <v>7.2</v>
      </c>
      <c r="U833">
        <f>662</f>
        <v>662</v>
      </c>
      <c r="X833">
        <f>0</f>
        <v>0</v>
      </c>
      <c r="Y833" t="s">
        <v>180</v>
      </c>
      <c r="Z833">
        <f>0</f>
        <v>0</v>
      </c>
      <c r="AA833" t="s">
        <v>179</v>
      </c>
      <c r="AB833" t="s">
        <v>179</v>
      </c>
      <c r="AD833">
        <f>0</f>
        <v>0</v>
      </c>
      <c r="AE833">
        <f>1</f>
        <v>1</v>
      </c>
      <c r="AG833" t="s">
        <v>180</v>
      </c>
      <c r="AH833" t="s">
        <v>193</v>
      </c>
      <c r="AK833" t="s">
        <v>181</v>
      </c>
      <c r="AL833" t="s">
        <v>182</v>
      </c>
      <c r="AM833">
        <f>12</f>
        <v>12</v>
      </c>
      <c r="AN833">
        <f>0.24</f>
        <v>0.24</v>
      </c>
      <c r="AO833">
        <f>8.3</f>
        <v>8.3000000000000007</v>
      </c>
      <c r="AP833">
        <f>14</f>
        <v>14</v>
      </c>
      <c r="AQ833" t="s">
        <v>180</v>
      </c>
    </row>
    <row r="834" spans="1:165" x14ac:dyDescent="0.25">
      <c r="A834" t="s">
        <v>2955</v>
      </c>
      <c r="B834" t="s">
        <v>170</v>
      </c>
      <c r="C834" s="1">
        <v>46087</v>
      </c>
      <c r="D834" t="s">
        <v>216</v>
      </c>
      <c r="E834" t="s">
        <v>217</v>
      </c>
      <c r="F834" t="s">
        <v>408</v>
      </c>
      <c r="G834" t="s">
        <v>2956</v>
      </c>
      <c r="H834">
        <v>374</v>
      </c>
      <c r="I834" t="s">
        <v>2956</v>
      </c>
      <c r="J834">
        <v>899</v>
      </c>
      <c r="K834" t="s">
        <v>4494</v>
      </c>
      <c r="L834" t="s">
        <v>291</v>
      </c>
      <c r="M834" t="s">
        <v>2957</v>
      </c>
      <c r="N834" t="s">
        <v>2958</v>
      </c>
      <c r="Q834" t="s">
        <v>3543</v>
      </c>
      <c r="R834">
        <f>1</f>
        <v>1</v>
      </c>
      <c r="S834">
        <f>12.3</f>
        <v>12.3</v>
      </c>
      <c r="T834">
        <f>8.1</f>
        <v>8.1</v>
      </c>
      <c r="U834">
        <f>246</f>
        <v>246</v>
      </c>
      <c r="X834">
        <f>1</f>
        <v>1</v>
      </c>
      <c r="Y834">
        <f>0.16</f>
        <v>0.16</v>
      </c>
      <c r="Z834">
        <f>0</f>
        <v>0</v>
      </c>
      <c r="AA834">
        <f>1</f>
        <v>1</v>
      </c>
      <c r="AB834">
        <f>2</f>
        <v>2</v>
      </c>
      <c r="AC834">
        <f>0</f>
        <v>0</v>
      </c>
      <c r="AD834">
        <f>0</f>
        <v>0</v>
      </c>
      <c r="AE834">
        <f>0</f>
        <v>0</v>
      </c>
      <c r="AG834" t="s">
        <v>220</v>
      </c>
    </row>
    <row r="835" spans="1:165" x14ac:dyDescent="0.25">
      <c r="A835" t="s">
        <v>2959</v>
      </c>
      <c r="B835" t="s">
        <v>170</v>
      </c>
      <c r="C835" s="1">
        <v>46084</v>
      </c>
      <c r="D835" t="s">
        <v>171</v>
      </c>
      <c r="E835" t="s">
        <v>172</v>
      </c>
      <c r="F835" t="s">
        <v>2750</v>
      </c>
      <c r="G835" t="s">
        <v>2751</v>
      </c>
      <c r="H835">
        <v>1825</v>
      </c>
      <c r="I835" t="s">
        <v>4443</v>
      </c>
      <c r="J835">
        <v>10500</v>
      </c>
      <c r="K835" t="s">
        <v>4492</v>
      </c>
      <c r="M835" t="s">
        <v>4917</v>
      </c>
      <c r="N835" t="s">
        <v>3448</v>
      </c>
      <c r="O835" t="s">
        <v>2871</v>
      </c>
      <c r="Q835" t="s">
        <v>3544</v>
      </c>
      <c r="R835">
        <f>1</f>
        <v>1</v>
      </c>
      <c r="S835">
        <f>13</f>
        <v>13</v>
      </c>
      <c r="T835">
        <f>7</f>
        <v>7</v>
      </c>
      <c r="U835">
        <f>405</f>
        <v>405</v>
      </c>
      <c r="X835">
        <f>0</f>
        <v>0</v>
      </c>
      <c r="Y835">
        <f>0.1</f>
        <v>0.1</v>
      </c>
      <c r="Z835">
        <f>0</f>
        <v>0</v>
      </c>
      <c r="AA835" t="s">
        <v>179</v>
      </c>
      <c r="AB835" t="s">
        <v>179</v>
      </c>
      <c r="AD835">
        <f>0</f>
        <v>0</v>
      </c>
      <c r="AE835">
        <f>0</f>
        <v>0</v>
      </c>
      <c r="AG835" t="s">
        <v>180</v>
      </c>
      <c r="FF835" t="s">
        <v>180</v>
      </c>
      <c r="FG835" t="s">
        <v>180</v>
      </c>
      <c r="FI835" t="s">
        <v>220</v>
      </c>
    </row>
    <row r="836" spans="1:165" x14ac:dyDescent="0.25">
      <c r="A836" t="s">
        <v>2960</v>
      </c>
      <c r="B836" t="s">
        <v>170</v>
      </c>
      <c r="C836" s="1">
        <v>46078</v>
      </c>
      <c r="D836" t="s">
        <v>171</v>
      </c>
      <c r="E836" t="s">
        <v>172</v>
      </c>
      <c r="F836" t="s">
        <v>3875</v>
      </c>
      <c r="G836" t="s">
        <v>634</v>
      </c>
      <c r="H836">
        <v>1837</v>
      </c>
      <c r="I836" t="s">
        <v>635</v>
      </c>
      <c r="J836">
        <v>13800</v>
      </c>
      <c r="K836" t="s">
        <v>4492</v>
      </c>
      <c r="M836" t="s">
        <v>2555</v>
      </c>
      <c r="N836" t="s">
        <v>4113</v>
      </c>
      <c r="O836" t="s">
        <v>2556</v>
      </c>
      <c r="R836">
        <f>1</f>
        <v>1</v>
      </c>
      <c r="S836">
        <f>11.4</f>
        <v>11.4</v>
      </c>
      <c r="T836">
        <f>7</f>
        <v>7</v>
      </c>
      <c r="U836">
        <f>461</f>
        <v>461</v>
      </c>
      <c r="X836">
        <f>0</f>
        <v>0</v>
      </c>
      <c r="Y836">
        <f>0.1</f>
        <v>0.1</v>
      </c>
      <c r="Z836">
        <f>0</f>
        <v>0</v>
      </c>
      <c r="AA836" t="s">
        <v>179</v>
      </c>
      <c r="AB836" t="s">
        <v>179</v>
      </c>
      <c r="AD836">
        <f>0</f>
        <v>0</v>
      </c>
      <c r="AE836">
        <f>0</f>
        <v>0</v>
      </c>
      <c r="AG836" t="s">
        <v>180</v>
      </c>
    </row>
    <row r="837" spans="1:165" x14ac:dyDescent="0.25">
      <c r="A837" t="s">
        <v>2961</v>
      </c>
      <c r="B837" t="s">
        <v>170</v>
      </c>
      <c r="C837" s="1">
        <v>46083</v>
      </c>
      <c r="D837" t="s">
        <v>216</v>
      </c>
      <c r="E837" t="s">
        <v>217</v>
      </c>
      <c r="F837" t="s">
        <v>3312</v>
      </c>
      <c r="G837" t="s">
        <v>2962</v>
      </c>
      <c r="H837">
        <v>1839</v>
      </c>
      <c r="I837" t="s">
        <v>2962</v>
      </c>
      <c r="J837">
        <v>600</v>
      </c>
      <c r="K837" t="s">
        <v>4494</v>
      </c>
      <c r="L837" t="s">
        <v>2963</v>
      </c>
      <c r="M837" t="s">
        <v>2964</v>
      </c>
      <c r="N837" t="s">
        <v>2965</v>
      </c>
      <c r="Q837" t="s">
        <v>3545</v>
      </c>
      <c r="R837">
        <f>1</f>
        <v>1</v>
      </c>
      <c r="S837">
        <f>11</f>
        <v>11</v>
      </c>
      <c r="T837">
        <f>8.3</f>
        <v>8.3000000000000007</v>
      </c>
      <c r="U837">
        <f>260</f>
        <v>260</v>
      </c>
      <c r="X837">
        <f>1</f>
        <v>1</v>
      </c>
      <c r="Y837">
        <f>0.14</f>
        <v>0.14000000000000001</v>
      </c>
      <c r="Z837">
        <f>0</f>
        <v>0</v>
      </c>
      <c r="AA837">
        <f>3</f>
        <v>3</v>
      </c>
      <c r="AB837">
        <f>4</f>
        <v>4</v>
      </c>
      <c r="AC837">
        <f>0</f>
        <v>0</v>
      </c>
      <c r="AD837">
        <f>0</f>
        <v>0</v>
      </c>
      <c r="AE837">
        <f>0</f>
        <v>0</v>
      </c>
      <c r="AG837" t="s">
        <v>220</v>
      </c>
    </row>
    <row r="838" spans="1:165" x14ac:dyDescent="0.25">
      <c r="A838" t="s">
        <v>2966</v>
      </c>
      <c r="B838" t="s">
        <v>170</v>
      </c>
      <c r="C838" s="1">
        <v>46091</v>
      </c>
      <c r="D838" t="s">
        <v>184</v>
      </c>
      <c r="E838" t="s">
        <v>185</v>
      </c>
      <c r="F838" t="s">
        <v>269</v>
      </c>
      <c r="G838" t="s">
        <v>4448</v>
      </c>
      <c r="H838">
        <v>1097</v>
      </c>
      <c r="I838" t="s">
        <v>4448</v>
      </c>
      <c r="J838">
        <v>2700</v>
      </c>
      <c r="K838" t="s">
        <v>4494</v>
      </c>
      <c r="L838" t="s">
        <v>3567</v>
      </c>
      <c r="M838" t="s">
        <v>4177</v>
      </c>
      <c r="N838" t="s">
        <v>2967</v>
      </c>
      <c r="Q838" t="s">
        <v>274</v>
      </c>
      <c r="R838">
        <f>1</f>
        <v>1</v>
      </c>
      <c r="S838">
        <f>11.9</f>
        <v>11.9</v>
      </c>
      <c r="T838">
        <f>7.9</f>
        <v>7.9</v>
      </c>
      <c r="U838">
        <f>297</f>
        <v>297</v>
      </c>
      <c r="X838">
        <f>0</f>
        <v>0</v>
      </c>
      <c r="Y838" t="s">
        <v>180</v>
      </c>
      <c r="Z838">
        <f>0</f>
        <v>0</v>
      </c>
      <c r="AA838">
        <f>0</f>
        <v>0</v>
      </c>
      <c r="AB838">
        <f>0</f>
        <v>0</v>
      </c>
      <c r="AC838">
        <f>0</f>
        <v>0</v>
      </c>
      <c r="AD838">
        <f>0</f>
        <v>0</v>
      </c>
      <c r="AE838">
        <f>0</f>
        <v>0</v>
      </c>
      <c r="AG838" t="s">
        <v>180</v>
      </c>
    </row>
    <row r="839" spans="1:165" x14ac:dyDescent="0.25">
      <c r="A839" t="s">
        <v>2968</v>
      </c>
      <c r="B839" t="s">
        <v>170</v>
      </c>
      <c r="C839" s="1">
        <v>46097</v>
      </c>
      <c r="D839" t="s">
        <v>184</v>
      </c>
      <c r="E839" t="s">
        <v>239</v>
      </c>
      <c r="F839" t="s">
        <v>276</v>
      </c>
      <c r="G839" t="s">
        <v>4227</v>
      </c>
      <c r="H839">
        <v>693</v>
      </c>
      <c r="I839" t="s">
        <v>3790</v>
      </c>
      <c r="J839">
        <v>2414</v>
      </c>
      <c r="K839" t="s">
        <v>4494</v>
      </c>
      <c r="L839" t="s">
        <v>277</v>
      </c>
      <c r="M839" t="s">
        <v>4178</v>
      </c>
      <c r="N839" t="s">
        <v>3662</v>
      </c>
      <c r="R839">
        <f>1</f>
        <v>1</v>
      </c>
      <c r="S839">
        <f>11</f>
        <v>11</v>
      </c>
      <c r="T839">
        <f>7.9</f>
        <v>7.9</v>
      </c>
      <c r="U839">
        <f>404</f>
        <v>404</v>
      </c>
      <c r="X839">
        <f>0</f>
        <v>0</v>
      </c>
      <c r="Y839">
        <f>0.51</f>
        <v>0.51</v>
      </c>
      <c r="Z839">
        <f>0</f>
        <v>0</v>
      </c>
      <c r="AA839" t="s">
        <v>179</v>
      </c>
      <c r="AB839" t="s">
        <v>179</v>
      </c>
      <c r="AC839">
        <f>0</f>
        <v>0</v>
      </c>
      <c r="AD839">
        <f>0</f>
        <v>0</v>
      </c>
      <c r="AE839">
        <f>0</f>
        <v>0</v>
      </c>
      <c r="AG839" t="s">
        <v>220</v>
      </c>
    </row>
    <row r="840" spans="1:165" x14ac:dyDescent="0.25">
      <c r="A840" t="s">
        <v>2969</v>
      </c>
      <c r="B840" t="s">
        <v>170</v>
      </c>
      <c r="C840" s="1">
        <v>46086</v>
      </c>
      <c r="D840" t="s">
        <v>171</v>
      </c>
      <c r="E840" t="s">
        <v>172</v>
      </c>
      <c r="F840" t="s">
        <v>173</v>
      </c>
      <c r="G840" t="s">
        <v>3791</v>
      </c>
      <c r="H840">
        <v>222</v>
      </c>
      <c r="I840" t="s">
        <v>3791</v>
      </c>
      <c r="J840">
        <v>795</v>
      </c>
      <c r="K840" t="s">
        <v>4492</v>
      </c>
      <c r="L840" t="s">
        <v>266</v>
      </c>
      <c r="M840" t="s">
        <v>3663</v>
      </c>
      <c r="N840" t="s">
        <v>3664</v>
      </c>
      <c r="O840" t="s">
        <v>2970</v>
      </c>
      <c r="R840">
        <f>1</f>
        <v>1</v>
      </c>
      <c r="S840">
        <f>9.4</f>
        <v>9.4</v>
      </c>
      <c r="T840">
        <f>6.8</f>
        <v>6.8</v>
      </c>
      <c r="U840">
        <f>471</f>
        <v>471</v>
      </c>
      <c r="V840">
        <f>0.07</f>
        <v>7.0000000000000007E-2</v>
      </c>
      <c r="X840">
        <f>0</f>
        <v>0</v>
      </c>
      <c r="Y840">
        <f>0.1</f>
        <v>0.1</v>
      </c>
      <c r="Z840">
        <f>0</f>
        <v>0</v>
      </c>
      <c r="AA840" t="s">
        <v>179</v>
      </c>
      <c r="AB840" t="s">
        <v>179</v>
      </c>
      <c r="AD840">
        <f>0</f>
        <v>0</v>
      </c>
      <c r="AE840">
        <f>0</f>
        <v>0</v>
      </c>
      <c r="AG840" t="s">
        <v>180</v>
      </c>
    </row>
    <row r="841" spans="1:165" x14ac:dyDescent="0.25">
      <c r="A841" t="s">
        <v>2971</v>
      </c>
      <c r="B841" t="s">
        <v>170</v>
      </c>
      <c r="C841" s="1">
        <v>46083</v>
      </c>
      <c r="D841" t="s">
        <v>195</v>
      </c>
      <c r="E841" t="s">
        <v>448</v>
      </c>
      <c r="F841" t="s">
        <v>1036</v>
      </c>
      <c r="G841" t="s">
        <v>2334</v>
      </c>
      <c r="H841">
        <v>196</v>
      </c>
      <c r="I841" t="s">
        <v>4179</v>
      </c>
      <c r="J841">
        <v>1917</v>
      </c>
      <c r="K841" t="s">
        <v>4494</v>
      </c>
      <c r="L841" t="s">
        <v>3665</v>
      </c>
      <c r="M841" t="s">
        <v>4180</v>
      </c>
      <c r="N841" t="s">
        <v>4932</v>
      </c>
      <c r="O841" t="s">
        <v>2972</v>
      </c>
      <c r="R841">
        <f>1</f>
        <v>1</v>
      </c>
      <c r="S841">
        <f>9.5</f>
        <v>9.5</v>
      </c>
      <c r="T841">
        <f>7.6</f>
        <v>7.6</v>
      </c>
      <c r="U841">
        <f>293</f>
        <v>293</v>
      </c>
      <c r="V841">
        <f>0.11</f>
        <v>0.11</v>
      </c>
      <c r="X841">
        <f>0</f>
        <v>0</v>
      </c>
      <c r="Y841">
        <f>0.02</f>
        <v>0.02</v>
      </c>
      <c r="Z841">
        <f>0</f>
        <v>0</v>
      </c>
      <c r="AA841">
        <f>0</f>
        <v>0</v>
      </c>
      <c r="AB841">
        <f>0</f>
        <v>0</v>
      </c>
      <c r="AC841">
        <f>0</f>
        <v>0</v>
      </c>
      <c r="AD841">
        <f>0</f>
        <v>0</v>
      </c>
      <c r="AE841">
        <f>0</f>
        <v>0</v>
      </c>
      <c r="AG841" t="s">
        <v>180</v>
      </c>
    </row>
    <row r="842" spans="1:165" x14ac:dyDescent="0.25">
      <c r="A842" t="s">
        <v>2973</v>
      </c>
      <c r="B842" t="s">
        <v>170</v>
      </c>
      <c r="C842" s="1">
        <v>46091</v>
      </c>
      <c r="D842" t="s">
        <v>238</v>
      </c>
      <c r="E842" t="s">
        <v>260</v>
      </c>
      <c r="F842" t="s">
        <v>261</v>
      </c>
      <c r="G842" t="s">
        <v>2974</v>
      </c>
      <c r="H842">
        <v>228</v>
      </c>
      <c r="I842" t="s">
        <v>771</v>
      </c>
      <c r="J842">
        <v>720</v>
      </c>
      <c r="K842" t="s">
        <v>4492</v>
      </c>
      <c r="L842" t="s">
        <v>266</v>
      </c>
      <c r="M842" t="s">
        <v>2975</v>
      </c>
      <c r="N842" t="s">
        <v>4933</v>
      </c>
      <c r="O842" t="s">
        <v>2976</v>
      </c>
      <c r="R842">
        <f>1</f>
        <v>1</v>
      </c>
      <c r="S842">
        <f>9.6</f>
        <v>9.6</v>
      </c>
      <c r="T842">
        <f>7.2</f>
        <v>7.2</v>
      </c>
      <c r="U842">
        <f>379</f>
        <v>379</v>
      </c>
      <c r="V842">
        <f>0.15</f>
        <v>0.15</v>
      </c>
      <c r="X842">
        <f>0</f>
        <v>0</v>
      </c>
      <c r="Y842">
        <f>0.11</f>
        <v>0.11</v>
      </c>
      <c r="Z842">
        <f>0</f>
        <v>0</v>
      </c>
      <c r="AA842" t="s">
        <v>179</v>
      </c>
      <c r="AB842" t="s">
        <v>179</v>
      </c>
      <c r="AD842">
        <f>0</f>
        <v>0</v>
      </c>
      <c r="AE842">
        <f>0</f>
        <v>0</v>
      </c>
      <c r="AG842" t="s">
        <v>220</v>
      </c>
    </row>
    <row r="843" spans="1:165" x14ac:dyDescent="0.25">
      <c r="A843" t="s">
        <v>2977</v>
      </c>
      <c r="B843" t="s">
        <v>170</v>
      </c>
      <c r="C843" s="1">
        <v>46101</v>
      </c>
      <c r="D843" t="s">
        <v>251</v>
      </c>
      <c r="E843" t="s">
        <v>252</v>
      </c>
      <c r="F843" t="s">
        <v>280</v>
      </c>
      <c r="G843" t="s">
        <v>2978</v>
      </c>
      <c r="H843">
        <v>60</v>
      </c>
      <c r="I843" t="s">
        <v>2978</v>
      </c>
      <c r="J843">
        <v>927</v>
      </c>
      <c r="K843" t="s">
        <v>4492</v>
      </c>
      <c r="L843" t="s">
        <v>3566</v>
      </c>
      <c r="M843" t="s">
        <v>4934</v>
      </c>
      <c r="N843" t="s">
        <v>2979</v>
      </c>
      <c r="O843" t="s">
        <v>2980</v>
      </c>
      <c r="Q843" t="s">
        <v>257</v>
      </c>
      <c r="R843">
        <f>1</f>
        <v>1</v>
      </c>
      <c r="S843">
        <f>12.4</f>
        <v>12.4</v>
      </c>
      <c r="T843">
        <f>7.5</f>
        <v>7.5</v>
      </c>
      <c r="U843">
        <f>462</f>
        <v>462</v>
      </c>
      <c r="X843">
        <f>0</f>
        <v>0</v>
      </c>
      <c r="Y843" t="s">
        <v>180</v>
      </c>
      <c r="Z843">
        <f>0</f>
        <v>0</v>
      </c>
      <c r="AA843">
        <f>0</f>
        <v>0</v>
      </c>
      <c r="AB843">
        <f>10</f>
        <v>10</v>
      </c>
      <c r="AD843">
        <f>0</f>
        <v>0</v>
      </c>
      <c r="AE843">
        <f>0</f>
        <v>0</v>
      </c>
      <c r="AG843" t="s">
        <v>180</v>
      </c>
    </row>
    <row r="844" spans="1:165" x14ac:dyDescent="0.25">
      <c r="A844" t="s">
        <v>2981</v>
      </c>
      <c r="B844" t="s">
        <v>170</v>
      </c>
      <c r="C844" s="1">
        <v>46091</v>
      </c>
      <c r="D844" t="s">
        <v>184</v>
      </c>
      <c r="E844" t="s">
        <v>185</v>
      </c>
      <c r="F844" t="s">
        <v>1084</v>
      </c>
      <c r="G844" t="s">
        <v>2982</v>
      </c>
      <c r="H844">
        <v>567</v>
      </c>
      <c r="I844" t="s">
        <v>2982</v>
      </c>
      <c r="J844">
        <v>998</v>
      </c>
      <c r="K844" t="s">
        <v>4494</v>
      </c>
      <c r="L844" t="s">
        <v>266</v>
      </c>
      <c r="M844" t="s">
        <v>4935</v>
      </c>
      <c r="N844" t="s">
        <v>2983</v>
      </c>
      <c r="O844" t="s">
        <v>2984</v>
      </c>
      <c r="R844">
        <f>1</f>
        <v>1</v>
      </c>
      <c r="S844">
        <f>11</f>
        <v>11</v>
      </c>
      <c r="T844">
        <f>7.3</f>
        <v>7.3</v>
      </c>
      <c r="U844">
        <f>433</f>
        <v>433</v>
      </c>
      <c r="V844">
        <f>0.16</f>
        <v>0.16</v>
      </c>
      <c r="X844">
        <f>0</f>
        <v>0</v>
      </c>
      <c r="Y844" t="s">
        <v>180</v>
      </c>
      <c r="Z844">
        <f>0</f>
        <v>0</v>
      </c>
      <c r="AA844" t="s">
        <v>179</v>
      </c>
      <c r="AB844" t="s">
        <v>179</v>
      </c>
      <c r="AC844">
        <f>0</f>
        <v>0</v>
      </c>
      <c r="AD844">
        <f>0</f>
        <v>0</v>
      </c>
      <c r="AE844">
        <f>0</f>
        <v>0</v>
      </c>
      <c r="AG844" t="s">
        <v>180</v>
      </c>
    </row>
    <row r="845" spans="1:165" x14ac:dyDescent="0.25">
      <c r="A845" t="s">
        <v>2985</v>
      </c>
      <c r="B845" t="s">
        <v>170</v>
      </c>
      <c r="C845" s="1">
        <v>46091</v>
      </c>
      <c r="D845" t="s">
        <v>184</v>
      </c>
      <c r="E845" t="s">
        <v>185</v>
      </c>
      <c r="F845" t="s">
        <v>4338</v>
      </c>
      <c r="G845" t="s">
        <v>2986</v>
      </c>
      <c r="H845">
        <v>583</v>
      </c>
      <c r="I845" t="s">
        <v>2987</v>
      </c>
      <c r="J845">
        <v>1496</v>
      </c>
      <c r="K845" t="s">
        <v>4492</v>
      </c>
      <c r="L845" t="s">
        <v>266</v>
      </c>
      <c r="M845" t="s">
        <v>4936</v>
      </c>
      <c r="N845" t="s">
        <v>4181</v>
      </c>
      <c r="O845" t="s">
        <v>2988</v>
      </c>
      <c r="R845">
        <f>1</f>
        <v>1</v>
      </c>
      <c r="S845">
        <f>11.3</f>
        <v>11.3</v>
      </c>
      <c r="T845">
        <f>7.3</f>
        <v>7.3</v>
      </c>
      <c r="U845">
        <f>288</f>
        <v>288</v>
      </c>
      <c r="V845">
        <f>0.1</f>
        <v>0.1</v>
      </c>
      <c r="X845">
        <f>0</f>
        <v>0</v>
      </c>
      <c r="Y845" t="s">
        <v>180</v>
      </c>
      <c r="Z845">
        <f>0</f>
        <v>0</v>
      </c>
      <c r="AA845" t="s">
        <v>179</v>
      </c>
      <c r="AB845" t="s">
        <v>179</v>
      </c>
      <c r="AD845">
        <f>0</f>
        <v>0</v>
      </c>
      <c r="AE845">
        <f>0</f>
        <v>0</v>
      </c>
      <c r="AG845" t="s">
        <v>180</v>
      </c>
    </row>
    <row r="846" spans="1:165" x14ac:dyDescent="0.25">
      <c r="A846" t="s">
        <v>2989</v>
      </c>
      <c r="B846" t="s">
        <v>170</v>
      </c>
      <c r="C846" s="1">
        <v>46104</v>
      </c>
      <c r="D846" t="s">
        <v>251</v>
      </c>
      <c r="E846" t="s">
        <v>252</v>
      </c>
      <c r="F846" t="s">
        <v>3590</v>
      </c>
      <c r="G846" t="s">
        <v>4449</v>
      </c>
      <c r="H846">
        <v>1096</v>
      </c>
      <c r="I846" t="s">
        <v>2990</v>
      </c>
      <c r="J846">
        <v>653</v>
      </c>
      <c r="K846" t="s">
        <v>4492</v>
      </c>
      <c r="L846" t="s">
        <v>271</v>
      </c>
      <c r="M846" t="s">
        <v>3666</v>
      </c>
      <c r="N846" t="s">
        <v>3667</v>
      </c>
      <c r="O846" t="s">
        <v>2991</v>
      </c>
      <c r="Q846" t="s">
        <v>3472</v>
      </c>
      <c r="R846">
        <f>1</f>
        <v>1</v>
      </c>
      <c r="S846">
        <f>10</f>
        <v>10</v>
      </c>
      <c r="T846">
        <f>8</f>
        <v>8</v>
      </c>
      <c r="U846">
        <f>313</f>
        <v>313</v>
      </c>
      <c r="X846">
        <f>0</f>
        <v>0</v>
      </c>
      <c r="Y846" t="s">
        <v>180</v>
      </c>
      <c r="Z846">
        <f>0</f>
        <v>0</v>
      </c>
      <c r="AA846">
        <f>0</f>
        <v>0</v>
      </c>
      <c r="AB846">
        <f>0</f>
        <v>0</v>
      </c>
      <c r="AD846">
        <f>0</f>
        <v>0</v>
      </c>
      <c r="AE846">
        <f>0</f>
        <v>0</v>
      </c>
      <c r="AG846" t="s">
        <v>180</v>
      </c>
    </row>
    <row r="847" spans="1:165" x14ac:dyDescent="0.25">
      <c r="A847" t="s">
        <v>2992</v>
      </c>
      <c r="B847" t="s">
        <v>170</v>
      </c>
      <c r="C847" s="1">
        <v>46079</v>
      </c>
      <c r="D847" t="s">
        <v>184</v>
      </c>
      <c r="E847" t="s">
        <v>546</v>
      </c>
      <c r="F847" t="s">
        <v>2993</v>
      </c>
      <c r="G847" t="s">
        <v>2994</v>
      </c>
      <c r="H847">
        <v>839</v>
      </c>
      <c r="I847" t="s">
        <v>2994</v>
      </c>
      <c r="J847">
        <v>1000</v>
      </c>
      <c r="K847" t="s">
        <v>4492</v>
      </c>
      <c r="L847" t="s">
        <v>3553</v>
      </c>
      <c r="M847" t="s">
        <v>2995</v>
      </c>
      <c r="N847" t="s">
        <v>2996</v>
      </c>
      <c r="O847" t="s">
        <v>2997</v>
      </c>
      <c r="R847">
        <f>1</f>
        <v>1</v>
      </c>
      <c r="S847">
        <f>10.3</f>
        <v>10.3</v>
      </c>
      <c r="T847">
        <f>7.8</f>
        <v>7.8</v>
      </c>
      <c r="U847">
        <f>322</f>
        <v>322</v>
      </c>
      <c r="V847">
        <f>0.19</f>
        <v>0.19</v>
      </c>
      <c r="X847">
        <f>0</f>
        <v>0</v>
      </c>
      <c r="Y847">
        <f>0.1</f>
        <v>0.1</v>
      </c>
      <c r="Z847">
        <f>0</f>
        <v>0</v>
      </c>
      <c r="AA847" t="s">
        <v>179</v>
      </c>
      <c r="AB847" t="s">
        <v>179</v>
      </c>
      <c r="AD847">
        <f>0</f>
        <v>0</v>
      </c>
      <c r="AE847">
        <f>0</f>
        <v>0</v>
      </c>
      <c r="AG847" t="s">
        <v>180</v>
      </c>
    </row>
    <row r="848" spans="1:165" x14ac:dyDescent="0.25">
      <c r="A848" t="s">
        <v>2998</v>
      </c>
      <c r="B848" t="s">
        <v>170</v>
      </c>
      <c r="C848" s="1">
        <v>46090</v>
      </c>
      <c r="D848" t="s">
        <v>251</v>
      </c>
      <c r="E848" t="s">
        <v>252</v>
      </c>
      <c r="F848" t="s">
        <v>4241</v>
      </c>
      <c r="G848" t="s">
        <v>2999</v>
      </c>
      <c r="H848">
        <v>1478</v>
      </c>
      <c r="I848" t="s">
        <v>3000</v>
      </c>
      <c r="J848">
        <v>550</v>
      </c>
      <c r="K848" t="s">
        <v>4492</v>
      </c>
      <c r="M848" t="s">
        <v>3001</v>
      </c>
      <c r="N848" t="s">
        <v>3002</v>
      </c>
      <c r="O848" t="s">
        <v>3003</v>
      </c>
      <c r="Q848" t="s">
        <v>3476</v>
      </c>
      <c r="R848">
        <f>1</f>
        <v>1</v>
      </c>
      <c r="S848">
        <f>5.6</f>
        <v>5.6</v>
      </c>
      <c r="T848">
        <f>7.9</f>
        <v>7.9</v>
      </c>
      <c r="U848">
        <f>213</f>
        <v>213</v>
      </c>
      <c r="X848">
        <f>0</f>
        <v>0</v>
      </c>
      <c r="Y848" t="s">
        <v>180</v>
      </c>
      <c r="Z848">
        <f>0</f>
        <v>0</v>
      </c>
      <c r="AA848">
        <f>10</f>
        <v>10</v>
      </c>
      <c r="AB848">
        <f>0</f>
        <v>0</v>
      </c>
      <c r="AD848">
        <f>0</f>
        <v>0</v>
      </c>
      <c r="AE848">
        <f>0</f>
        <v>0</v>
      </c>
      <c r="AG848" t="s">
        <v>180</v>
      </c>
    </row>
    <row r="849" spans="1:81" x14ac:dyDescent="0.25">
      <c r="A849" t="s">
        <v>3004</v>
      </c>
      <c r="B849" t="s">
        <v>170</v>
      </c>
      <c r="C849" s="1">
        <v>46085</v>
      </c>
      <c r="D849" t="s">
        <v>195</v>
      </c>
      <c r="E849" t="s">
        <v>448</v>
      </c>
      <c r="F849" t="s">
        <v>449</v>
      </c>
      <c r="G849" t="s">
        <v>3792</v>
      </c>
      <c r="H849">
        <v>326</v>
      </c>
      <c r="I849" t="s">
        <v>3792</v>
      </c>
      <c r="J849">
        <v>1042</v>
      </c>
      <c r="K849" t="s">
        <v>4494</v>
      </c>
      <c r="L849" t="s">
        <v>291</v>
      </c>
      <c r="M849" t="s">
        <v>3793</v>
      </c>
      <c r="N849" t="s">
        <v>3794</v>
      </c>
      <c r="O849" t="s">
        <v>3005</v>
      </c>
      <c r="R849">
        <f>1</f>
        <v>1</v>
      </c>
      <c r="S849">
        <f>8.8</f>
        <v>8.8000000000000007</v>
      </c>
      <c r="T849">
        <f>8.1</f>
        <v>8.1</v>
      </c>
      <c r="U849">
        <f>327</f>
        <v>327</v>
      </c>
      <c r="V849">
        <f>0.25</f>
        <v>0.25</v>
      </c>
      <c r="X849">
        <f>0</f>
        <v>0</v>
      </c>
      <c r="Y849">
        <f>0.02</f>
        <v>0.02</v>
      </c>
      <c r="Z849">
        <f>0</f>
        <v>0</v>
      </c>
      <c r="AA849">
        <f>0</f>
        <v>0</v>
      </c>
      <c r="AB849">
        <f>0</f>
        <v>0</v>
      </c>
      <c r="AC849">
        <f>0</f>
        <v>0</v>
      </c>
      <c r="AD849">
        <f>0</f>
        <v>0</v>
      </c>
      <c r="AE849">
        <f>0</f>
        <v>0</v>
      </c>
      <c r="AG849" t="s">
        <v>180</v>
      </c>
    </row>
    <row r="850" spans="1:81" x14ac:dyDescent="0.25">
      <c r="A850" t="s">
        <v>3006</v>
      </c>
      <c r="B850" t="s">
        <v>170</v>
      </c>
      <c r="C850" s="1">
        <v>46092</v>
      </c>
      <c r="D850" t="s">
        <v>222</v>
      </c>
      <c r="E850" t="s">
        <v>223</v>
      </c>
      <c r="F850" t="s">
        <v>4508</v>
      </c>
      <c r="G850" t="s">
        <v>4182</v>
      </c>
      <c r="H850">
        <v>1537</v>
      </c>
      <c r="I850" t="s">
        <v>4182</v>
      </c>
      <c r="J850">
        <v>575</v>
      </c>
      <c r="K850" t="s">
        <v>4492</v>
      </c>
      <c r="L850" t="s">
        <v>369</v>
      </c>
      <c r="M850" t="s">
        <v>4937</v>
      </c>
      <c r="N850" t="s">
        <v>4938</v>
      </c>
      <c r="O850" t="s">
        <v>3007</v>
      </c>
      <c r="R850">
        <f>1</f>
        <v>1</v>
      </c>
      <c r="S850">
        <f>10.4</f>
        <v>10.4</v>
      </c>
      <c r="T850">
        <f>7.6</f>
        <v>7.6</v>
      </c>
      <c r="U850">
        <f>514</f>
        <v>514</v>
      </c>
      <c r="V850">
        <f>0.09</f>
        <v>0.09</v>
      </c>
      <c r="X850">
        <f>0</f>
        <v>0</v>
      </c>
      <c r="Y850">
        <f>0.12</f>
        <v>0.12</v>
      </c>
      <c r="Z850">
        <f>0</f>
        <v>0</v>
      </c>
      <c r="AA850" t="s">
        <v>179</v>
      </c>
      <c r="AB850" t="s">
        <v>179</v>
      </c>
      <c r="AD850">
        <f>0</f>
        <v>0</v>
      </c>
      <c r="AE850">
        <f>0</f>
        <v>0</v>
      </c>
      <c r="AG850" t="s">
        <v>180</v>
      </c>
    </row>
    <row r="851" spans="1:81" x14ac:dyDescent="0.25">
      <c r="A851" t="s">
        <v>3008</v>
      </c>
      <c r="B851" t="s">
        <v>170</v>
      </c>
      <c r="C851" s="1">
        <v>46084</v>
      </c>
      <c r="D851" t="s">
        <v>184</v>
      </c>
      <c r="E851" t="s">
        <v>185</v>
      </c>
      <c r="F851" t="s">
        <v>761</v>
      </c>
      <c r="G851" t="s">
        <v>4183</v>
      </c>
      <c r="H851">
        <v>1266</v>
      </c>
      <c r="I851" t="s">
        <v>4183</v>
      </c>
      <c r="J851">
        <v>760</v>
      </c>
      <c r="K851" t="s">
        <v>4494</v>
      </c>
      <c r="L851" t="s">
        <v>266</v>
      </c>
      <c r="M851" t="s">
        <v>4939</v>
      </c>
      <c r="N851" t="s">
        <v>4940</v>
      </c>
      <c r="O851" t="s">
        <v>3009</v>
      </c>
      <c r="R851">
        <f>1</f>
        <v>1</v>
      </c>
      <c r="S851">
        <f>10.7</f>
        <v>10.7</v>
      </c>
      <c r="T851">
        <f>7.6</f>
        <v>7.6</v>
      </c>
      <c r="U851">
        <f>406</f>
        <v>406</v>
      </c>
      <c r="V851">
        <f>0.28</f>
        <v>0.28000000000000003</v>
      </c>
      <c r="X851">
        <f>0</f>
        <v>0</v>
      </c>
      <c r="Y851">
        <f>0.1</f>
        <v>0.1</v>
      </c>
      <c r="Z851">
        <f>0</f>
        <v>0</v>
      </c>
      <c r="AA851" t="s">
        <v>179</v>
      </c>
      <c r="AB851" t="s">
        <v>179</v>
      </c>
      <c r="AC851">
        <f>0</f>
        <v>0</v>
      </c>
      <c r="AD851">
        <f>0</f>
        <v>0</v>
      </c>
      <c r="AE851">
        <f>0</f>
        <v>0</v>
      </c>
      <c r="AG851" t="s">
        <v>180</v>
      </c>
    </row>
    <row r="852" spans="1:81" x14ac:dyDescent="0.25">
      <c r="A852" t="s">
        <v>3010</v>
      </c>
      <c r="B852" t="s">
        <v>170</v>
      </c>
      <c r="C852" s="1">
        <v>46112</v>
      </c>
      <c r="D852" t="s">
        <v>222</v>
      </c>
      <c r="E852" t="s">
        <v>223</v>
      </c>
      <c r="F852" t="s">
        <v>296</v>
      </c>
      <c r="G852" t="s">
        <v>297</v>
      </c>
      <c r="H852">
        <v>218</v>
      </c>
      <c r="I852" t="s">
        <v>4184</v>
      </c>
      <c r="J852">
        <v>963</v>
      </c>
      <c r="K852" t="s">
        <v>4494</v>
      </c>
      <c r="L852" t="s">
        <v>369</v>
      </c>
      <c r="M852" t="s">
        <v>4941</v>
      </c>
      <c r="N852" t="s">
        <v>4942</v>
      </c>
      <c r="O852" t="s">
        <v>3011</v>
      </c>
      <c r="R852">
        <f>1</f>
        <v>1</v>
      </c>
      <c r="S852">
        <f>11.3</f>
        <v>11.3</v>
      </c>
      <c r="T852">
        <f>7.8</f>
        <v>7.8</v>
      </c>
      <c r="U852">
        <f>218</f>
        <v>218</v>
      </c>
      <c r="V852">
        <f>0.21</f>
        <v>0.21</v>
      </c>
      <c r="X852">
        <f>0</f>
        <v>0</v>
      </c>
      <c r="Y852">
        <f>0.12</f>
        <v>0.12</v>
      </c>
      <c r="Z852">
        <f>0</f>
        <v>0</v>
      </c>
      <c r="AA852" t="s">
        <v>179</v>
      </c>
      <c r="AB852" t="s">
        <v>179</v>
      </c>
      <c r="AC852">
        <f>0</f>
        <v>0</v>
      </c>
      <c r="AD852">
        <f>0</f>
        <v>0</v>
      </c>
      <c r="AE852">
        <f>0</f>
        <v>0</v>
      </c>
      <c r="AG852" t="s">
        <v>180</v>
      </c>
    </row>
    <row r="853" spans="1:81" x14ac:dyDescent="0.25">
      <c r="A853" t="s">
        <v>3012</v>
      </c>
      <c r="B853" t="s">
        <v>170</v>
      </c>
      <c r="C853" s="1">
        <v>46086</v>
      </c>
      <c r="D853" t="s">
        <v>238</v>
      </c>
      <c r="E853" t="s">
        <v>239</v>
      </c>
      <c r="F853" t="s">
        <v>240</v>
      </c>
      <c r="G853" t="s">
        <v>3795</v>
      </c>
      <c r="H853">
        <v>1698</v>
      </c>
      <c r="I853" t="s">
        <v>3796</v>
      </c>
      <c r="J853">
        <v>1440</v>
      </c>
      <c r="K853" t="s">
        <v>4494</v>
      </c>
      <c r="L853" t="s">
        <v>369</v>
      </c>
      <c r="M853" t="s">
        <v>4185</v>
      </c>
      <c r="N853" t="s">
        <v>3013</v>
      </c>
      <c r="O853" t="s">
        <v>3014</v>
      </c>
      <c r="R853">
        <f>1</f>
        <v>1</v>
      </c>
      <c r="S853">
        <f>8.4</f>
        <v>8.4</v>
      </c>
      <c r="T853">
        <f>8</f>
        <v>8</v>
      </c>
      <c r="U853">
        <f>307</f>
        <v>307</v>
      </c>
      <c r="V853">
        <f>0.18</f>
        <v>0.18</v>
      </c>
      <c r="X853">
        <f>0</f>
        <v>0</v>
      </c>
      <c r="Y853" t="s">
        <v>243</v>
      </c>
      <c r="Z853">
        <f>0</f>
        <v>0</v>
      </c>
      <c r="AA853" t="s">
        <v>179</v>
      </c>
      <c r="AB853" t="s">
        <v>179</v>
      </c>
      <c r="AC853">
        <f>0</f>
        <v>0</v>
      </c>
      <c r="AD853">
        <f>0</f>
        <v>0</v>
      </c>
      <c r="AE853">
        <f>0</f>
        <v>0</v>
      </c>
      <c r="AG853" t="s">
        <v>220</v>
      </c>
    </row>
    <row r="854" spans="1:81" x14ac:dyDescent="0.25">
      <c r="A854" t="s">
        <v>3015</v>
      </c>
      <c r="B854" t="s">
        <v>170</v>
      </c>
      <c r="C854" s="1">
        <v>46104</v>
      </c>
      <c r="D854" t="s">
        <v>222</v>
      </c>
      <c r="E854" t="s">
        <v>223</v>
      </c>
      <c r="F854" t="s">
        <v>3896</v>
      </c>
      <c r="G854" t="s">
        <v>3016</v>
      </c>
      <c r="H854">
        <v>1119</v>
      </c>
      <c r="I854" t="s">
        <v>3016</v>
      </c>
      <c r="J854">
        <v>535</v>
      </c>
      <c r="K854" t="s">
        <v>4492</v>
      </c>
      <c r="L854" t="s">
        <v>369</v>
      </c>
      <c r="M854" t="s">
        <v>3017</v>
      </c>
      <c r="N854" t="s">
        <v>3018</v>
      </c>
      <c r="R854">
        <f>1</f>
        <v>1</v>
      </c>
      <c r="S854">
        <f>10</f>
        <v>10</v>
      </c>
      <c r="T854">
        <f>7.6</f>
        <v>7.6</v>
      </c>
      <c r="U854">
        <f>388</f>
        <v>388</v>
      </c>
      <c r="V854">
        <f>0.19</f>
        <v>0.19</v>
      </c>
      <c r="X854">
        <f>1</f>
        <v>1</v>
      </c>
      <c r="Y854" t="s">
        <v>180</v>
      </c>
      <c r="Z854">
        <f>0</f>
        <v>0</v>
      </c>
      <c r="AA854" t="s">
        <v>179</v>
      </c>
      <c r="AB854" t="s">
        <v>179</v>
      </c>
      <c r="AD854">
        <f>0</f>
        <v>0</v>
      </c>
      <c r="AE854">
        <f>0</f>
        <v>0</v>
      </c>
      <c r="AG854" t="s">
        <v>180</v>
      </c>
    </row>
    <row r="855" spans="1:81" x14ac:dyDescent="0.25">
      <c r="A855" t="s">
        <v>3019</v>
      </c>
      <c r="B855" t="s">
        <v>170</v>
      </c>
      <c r="C855" s="1">
        <v>46085</v>
      </c>
      <c r="D855" t="s">
        <v>251</v>
      </c>
      <c r="E855" t="s">
        <v>252</v>
      </c>
      <c r="F855" t="s">
        <v>265</v>
      </c>
      <c r="G855" t="s">
        <v>4408</v>
      </c>
      <c r="H855">
        <v>854</v>
      </c>
      <c r="I855" t="s">
        <v>4408</v>
      </c>
      <c r="J855">
        <v>12117</v>
      </c>
      <c r="K855" t="s">
        <v>4494</v>
      </c>
      <c r="L855" t="s">
        <v>3566</v>
      </c>
      <c r="M855" t="s">
        <v>3020</v>
      </c>
      <c r="N855" t="s">
        <v>3021</v>
      </c>
      <c r="O855" t="s">
        <v>3022</v>
      </c>
      <c r="Q855" t="s">
        <v>257</v>
      </c>
      <c r="R855">
        <f>1</f>
        <v>1</v>
      </c>
      <c r="S855">
        <f>10.1</f>
        <v>10.1</v>
      </c>
      <c r="T855">
        <f>8.1</f>
        <v>8.1</v>
      </c>
      <c r="U855">
        <f>181</f>
        <v>181</v>
      </c>
      <c r="X855">
        <f>0</f>
        <v>0</v>
      </c>
      <c r="Y855" t="s">
        <v>180</v>
      </c>
      <c r="Z855">
        <f>0</f>
        <v>0</v>
      </c>
      <c r="AA855">
        <f>0</f>
        <v>0</v>
      </c>
      <c r="AB855">
        <f>6</f>
        <v>6</v>
      </c>
      <c r="AC855">
        <f>0</f>
        <v>0</v>
      </c>
      <c r="AD855">
        <f>0</f>
        <v>0</v>
      </c>
      <c r="AE855">
        <f>0</f>
        <v>0</v>
      </c>
      <c r="AG855" t="s">
        <v>180</v>
      </c>
    </row>
    <row r="856" spans="1:81" x14ac:dyDescent="0.25">
      <c r="A856" t="s">
        <v>3023</v>
      </c>
      <c r="B856" t="s">
        <v>170</v>
      </c>
      <c r="C856" s="1">
        <v>46119</v>
      </c>
      <c r="D856" t="s">
        <v>216</v>
      </c>
      <c r="E856" t="s">
        <v>217</v>
      </c>
      <c r="F856" t="s">
        <v>408</v>
      </c>
      <c r="G856" t="s">
        <v>413</v>
      </c>
      <c r="H856">
        <v>367</v>
      </c>
      <c r="I856" t="s">
        <v>414</v>
      </c>
      <c r="J856">
        <v>29670</v>
      </c>
      <c r="K856" t="s">
        <v>4494</v>
      </c>
      <c r="L856" t="s">
        <v>3565</v>
      </c>
      <c r="M856" t="s">
        <v>4521</v>
      </c>
      <c r="N856" t="s">
        <v>417</v>
      </c>
      <c r="R856">
        <f>1</f>
        <v>1</v>
      </c>
      <c r="S856">
        <f>11.2</f>
        <v>11.2</v>
      </c>
      <c r="T856">
        <f>8.1</f>
        <v>8.1</v>
      </c>
      <c r="U856">
        <f>247</f>
        <v>247</v>
      </c>
      <c r="X856">
        <f>1</f>
        <v>1</v>
      </c>
      <c r="Y856">
        <f>0.11</f>
        <v>0.11</v>
      </c>
      <c r="Z856">
        <f>0</f>
        <v>0</v>
      </c>
      <c r="AA856">
        <f>0</f>
        <v>0</v>
      </c>
      <c r="AB856">
        <f>0</f>
        <v>0</v>
      </c>
      <c r="AC856">
        <f>0</f>
        <v>0</v>
      </c>
      <c r="AD856">
        <f>0</f>
        <v>0</v>
      </c>
      <c r="AE856">
        <f>0</f>
        <v>0</v>
      </c>
      <c r="AG856" t="s">
        <v>220</v>
      </c>
      <c r="AH856">
        <f>0.43</f>
        <v>0.43</v>
      </c>
      <c r="AK856" t="s">
        <v>285</v>
      </c>
      <c r="AL856" t="s">
        <v>181</v>
      </c>
      <c r="AM856">
        <f>3.7</f>
        <v>3.7</v>
      </c>
      <c r="AN856">
        <f>0.07</f>
        <v>7.0000000000000007E-2</v>
      </c>
      <c r="AO856">
        <f>2.5</f>
        <v>2.5</v>
      </c>
      <c r="AP856">
        <f>2.2</f>
        <v>2.2000000000000002</v>
      </c>
      <c r="AQ856" t="s">
        <v>284</v>
      </c>
      <c r="BQ856" t="s">
        <v>300</v>
      </c>
    </row>
    <row r="857" spans="1:81" x14ac:dyDescent="0.25">
      <c r="A857" t="s">
        <v>3024</v>
      </c>
      <c r="B857" t="s">
        <v>170</v>
      </c>
      <c r="C857" s="1">
        <v>46132</v>
      </c>
      <c r="D857" t="s">
        <v>222</v>
      </c>
      <c r="E857" t="s">
        <v>223</v>
      </c>
      <c r="F857" t="s">
        <v>4533</v>
      </c>
      <c r="G857" t="s">
        <v>3025</v>
      </c>
      <c r="H857">
        <v>1345</v>
      </c>
      <c r="I857" t="s">
        <v>3025</v>
      </c>
      <c r="J857">
        <v>175</v>
      </c>
      <c r="K857" t="s">
        <v>4492</v>
      </c>
      <c r="L857" t="s">
        <v>3303</v>
      </c>
      <c r="M857" t="s">
        <v>3026</v>
      </c>
      <c r="N857" t="s">
        <v>3027</v>
      </c>
      <c r="O857" t="s">
        <v>3028</v>
      </c>
      <c r="R857">
        <f>1</f>
        <v>1</v>
      </c>
      <c r="S857">
        <f>14</f>
        <v>14</v>
      </c>
      <c r="T857">
        <f>7.9</f>
        <v>7.9</v>
      </c>
      <c r="U857">
        <f>450</f>
        <v>450</v>
      </c>
      <c r="V857">
        <f>0.07</f>
        <v>7.0000000000000007E-2</v>
      </c>
      <c r="X857">
        <f>1</f>
        <v>1</v>
      </c>
      <c r="Y857" t="s">
        <v>180</v>
      </c>
      <c r="Z857">
        <f>0</f>
        <v>0</v>
      </c>
      <c r="AA857" t="s">
        <v>179</v>
      </c>
      <c r="AB857" t="s">
        <v>179</v>
      </c>
      <c r="AD857">
        <f>0</f>
        <v>0</v>
      </c>
      <c r="AE857">
        <f>0</f>
        <v>0</v>
      </c>
      <c r="AG857" t="s">
        <v>180</v>
      </c>
      <c r="AH857" t="s">
        <v>193</v>
      </c>
      <c r="AK857" t="s">
        <v>181</v>
      </c>
      <c r="AL857" t="s">
        <v>182</v>
      </c>
      <c r="AM857">
        <f>4.9</f>
        <v>4.9000000000000004</v>
      </c>
      <c r="AN857">
        <f>0.1</f>
        <v>0.1</v>
      </c>
      <c r="AO857">
        <f>15</f>
        <v>15</v>
      </c>
      <c r="AP857">
        <f>2.8</f>
        <v>2.8</v>
      </c>
      <c r="AQ857" t="s">
        <v>180</v>
      </c>
    </row>
    <row r="858" spans="1:81" x14ac:dyDescent="0.25">
      <c r="A858" t="s">
        <v>3029</v>
      </c>
      <c r="B858" t="s">
        <v>170</v>
      </c>
      <c r="C858" s="1">
        <v>46128</v>
      </c>
      <c r="D858" t="s">
        <v>184</v>
      </c>
      <c r="E858" t="s">
        <v>239</v>
      </c>
      <c r="F858" t="s">
        <v>3452</v>
      </c>
      <c r="G858" t="s">
        <v>3030</v>
      </c>
      <c r="H858">
        <v>1305</v>
      </c>
      <c r="I858" t="s">
        <v>3030</v>
      </c>
      <c r="J858">
        <v>232</v>
      </c>
      <c r="K858" t="s">
        <v>4494</v>
      </c>
      <c r="L858" t="s">
        <v>266</v>
      </c>
      <c r="M858" t="s">
        <v>3453</v>
      </c>
      <c r="N858" t="s">
        <v>3031</v>
      </c>
      <c r="O858" t="s">
        <v>3032</v>
      </c>
      <c r="R858">
        <f>1</f>
        <v>1</v>
      </c>
      <c r="S858">
        <f>10.7</f>
        <v>10.7</v>
      </c>
      <c r="T858">
        <f>8.1</f>
        <v>8.1</v>
      </c>
      <c r="U858">
        <f>460</f>
        <v>460</v>
      </c>
      <c r="V858">
        <f>0.16</f>
        <v>0.16</v>
      </c>
      <c r="X858">
        <f>0</f>
        <v>0</v>
      </c>
      <c r="Y858" t="s">
        <v>180</v>
      </c>
      <c r="Z858">
        <f>0</f>
        <v>0</v>
      </c>
      <c r="AA858" t="s">
        <v>179</v>
      </c>
      <c r="AB858">
        <f>19</f>
        <v>19</v>
      </c>
      <c r="AC858">
        <f>0</f>
        <v>0</v>
      </c>
      <c r="AD858">
        <f>0</f>
        <v>0</v>
      </c>
      <c r="AE858">
        <f>0</f>
        <v>0</v>
      </c>
      <c r="AG858" t="s">
        <v>220</v>
      </c>
      <c r="CC858">
        <f>0.13</f>
        <v>0.13</v>
      </c>
    </row>
    <row r="859" spans="1:81" x14ac:dyDescent="0.25">
      <c r="A859" t="s">
        <v>3033</v>
      </c>
      <c r="B859" t="s">
        <v>170</v>
      </c>
      <c r="C859" s="1">
        <v>46086</v>
      </c>
      <c r="D859" t="s">
        <v>302</v>
      </c>
      <c r="E859" t="s">
        <v>303</v>
      </c>
      <c r="F859" t="s">
        <v>3720</v>
      </c>
      <c r="G859" t="s">
        <v>3797</v>
      </c>
      <c r="H859">
        <v>1469</v>
      </c>
      <c r="I859" t="s">
        <v>3798</v>
      </c>
      <c r="J859">
        <v>100</v>
      </c>
      <c r="K859" t="s">
        <v>4494</v>
      </c>
      <c r="L859" t="s">
        <v>266</v>
      </c>
      <c r="M859" t="s">
        <v>4186</v>
      </c>
      <c r="N859" t="s">
        <v>3668</v>
      </c>
      <c r="O859" t="s">
        <v>3034</v>
      </c>
      <c r="R859">
        <f>1</f>
        <v>1</v>
      </c>
      <c r="S859">
        <f>11.9</f>
        <v>11.9</v>
      </c>
      <c r="T859">
        <f>7.1</f>
        <v>7.1</v>
      </c>
      <c r="U859">
        <f>224</f>
        <v>224</v>
      </c>
      <c r="V859">
        <f>0.18</f>
        <v>0.18</v>
      </c>
      <c r="X859">
        <f>0</f>
        <v>0</v>
      </c>
      <c r="Y859" t="s">
        <v>180</v>
      </c>
      <c r="Z859">
        <f>0</f>
        <v>0</v>
      </c>
      <c r="AA859" t="s">
        <v>179</v>
      </c>
      <c r="AB859" t="s">
        <v>179</v>
      </c>
      <c r="AC859">
        <f>0</f>
        <v>0</v>
      </c>
      <c r="AD859">
        <f>0</f>
        <v>0</v>
      </c>
      <c r="AE859">
        <f>0</f>
        <v>0</v>
      </c>
      <c r="AG859" t="s">
        <v>180</v>
      </c>
    </row>
    <row r="860" spans="1:81" x14ac:dyDescent="0.25">
      <c r="A860" t="s">
        <v>3035</v>
      </c>
      <c r="B860" t="s">
        <v>170</v>
      </c>
      <c r="C860" s="1">
        <v>46097</v>
      </c>
      <c r="D860" t="s">
        <v>222</v>
      </c>
      <c r="E860" t="s">
        <v>260</v>
      </c>
      <c r="F860" t="s">
        <v>518</v>
      </c>
      <c r="G860" t="s">
        <v>3036</v>
      </c>
      <c r="H860">
        <v>1482</v>
      </c>
      <c r="I860" t="s">
        <v>3036</v>
      </c>
      <c r="J860">
        <v>142</v>
      </c>
      <c r="K860" t="s">
        <v>4494</v>
      </c>
      <c r="L860" t="s">
        <v>3578</v>
      </c>
      <c r="M860" t="s">
        <v>3037</v>
      </c>
      <c r="N860" t="s">
        <v>4943</v>
      </c>
      <c r="O860" t="s">
        <v>3038</v>
      </c>
      <c r="R860">
        <f>1</f>
        <v>1</v>
      </c>
      <c r="S860">
        <f>9.2</f>
        <v>9.1999999999999993</v>
      </c>
      <c r="T860">
        <f>7.5</f>
        <v>7.5</v>
      </c>
      <c r="U860">
        <f>334</f>
        <v>334</v>
      </c>
      <c r="V860">
        <f>0.3</f>
        <v>0.3</v>
      </c>
      <c r="X860">
        <f>1</f>
        <v>1</v>
      </c>
      <c r="Y860">
        <f>0.15</f>
        <v>0.15</v>
      </c>
      <c r="Z860">
        <f>0</f>
        <v>0</v>
      </c>
      <c r="AA860" t="s">
        <v>179</v>
      </c>
      <c r="AB860" t="s">
        <v>179</v>
      </c>
      <c r="AC860">
        <f>0</f>
        <v>0</v>
      </c>
      <c r="AD860">
        <f>0</f>
        <v>0</v>
      </c>
      <c r="AE860">
        <f>0</f>
        <v>0</v>
      </c>
      <c r="AG860" t="s">
        <v>180</v>
      </c>
    </row>
    <row r="861" spans="1:81" x14ac:dyDescent="0.25">
      <c r="A861" t="s">
        <v>3039</v>
      </c>
      <c r="B861" t="s">
        <v>170</v>
      </c>
      <c r="C861" s="1">
        <v>46133</v>
      </c>
      <c r="D861" t="s">
        <v>216</v>
      </c>
      <c r="E861" t="s">
        <v>217</v>
      </c>
      <c r="F861" t="s">
        <v>368</v>
      </c>
      <c r="G861" t="s">
        <v>3040</v>
      </c>
      <c r="H861">
        <v>1375</v>
      </c>
      <c r="I861" t="s">
        <v>3041</v>
      </c>
      <c r="J861">
        <v>122</v>
      </c>
      <c r="K861" t="s">
        <v>4494</v>
      </c>
      <c r="L861" t="s">
        <v>369</v>
      </c>
      <c r="M861" t="s">
        <v>4944</v>
      </c>
      <c r="N861" t="s">
        <v>3042</v>
      </c>
      <c r="O861" t="s">
        <v>3043</v>
      </c>
      <c r="R861">
        <f>1</f>
        <v>1</v>
      </c>
      <c r="S861">
        <f>12.9</f>
        <v>12.9</v>
      </c>
      <c r="T861">
        <f>8.3</f>
        <v>8.3000000000000007</v>
      </c>
      <c r="U861">
        <f>239</f>
        <v>239</v>
      </c>
      <c r="V861" t="s">
        <v>192</v>
      </c>
      <c r="X861">
        <f>1</f>
        <v>1</v>
      </c>
      <c r="Y861">
        <f>0.1</f>
        <v>0.1</v>
      </c>
      <c r="Z861">
        <f>0</f>
        <v>0</v>
      </c>
      <c r="AA861">
        <f>0</f>
        <v>0</v>
      </c>
      <c r="AB861">
        <f>0</f>
        <v>0</v>
      </c>
      <c r="AC861">
        <f>0</f>
        <v>0</v>
      </c>
      <c r="AD861">
        <f>0</f>
        <v>0</v>
      </c>
      <c r="AE861">
        <f>0</f>
        <v>0</v>
      </c>
      <c r="AG861" t="s">
        <v>220</v>
      </c>
    </row>
    <row r="862" spans="1:81" x14ac:dyDescent="0.25">
      <c r="A862" t="s">
        <v>3044</v>
      </c>
      <c r="B862" t="s">
        <v>170</v>
      </c>
      <c r="C862" s="1">
        <v>46105</v>
      </c>
      <c r="D862" t="s">
        <v>184</v>
      </c>
      <c r="E862" t="s">
        <v>185</v>
      </c>
      <c r="F862" t="s">
        <v>4945</v>
      </c>
      <c r="G862" t="s">
        <v>3799</v>
      </c>
      <c r="H862">
        <v>1002</v>
      </c>
      <c r="I862" t="s">
        <v>3800</v>
      </c>
      <c r="J862">
        <v>140</v>
      </c>
      <c r="K862" t="s">
        <v>4492</v>
      </c>
      <c r="L862" t="s">
        <v>266</v>
      </c>
      <c r="M862" t="s">
        <v>3801</v>
      </c>
      <c r="N862" t="s">
        <v>3802</v>
      </c>
      <c r="O862" t="s">
        <v>3045</v>
      </c>
      <c r="R862">
        <f>1</f>
        <v>1</v>
      </c>
      <c r="S862">
        <f>11.7</f>
        <v>11.7</v>
      </c>
      <c r="T862">
        <f>7.7</f>
        <v>7.7</v>
      </c>
      <c r="U862">
        <f>419</f>
        <v>419</v>
      </c>
      <c r="V862">
        <f>0.25</f>
        <v>0.25</v>
      </c>
      <c r="X862">
        <f>0</f>
        <v>0</v>
      </c>
      <c r="Y862" t="s">
        <v>180</v>
      </c>
      <c r="Z862">
        <f>0</f>
        <v>0</v>
      </c>
      <c r="AA862" t="s">
        <v>179</v>
      </c>
      <c r="AB862" t="s">
        <v>179</v>
      </c>
      <c r="AD862">
        <f>0</f>
        <v>0</v>
      </c>
      <c r="AE862">
        <f>0</f>
        <v>0</v>
      </c>
      <c r="AG862" t="s">
        <v>180</v>
      </c>
    </row>
    <row r="863" spans="1:81" x14ac:dyDescent="0.25">
      <c r="A863" t="s">
        <v>3046</v>
      </c>
      <c r="B863" t="s">
        <v>170</v>
      </c>
      <c r="C863" s="1">
        <v>46098</v>
      </c>
      <c r="D863" t="s">
        <v>216</v>
      </c>
      <c r="E863" t="s">
        <v>217</v>
      </c>
      <c r="F863" t="s">
        <v>3555</v>
      </c>
      <c r="G863" t="s">
        <v>3047</v>
      </c>
      <c r="H863">
        <v>1277</v>
      </c>
      <c r="I863" t="s">
        <v>3047</v>
      </c>
      <c r="J863">
        <v>72</v>
      </c>
      <c r="K863" t="s">
        <v>4494</v>
      </c>
      <c r="L863" t="s">
        <v>266</v>
      </c>
      <c r="M863" t="s">
        <v>4543</v>
      </c>
      <c r="N863" t="s">
        <v>4946</v>
      </c>
      <c r="O863" t="s">
        <v>3048</v>
      </c>
      <c r="R863">
        <f>1</f>
        <v>1</v>
      </c>
      <c r="S863">
        <f>11.1</f>
        <v>11.1</v>
      </c>
      <c r="T863">
        <f>8</f>
        <v>8</v>
      </c>
      <c r="U863">
        <f>412</f>
        <v>412</v>
      </c>
      <c r="V863">
        <f>0.11</f>
        <v>0.11</v>
      </c>
      <c r="X863">
        <f>1</f>
        <v>1</v>
      </c>
      <c r="Y863">
        <f>0.19</f>
        <v>0.19</v>
      </c>
      <c r="Z863">
        <f>0</f>
        <v>0</v>
      </c>
      <c r="AA863">
        <f>0</f>
        <v>0</v>
      </c>
      <c r="AB863">
        <f>1</f>
        <v>1</v>
      </c>
      <c r="AC863">
        <f>0</f>
        <v>0</v>
      </c>
      <c r="AD863">
        <f>0</f>
        <v>0</v>
      </c>
      <c r="AE863">
        <f>0</f>
        <v>0</v>
      </c>
      <c r="AG863" t="s">
        <v>220</v>
      </c>
    </row>
    <row r="864" spans="1:81" x14ac:dyDescent="0.25">
      <c r="A864" t="s">
        <v>3049</v>
      </c>
      <c r="B864" t="s">
        <v>170</v>
      </c>
      <c r="C864" s="1">
        <v>46125</v>
      </c>
      <c r="D864" t="s">
        <v>216</v>
      </c>
      <c r="E864" t="s">
        <v>217</v>
      </c>
      <c r="F864" t="s">
        <v>368</v>
      </c>
      <c r="G864" t="s">
        <v>4450</v>
      </c>
      <c r="H864">
        <v>1365</v>
      </c>
      <c r="I864" t="s">
        <v>4450</v>
      </c>
      <c r="J864">
        <v>68</v>
      </c>
      <c r="K864" t="s">
        <v>4494</v>
      </c>
      <c r="L864" t="s">
        <v>266</v>
      </c>
      <c r="M864" t="s">
        <v>3050</v>
      </c>
      <c r="N864" t="s">
        <v>4947</v>
      </c>
      <c r="O864" t="s">
        <v>3051</v>
      </c>
      <c r="R864">
        <f>1</f>
        <v>1</v>
      </c>
      <c r="S864">
        <f>10.1</f>
        <v>10.1</v>
      </c>
      <c r="T864">
        <f>8</f>
        <v>8</v>
      </c>
      <c r="U864">
        <f>218</f>
        <v>218</v>
      </c>
      <c r="V864" t="s">
        <v>192</v>
      </c>
      <c r="X864">
        <f>1</f>
        <v>1</v>
      </c>
      <c r="Y864">
        <f>0.13</f>
        <v>0.13</v>
      </c>
      <c r="Z864">
        <f>0</f>
        <v>0</v>
      </c>
      <c r="AA864">
        <f>2</f>
        <v>2</v>
      </c>
      <c r="AB864">
        <f>0</f>
        <v>0</v>
      </c>
      <c r="AC864">
        <f>0</f>
        <v>0</v>
      </c>
      <c r="AD864">
        <f>0</f>
        <v>0</v>
      </c>
      <c r="AE864">
        <f>0</f>
        <v>0</v>
      </c>
      <c r="AG864" t="s">
        <v>220</v>
      </c>
      <c r="AH864" t="s">
        <v>411</v>
      </c>
      <c r="AK864" t="s">
        <v>285</v>
      </c>
      <c r="AL864" t="s">
        <v>181</v>
      </c>
      <c r="AM864">
        <f>4.3</f>
        <v>4.3</v>
      </c>
      <c r="AN864">
        <f>0.09</f>
        <v>0.09</v>
      </c>
      <c r="AO864">
        <f>1.7</f>
        <v>1.7</v>
      </c>
      <c r="AP864" t="s">
        <v>284</v>
      </c>
      <c r="AQ864" t="s">
        <v>284</v>
      </c>
    </row>
    <row r="865" spans="1:43" x14ac:dyDescent="0.25">
      <c r="A865" t="s">
        <v>3052</v>
      </c>
      <c r="B865" t="s">
        <v>170</v>
      </c>
      <c r="C865" s="1">
        <v>46132</v>
      </c>
      <c r="D865" t="s">
        <v>222</v>
      </c>
      <c r="E865" t="s">
        <v>260</v>
      </c>
      <c r="F865" t="s">
        <v>518</v>
      </c>
      <c r="G865" t="s">
        <v>3053</v>
      </c>
      <c r="H865">
        <v>999</v>
      </c>
      <c r="I865" t="s">
        <v>3053</v>
      </c>
      <c r="J865">
        <v>80</v>
      </c>
      <c r="K865" t="s">
        <v>4494</v>
      </c>
      <c r="L865" t="s">
        <v>369</v>
      </c>
      <c r="M865" t="s">
        <v>4948</v>
      </c>
      <c r="N865" t="s">
        <v>3054</v>
      </c>
      <c r="O865" t="s">
        <v>3055</v>
      </c>
      <c r="R865">
        <f>1</f>
        <v>1</v>
      </c>
      <c r="S865">
        <f>11.6</f>
        <v>11.6</v>
      </c>
      <c r="T865">
        <f>7.3</f>
        <v>7.3</v>
      </c>
      <c r="U865">
        <f>548</f>
        <v>548</v>
      </c>
      <c r="V865">
        <f>0.06</f>
        <v>0.06</v>
      </c>
      <c r="X865">
        <f>0</f>
        <v>0</v>
      </c>
      <c r="Y865">
        <f>2.37</f>
        <v>2.37</v>
      </c>
      <c r="Z865">
        <f>0</f>
        <v>0</v>
      </c>
      <c r="AA865" t="s">
        <v>179</v>
      </c>
      <c r="AB865" t="s">
        <v>179</v>
      </c>
      <c r="AC865">
        <f>0</f>
        <v>0</v>
      </c>
      <c r="AD865">
        <f>0</f>
        <v>0</v>
      </c>
      <c r="AE865">
        <f>0</f>
        <v>0</v>
      </c>
      <c r="AG865" t="s">
        <v>180</v>
      </c>
      <c r="AH865" t="s">
        <v>193</v>
      </c>
      <c r="AK865" t="s">
        <v>181</v>
      </c>
      <c r="AL865" t="s">
        <v>182</v>
      </c>
      <c r="AM865">
        <f>2.9</f>
        <v>2.9</v>
      </c>
      <c r="AN865">
        <f>0.06</f>
        <v>0.06</v>
      </c>
      <c r="AO865">
        <f>8.9</f>
        <v>8.9</v>
      </c>
      <c r="AP865">
        <f>2</f>
        <v>2</v>
      </c>
      <c r="AQ865" t="s">
        <v>180</v>
      </c>
    </row>
    <row r="866" spans="1:43" x14ac:dyDescent="0.25">
      <c r="A866" t="s">
        <v>3056</v>
      </c>
      <c r="B866" t="s">
        <v>170</v>
      </c>
      <c r="C866" s="1">
        <v>46113</v>
      </c>
      <c r="D866" t="s">
        <v>222</v>
      </c>
      <c r="E866" t="s">
        <v>260</v>
      </c>
      <c r="F866" t="s">
        <v>518</v>
      </c>
      <c r="G866" t="s">
        <v>3057</v>
      </c>
      <c r="H866">
        <v>1412</v>
      </c>
      <c r="I866" t="s">
        <v>3057</v>
      </c>
      <c r="J866">
        <v>129</v>
      </c>
      <c r="K866" t="s">
        <v>4494</v>
      </c>
      <c r="L866" t="s">
        <v>691</v>
      </c>
      <c r="M866" t="s">
        <v>4949</v>
      </c>
      <c r="N866" t="s">
        <v>3058</v>
      </c>
      <c r="O866" t="s">
        <v>3059</v>
      </c>
      <c r="R866">
        <f>1</f>
        <v>1</v>
      </c>
      <c r="S866">
        <f>9.9</f>
        <v>9.9</v>
      </c>
      <c r="T866">
        <f>7.6</f>
        <v>7.6</v>
      </c>
      <c r="U866">
        <f>328</f>
        <v>328</v>
      </c>
      <c r="V866">
        <f>0.08</f>
        <v>0.08</v>
      </c>
      <c r="X866">
        <f>0</f>
        <v>0</v>
      </c>
      <c r="Y866">
        <f>0.9</f>
        <v>0.9</v>
      </c>
      <c r="Z866">
        <f>0</f>
        <v>0</v>
      </c>
      <c r="AA866" t="s">
        <v>179</v>
      </c>
      <c r="AB866" t="s">
        <v>179</v>
      </c>
      <c r="AC866">
        <f>0</f>
        <v>0</v>
      </c>
      <c r="AD866">
        <f>0</f>
        <v>0</v>
      </c>
      <c r="AE866">
        <f>0</f>
        <v>0</v>
      </c>
      <c r="AG866" t="s">
        <v>180</v>
      </c>
      <c r="AH866" t="s">
        <v>193</v>
      </c>
      <c r="AK866" t="s">
        <v>181</v>
      </c>
      <c r="AL866" t="s">
        <v>182</v>
      </c>
      <c r="AM866">
        <f>1.3</f>
        <v>1.3</v>
      </c>
      <c r="AN866">
        <f>0.03</f>
        <v>0.03</v>
      </c>
      <c r="AO866">
        <f>7.7</f>
        <v>7.7</v>
      </c>
      <c r="AP866">
        <f>1.8</f>
        <v>1.8</v>
      </c>
      <c r="AQ866" t="s">
        <v>180</v>
      </c>
    </row>
    <row r="867" spans="1:43" x14ac:dyDescent="0.25">
      <c r="A867" t="s">
        <v>3060</v>
      </c>
      <c r="B867" t="s">
        <v>170</v>
      </c>
      <c r="C867" s="1">
        <v>46132</v>
      </c>
      <c r="D867" t="s">
        <v>222</v>
      </c>
      <c r="E867" t="s">
        <v>260</v>
      </c>
      <c r="F867" t="s">
        <v>518</v>
      </c>
      <c r="G867" t="s">
        <v>4187</v>
      </c>
      <c r="H867">
        <v>1436</v>
      </c>
      <c r="I867" t="s">
        <v>4187</v>
      </c>
      <c r="J867">
        <v>137</v>
      </c>
      <c r="K867" t="s">
        <v>4494</v>
      </c>
      <c r="L867" t="s">
        <v>266</v>
      </c>
      <c r="M867" t="s">
        <v>4950</v>
      </c>
      <c r="N867" t="s">
        <v>4951</v>
      </c>
      <c r="O867" t="s">
        <v>3061</v>
      </c>
      <c r="R867">
        <f>1</f>
        <v>1</v>
      </c>
      <c r="S867">
        <f>13</f>
        <v>13</v>
      </c>
      <c r="T867">
        <f>7.8</f>
        <v>7.8</v>
      </c>
      <c r="U867">
        <f>433</f>
        <v>433</v>
      </c>
      <c r="V867">
        <f>0.05</f>
        <v>0.05</v>
      </c>
      <c r="X867">
        <f>0</f>
        <v>0</v>
      </c>
      <c r="Y867">
        <f>0.18</f>
        <v>0.18</v>
      </c>
      <c r="Z867">
        <f>0</f>
        <v>0</v>
      </c>
      <c r="AA867" t="s">
        <v>179</v>
      </c>
      <c r="AB867" t="s">
        <v>179</v>
      </c>
      <c r="AC867">
        <f>0</f>
        <v>0</v>
      </c>
      <c r="AD867">
        <f>0</f>
        <v>0</v>
      </c>
      <c r="AE867">
        <f>0</f>
        <v>0</v>
      </c>
      <c r="AG867" t="s">
        <v>180</v>
      </c>
    </row>
    <row r="868" spans="1:43" x14ac:dyDescent="0.25">
      <c r="A868" t="s">
        <v>3062</v>
      </c>
      <c r="B868" t="s">
        <v>170</v>
      </c>
      <c r="C868" s="1">
        <v>46098</v>
      </c>
      <c r="D868" t="s">
        <v>222</v>
      </c>
      <c r="E868" t="s">
        <v>260</v>
      </c>
      <c r="F868" t="s">
        <v>518</v>
      </c>
      <c r="G868" t="s">
        <v>3063</v>
      </c>
      <c r="H868">
        <v>1422</v>
      </c>
      <c r="I868" t="s">
        <v>3064</v>
      </c>
      <c r="J868">
        <v>98</v>
      </c>
      <c r="K868" t="s">
        <v>4494</v>
      </c>
      <c r="L868" t="s">
        <v>369</v>
      </c>
      <c r="M868" t="s">
        <v>4952</v>
      </c>
      <c r="N868" t="s">
        <v>3065</v>
      </c>
      <c r="O868" t="s">
        <v>3066</v>
      </c>
      <c r="R868">
        <f>1</f>
        <v>1</v>
      </c>
      <c r="S868">
        <f>11.5</f>
        <v>11.5</v>
      </c>
      <c r="T868">
        <f>7.2</f>
        <v>7.2</v>
      </c>
      <c r="U868">
        <f>445</f>
        <v>445</v>
      </c>
      <c r="V868">
        <f>0.19</f>
        <v>0.19</v>
      </c>
      <c r="X868">
        <f>1</f>
        <v>1</v>
      </c>
      <c r="Y868" t="s">
        <v>180</v>
      </c>
      <c r="Z868">
        <f>0</f>
        <v>0</v>
      </c>
      <c r="AA868" t="s">
        <v>179</v>
      </c>
      <c r="AB868" t="s">
        <v>179</v>
      </c>
      <c r="AC868">
        <f>0</f>
        <v>0</v>
      </c>
      <c r="AD868">
        <f>0</f>
        <v>0</v>
      </c>
      <c r="AE868">
        <f>0</f>
        <v>0</v>
      </c>
      <c r="AG868" t="s">
        <v>180</v>
      </c>
    </row>
    <row r="869" spans="1:43" x14ac:dyDescent="0.25">
      <c r="A869" t="s">
        <v>3067</v>
      </c>
      <c r="B869" t="s">
        <v>170</v>
      </c>
      <c r="C869" s="1">
        <v>46127</v>
      </c>
      <c r="D869" t="s">
        <v>216</v>
      </c>
      <c r="E869" t="s">
        <v>217</v>
      </c>
      <c r="F869" t="s">
        <v>3312</v>
      </c>
      <c r="G869" t="s">
        <v>3068</v>
      </c>
      <c r="H869">
        <v>1535</v>
      </c>
      <c r="I869" t="s">
        <v>3068</v>
      </c>
      <c r="J869">
        <v>69</v>
      </c>
      <c r="K869" t="s">
        <v>4494</v>
      </c>
      <c r="L869" t="s">
        <v>3617</v>
      </c>
      <c r="M869" s="2" t="s">
        <v>4953</v>
      </c>
      <c r="N869" t="s">
        <v>3069</v>
      </c>
      <c r="O869" t="s">
        <v>3070</v>
      </c>
      <c r="Q869" t="s">
        <v>3614</v>
      </c>
      <c r="R869">
        <f>1</f>
        <v>1</v>
      </c>
      <c r="S869">
        <f>13</f>
        <v>13</v>
      </c>
      <c r="T869">
        <f>7.7</f>
        <v>7.7</v>
      </c>
      <c r="U869">
        <f>385</f>
        <v>385</v>
      </c>
      <c r="V869" t="s">
        <v>192</v>
      </c>
      <c r="X869">
        <f>1</f>
        <v>1</v>
      </c>
      <c r="Y869">
        <f>0.2</f>
        <v>0.2</v>
      </c>
      <c r="Z869">
        <f>0</f>
        <v>0</v>
      </c>
      <c r="AA869">
        <f>0</f>
        <v>0</v>
      </c>
      <c r="AB869">
        <f>0</f>
        <v>0</v>
      </c>
      <c r="AC869">
        <f>0</f>
        <v>0</v>
      </c>
      <c r="AD869">
        <f>0</f>
        <v>0</v>
      </c>
      <c r="AE869">
        <f>0</f>
        <v>0</v>
      </c>
      <c r="AG869" t="s">
        <v>220</v>
      </c>
      <c r="AH869">
        <f>0.51</f>
        <v>0.51</v>
      </c>
      <c r="AK869" t="s">
        <v>285</v>
      </c>
      <c r="AL869" t="s">
        <v>181</v>
      </c>
      <c r="AM869">
        <f>3.4</f>
        <v>3.4</v>
      </c>
      <c r="AN869">
        <f>0.07</f>
        <v>7.0000000000000007E-2</v>
      </c>
      <c r="AO869">
        <f>2.1</f>
        <v>2.1</v>
      </c>
      <c r="AP869">
        <f>2.7</f>
        <v>2.7</v>
      </c>
      <c r="AQ869" t="s">
        <v>284</v>
      </c>
    </row>
    <row r="870" spans="1:43" x14ac:dyDescent="0.25">
      <c r="A870" t="s">
        <v>3071</v>
      </c>
      <c r="B870" t="s">
        <v>170</v>
      </c>
      <c r="C870" s="1">
        <v>46135</v>
      </c>
      <c r="D870" t="s">
        <v>184</v>
      </c>
      <c r="E870" t="s">
        <v>546</v>
      </c>
      <c r="F870" t="s">
        <v>547</v>
      </c>
      <c r="G870" t="s">
        <v>3072</v>
      </c>
      <c r="H870">
        <v>1519</v>
      </c>
      <c r="I870" t="s">
        <v>3073</v>
      </c>
      <c r="J870">
        <v>100</v>
      </c>
      <c r="K870" t="s">
        <v>4492</v>
      </c>
      <c r="L870" t="s">
        <v>266</v>
      </c>
      <c r="M870" t="s">
        <v>1215</v>
      </c>
      <c r="N870" t="s">
        <v>3074</v>
      </c>
      <c r="O870" t="s">
        <v>3075</v>
      </c>
      <c r="R870">
        <f>1</f>
        <v>1</v>
      </c>
      <c r="S870">
        <f>11</f>
        <v>11</v>
      </c>
      <c r="T870">
        <f>7.5</f>
        <v>7.5</v>
      </c>
      <c r="U870">
        <f>553</f>
        <v>553</v>
      </c>
      <c r="V870">
        <f>0.15</f>
        <v>0.15</v>
      </c>
      <c r="X870">
        <f>0</f>
        <v>0</v>
      </c>
      <c r="Y870" t="s">
        <v>180</v>
      </c>
      <c r="Z870">
        <f>0</f>
        <v>0</v>
      </c>
      <c r="AA870">
        <f>17</f>
        <v>17</v>
      </c>
      <c r="AB870" t="s">
        <v>179</v>
      </c>
      <c r="AD870">
        <f>0</f>
        <v>0</v>
      </c>
      <c r="AE870">
        <f>0</f>
        <v>0</v>
      </c>
      <c r="AG870" t="s">
        <v>180</v>
      </c>
      <c r="AH870" t="s">
        <v>193</v>
      </c>
      <c r="AK870" t="s">
        <v>181</v>
      </c>
      <c r="AL870" t="s">
        <v>182</v>
      </c>
      <c r="AM870">
        <f>8.4</f>
        <v>8.4</v>
      </c>
      <c r="AN870">
        <f>0.17</f>
        <v>0.17</v>
      </c>
      <c r="AO870">
        <f>7.6</f>
        <v>7.6</v>
      </c>
      <c r="AP870">
        <f>10</f>
        <v>10</v>
      </c>
      <c r="AQ870" t="s">
        <v>180</v>
      </c>
    </row>
    <row r="871" spans="1:43" x14ac:dyDescent="0.25">
      <c r="A871" t="s">
        <v>3076</v>
      </c>
      <c r="B871" t="s">
        <v>170</v>
      </c>
      <c r="C871" s="1">
        <v>46128</v>
      </c>
      <c r="D871" t="s">
        <v>222</v>
      </c>
      <c r="E871" t="s">
        <v>260</v>
      </c>
      <c r="F871" t="s">
        <v>3579</v>
      </c>
      <c r="G871" t="s">
        <v>4451</v>
      </c>
      <c r="H871">
        <v>1424</v>
      </c>
      <c r="I871" t="s">
        <v>3803</v>
      </c>
      <c r="J871">
        <v>86</v>
      </c>
      <c r="K871" t="s">
        <v>4492</v>
      </c>
      <c r="L871" t="s">
        <v>266</v>
      </c>
      <c r="M871" t="s">
        <v>4954</v>
      </c>
      <c r="N871" t="s">
        <v>3669</v>
      </c>
      <c r="O871" t="s">
        <v>3077</v>
      </c>
      <c r="R871">
        <f>1</f>
        <v>1</v>
      </c>
      <c r="S871">
        <f>11.6</f>
        <v>11.6</v>
      </c>
      <c r="T871">
        <f>7.8</f>
        <v>7.8</v>
      </c>
      <c r="U871">
        <f>536</f>
        <v>536</v>
      </c>
      <c r="V871">
        <f>0.21</f>
        <v>0.21</v>
      </c>
      <c r="X871">
        <f>0</f>
        <v>0</v>
      </c>
      <c r="Y871" t="s">
        <v>180</v>
      </c>
      <c r="Z871">
        <f>0</f>
        <v>0</v>
      </c>
      <c r="AA871" t="s">
        <v>179</v>
      </c>
      <c r="AB871" t="s">
        <v>179</v>
      </c>
      <c r="AD871">
        <f>0</f>
        <v>0</v>
      </c>
      <c r="AE871">
        <f>0</f>
        <v>0</v>
      </c>
      <c r="AG871" t="s">
        <v>220</v>
      </c>
    </row>
    <row r="872" spans="1:43" x14ac:dyDescent="0.25">
      <c r="A872" t="s">
        <v>3078</v>
      </c>
      <c r="B872" t="s">
        <v>170</v>
      </c>
      <c r="C872" s="1">
        <v>46125</v>
      </c>
      <c r="D872" t="s">
        <v>184</v>
      </c>
      <c r="E872" t="s">
        <v>546</v>
      </c>
      <c r="F872" t="s">
        <v>547</v>
      </c>
      <c r="G872" t="s">
        <v>3079</v>
      </c>
      <c r="H872">
        <v>1799</v>
      </c>
      <c r="I872" t="s">
        <v>3080</v>
      </c>
      <c r="J872">
        <v>109</v>
      </c>
      <c r="K872" t="s">
        <v>4494</v>
      </c>
      <c r="L872" t="s">
        <v>266</v>
      </c>
      <c r="M872" t="s">
        <v>3081</v>
      </c>
      <c r="N872" t="s">
        <v>3454</v>
      </c>
      <c r="R872">
        <f>1</f>
        <v>1</v>
      </c>
      <c r="S872">
        <f>10.1</f>
        <v>10.1</v>
      </c>
      <c r="T872">
        <f>8</f>
        <v>8</v>
      </c>
      <c r="U872">
        <f>422</f>
        <v>422</v>
      </c>
      <c r="V872">
        <f>0.13</f>
        <v>0.13</v>
      </c>
      <c r="X872">
        <f>0</f>
        <v>0</v>
      </c>
      <c r="Y872" t="s">
        <v>180</v>
      </c>
      <c r="Z872">
        <f>0</f>
        <v>0</v>
      </c>
      <c r="AA872" t="s">
        <v>179</v>
      </c>
      <c r="AB872" t="s">
        <v>179</v>
      </c>
      <c r="AC872">
        <f>0</f>
        <v>0</v>
      </c>
      <c r="AD872">
        <f>0</f>
        <v>0</v>
      </c>
      <c r="AE872">
        <f>0</f>
        <v>0</v>
      </c>
      <c r="AG872" t="s">
        <v>180</v>
      </c>
    </row>
    <row r="873" spans="1:43" x14ac:dyDescent="0.25">
      <c r="A873" t="s">
        <v>3082</v>
      </c>
      <c r="B873" t="s">
        <v>170</v>
      </c>
      <c r="C873" s="1">
        <v>46104</v>
      </c>
      <c r="D873" t="s">
        <v>184</v>
      </c>
      <c r="E873" t="s">
        <v>546</v>
      </c>
      <c r="F873" t="s">
        <v>1855</v>
      </c>
      <c r="G873" t="s">
        <v>4452</v>
      </c>
      <c r="H873">
        <v>983</v>
      </c>
      <c r="I873" t="s">
        <v>4452</v>
      </c>
      <c r="J873">
        <v>126</v>
      </c>
      <c r="K873" t="s">
        <v>4492</v>
      </c>
      <c r="L873" t="s">
        <v>266</v>
      </c>
      <c r="M873" t="s">
        <v>4453</v>
      </c>
      <c r="N873" t="s">
        <v>4454</v>
      </c>
      <c r="R873">
        <f>1</f>
        <v>1</v>
      </c>
      <c r="S873">
        <f>11.9</f>
        <v>11.9</v>
      </c>
      <c r="T873">
        <f>7.9</f>
        <v>7.9</v>
      </c>
      <c r="U873">
        <f>356</f>
        <v>356</v>
      </c>
      <c r="V873">
        <f>0.1</f>
        <v>0.1</v>
      </c>
      <c r="X873">
        <f>0</f>
        <v>0</v>
      </c>
      <c r="Y873">
        <f>0.2</f>
        <v>0.2</v>
      </c>
      <c r="Z873">
        <f>0</f>
        <v>0</v>
      </c>
      <c r="AA873" t="s">
        <v>179</v>
      </c>
      <c r="AB873" t="s">
        <v>179</v>
      </c>
      <c r="AD873">
        <f>0</f>
        <v>0</v>
      </c>
      <c r="AE873">
        <f>0</f>
        <v>0</v>
      </c>
      <c r="AG873" t="s">
        <v>180</v>
      </c>
    </row>
    <row r="874" spans="1:43" x14ac:dyDescent="0.25">
      <c r="A874" t="s">
        <v>3083</v>
      </c>
      <c r="B874" t="s">
        <v>170</v>
      </c>
      <c r="C874" s="1">
        <v>46085</v>
      </c>
      <c r="D874" t="s">
        <v>195</v>
      </c>
      <c r="E874" t="s">
        <v>448</v>
      </c>
      <c r="F874" t="s">
        <v>449</v>
      </c>
      <c r="G874" t="s">
        <v>450</v>
      </c>
      <c r="H874">
        <v>193</v>
      </c>
      <c r="I874" t="s">
        <v>450</v>
      </c>
      <c r="J874">
        <v>10226</v>
      </c>
      <c r="K874" t="s">
        <v>4494</v>
      </c>
      <c r="L874" t="s">
        <v>451</v>
      </c>
      <c r="M874" t="s">
        <v>4188</v>
      </c>
      <c r="N874" t="s">
        <v>3084</v>
      </c>
      <c r="O874" t="s">
        <v>3085</v>
      </c>
      <c r="R874">
        <f>1</f>
        <v>1</v>
      </c>
      <c r="S874">
        <f>10</f>
        <v>10</v>
      </c>
      <c r="T874">
        <f>7.8</f>
        <v>7.8</v>
      </c>
      <c r="U874">
        <f>362</f>
        <v>362</v>
      </c>
      <c r="X874">
        <f>0</f>
        <v>0</v>
      </c>
      <c r="Y874">
        <f>0.02</f>
        <v>0.02</v>
      </c>
      <c r="Z874">
        <f>0</f>
        <v>0</v>
      </c>
      <c r="AA874">
        <f>0</f>
        <v>0</v>
      </c>
      <c r="AB874">
        <f>0</f>
        <v>0</v>
      </c>
      <c r="AC874">
        <f>0</f>
        <v>0</v>
      </c>
      <c r="AD874">
        <f>0</f>
        <v>0</v>
      </c>
      <c r="AE874">
        <f>0</f>
        <v>0</v>
      </c>
      <c r="AG874" t="s">
        <v>180</v>
      </c>
      <c r="AH874">
        <f>0.67</f>
        <v>0.67</v>
      </c>
      <c r="AK874" t="s">
        <v>699</v>
      </c>
      <c r="AL874" t="s">
        <v>286</v>
      </c>
      <c r="AM874">
        <f>6.1</f>
        <v>6.1</v>
      </c>
      <c r="AN874">
        <f>0.122</f>
        <v>0.122</v>
      </c>
      <c r="AO874">
        <f>2.7</f>
        <v>2.7</v>
      </c>
      <c r="AP874">
        <f>2.7</f>
        <v>2.7</v>
      </c>
      <c r="AQ874" t="s">
        <v>192</v>
      </c>
    </row>
    <row r="875" spans="1:43" x14ac:dyDescent="0.25">
      <c r="A875" t="s">
        <v>3086</v>
      </c>
      <c r="B875" t="s">
        <v>170</v>
      </c>
      <c r="C875" s="1">
        <v>46105</v>
      </c>
      <c r="D875" t="s">
        <v>184</v>
      </c>
      <c r="E875" t="s">
        <v>185</v>
      </c>
      <c r="F875" t="s">
        <v>1084</v>
      </c>
      <c r="G875" t="s">
        <v>4455</v>
      </c>
      <c r="H875">
        <v>578</v>
      </c>
      <c r="I875" t="s">
        <v>4455</v>
      </c>
      <c r="J875">
        <v>98</v>
      </c>
      <c r="K875" t="s">
        <v>4494</v>
      </c>
      <c r="L875" t="s">
        <v>266</v>
      </c>
      <c r="M875" t="s">
        <v>3670</v>
      </c>
      <c r="N875" t="s">
        <v>3455</v>
      </c>
      <c r="O875" t="s">
        <v>3087</v>
      </c>
      <c r="R875">
        <f>1</f>
        <v>1</v>
      </c>
      <c r="S875">
        <f>10.1</f>
        <v>10.1</v>
      </c>
      <c r="T875">
        <f>7.7</f>
        <v>7.7</v>
      </c>
      <c r="U875">
        <f>394</f>
        <v>394</v>
      </c>
      <c r="V875">
        <f>0.06</f>
        <v>0.06</v>
      </c>
      <c r="X875">
        <f>0</f>
        <v>0</v>
      </c>
      <c r="Y875" t="s">
        <v>180</v>
      </c>
      <c r="Z875">
        <f>0</f>
        <v>0</v>
      </c>
      <c r="AA875" t="s">
        <v>179</v>
      </c>
      <c r="AB875" t="s">
        <v>179</v>
      </c>
      <c r="AC875">
        <f>0</f>
        <v>0</v>
      </c>
      <c r="AD875">
        <f>0</f>
        <v>0</v>
      </c>
      <c r="AE875">
        <f>0</f>
        <v>0</v>
      </c>
      <c r="AG875" t="s">
        <v>180</v>
      </c>
      <c r="AH875">
        <f>1</f>
        <v>1</v>
      </c>
      <c r="AK875" t="s">
        <v>181</v>
      </c>
      <c r="AL875" t="s">
        <v>182</v>
      </c>
      <c r="AM875">
        <f>4.4</f>
        <v>4.4000000000000004</v>
      </c>
      <c r="AN875">
        <f>0.09</f>
        <v>0.09</v>
      </c>
      <c r="AO875">
        <f>2.1</f>
        <v>2.1</v>
      </c>
      <c r="AP875">
        <f>1.8</f>
        <v>1.8</v>
      </c>
      <c r="AQ875" t="s">
        <v>180</v>
      </c>
    </row>
    <row r="876" spans="1:43" x14ac:dyDescent="0.25">
      <c r="A876" t="s">
        <v>3088</v>
      </c>
      <c r="B876" t="s">
        <v>170</v>
      </c>
      <c r="C876" s="1">
        <v>46111</v>
      </c>
      <c r="D876" t="s">
        <v>222</v>
      </c>
      <c r="E876" t="s">
        <v>223</v>
      </c>
      <c r="F876" t="s">
        <v>3089</v>
      </c>
      <c r="G876" t="s">
        <v>3090</v>
      </c>
      <c r="H876">
        <v>1391</v>
      </c>
      <c r="I876" t="s">
        <v>3090</v>
      </c>
      <c r="J876">
        <v>60</v>
      </c>
      <c r="K876" t="s">
        <v>4494</v>
      </c>
      <c r="L876" t="s">
        <v>266</v>
      </c>
      <c r="M876" t="s">
        <v>4955</v>
      </c>
      <c r="N876" t="s">
        <v>3091</v>
      </c>
      <c r="O876" t="s">
        <v>3092</v>
      </c>
      <c r="R876">
        <f>1</f>
        <v>1</v>
      </c>
      <c r="S876">
        <f>6.4</f>
        <v>6.4</v>
      </c>
      <c r="T876">
        <f>7.8</f>
        <v>7.8</v>
      </c>
      <c r="U876">
        <f>444</f>
        <v>444</v>
      </c>
      <c r="V876">
        <f>0.12</f>
        <v>0.12</v>
      </c>
      <c r="X876">
        <f>1</f>
        <v>1</v>
      </c>
      <c r="Y876">
        <f>0.12</f>
        <v>0.12</v>
      </c>
      <c r="Z876">
        <f>0</f>
        <v>0</v>
      </c>
      <c r="AA876" t="s">
        <v>179</v>
      </c>
      <c r="AB876" t="s">
        <v>179</v>
      </c>
      <c r="AC876">
        <f>0</f>
        <v>0</v>
      </c>
      <c r="AD876">
        <f>0</f>
        <v>0</v>
      </c>
      <c r="AE876">
        <f>0</f>
        <v>0</v>
      </c>
      <c r="AG876" t="s">
        <v>180</v>
      </c>
    </row>
    <row r="877" spans="1:43" x14ac:dyDescent="0.25">
      <c r="A877" t="s">
        <v>3093</v>
      </c>
      <c r="B877" t="s">
        <v>170</v>
      </c>
      <c r="C877" s="1">
        <v>46132</v>
      </c>
      <c r="D877" t="s">
        <v>222</v>
      </c>
      <c r="E877" t="s">
        <v>260</v>
      </c>
      <c r="F877" t="s">
        <v>518</v>
      </c>
      <c r="G877" t="s">
        <v>3094</v>
      </c>
      <c r="H877">
        <v>1411</v>
      </c>
      <c r="I877" t="s">
        <v>3094</v>
      </c>
      <c r="J877">
        <v>60</v>
      </c>
      <c r="K877" t="s">
        <v>4494</v>
      </c>
      <c r="L877" t="s">
        <v>266</v>
      </c>
      <c r="M877" t="s">
        <v>4956</v>
      </c>
      <c r="N877" t="s">
        <v>3095</v>
      </c>
      <c r="O877" t="s">
        <v>3096</v>
      </c>
      <c r="R877">
        <f>1</f>
        <v>1</v>
      </c>
      <c r="S877">
        <f>14</f>
        <v>14</v>
      </c>
      <c r="T877">
        <f>7.6</f>
        <v>7.6</v>
      </c>
      <c r="U877">
        <f>438</f>
        <v>438</v>
      </c>
      <c r="V877">
        <f>0.12</f>
        <v>0.12</v>
      </c>
      <c r="X877">
        <f>0</f>
        <v>0</v>
      </c>
      <c r="Y877" t="s">
        <v>180</v>
      </c>
      <c r="Z877">
        <f>0</f>
        <v>0</v>
      </c>
      <c r="AA877" t="s">
        <v>179</v>
      </c>
      <c r="AB877" t="s">
        <v>179</v>
      </c>
      <c r="AC877">
        <f>0</f>
        <v>0</v>
      </c>
      <c r="AD877">
        <f>0</f>
        <v>0</v>
      </c>
      <c r="AE877">
        <f>0</f>
        <v>0</v>
      </c>
      <c r="AG877" t="s">
        <v>180</v>
      </c>
    </row>
    <row r="878" spans="1:43" x14ac:dyDescent="0.25">
      <c r="A878" t="s">
        <v>3097</v>
      </c>
      <c r="B878" t="s">
        <v>170</v>
      </c>
      <c r="C878" s="1">
        <v>46114</v>
      </c>
      <c r="D878" t="s">
        <v>222</v>
      </c>
      <c r="E878" t="s">
        <v>223</v>
      </c>
      <c r="F878" t="s">
        <v>3089</v>
      </c>
      <c r="G878" t="s">
        <v>3098</v>
      </c>
      <c r="H878">
        <v>1437</v>
      </c>
      <c r="I878" t="s">
        <v>3098</v>
      </c>
      <c r="J878">
        <v>70</v>
      </c>
      <c r="K878" t="s">
        <v>4492</v>
      </c>
      <c r="L878" t="s">
        <v>593</v>
      </c>
      <c r="M878" t="s">
        <v>3456</v>
      </c>
      <c r="N878" t="s">
        <v>3099</v>
      </c>
      <c r="O878" t="s">
        <v>3100</v>
      </c>
      <c r="R878">
        <f>1</f>
        <v>1</v>
      </c>
      <c r="S878">
        <f>11.4</f>
        <v>11.4</v>
      </c>
      <c r="T878">
        <f>8</f>
        <v>8</v>
      </c>
      <c r="U878">
        <f>471</f>
        <v>471</v>
      </c>
      <c r="V878" t="s">
        <v>192</v>
      </c>
      <c r="X878">
        <f>0</f>
        <v>0</v>
      </c>
      <c r="Y878">
        <f>0.36</f>
        <v>0.36</v>
      </c>
      <c r="Z878">
        <f>0</f>
        <v>0</v>
      </c>
      <c r="AA878">
        <f>11</f>
        <v>11</v>
      </c>
      <c r="AB878">
        <f>40</f>
        <v>40</v>
      </c>
      <c r="AD878">
        <f>0</f>
        <v>0</v>
      </c>
      <c r="AE878">
        <f>0</f>
        <v>0</v>
      </c>
      <c r="AG878" t="s">
        <v>180</v>
      </c>
      <c r="AH878">
        <f>0.5</f>
        <v>0.5</v>
      </c>
      <c r="AK878" t="s">
        <v>181</v>
      </c>
      <c r="AL878" t="s">
        <v>182</v>
      </c>
      <c r="AM878">
        <f>2.3</f>
        <v>2.2999999999999998</v>
      </c>
      <c r="AN878">
        <f>0.05</f>
        <v>0.05</v>
      </c>
      <c r="AO878">
        <f>13</f>
        <v>13</v>
      </c>
      <c r="AP878">
        <f>1.7</f>
        <v>1.7</v>
      </c>
      <c r="AQ878" t="s">
        <v>180</v>
      </c>
    </row>
    <row r="879" spans="1:43" x14ac:dyDescent="0.25">
      <c r="A879" t="s">
        <v>3101</v>
      </c>
      <c r="B879" t="s">
        <v>170</v>
      </c>
      <c r="C879" s="1">
        <v>46128</v>
      </c>
      <c r="D879" t="s">
        <v>222</v>
      </c>
      <c r="E879" t="s">
        <v>260</v>
      </c>
      <c r="F879" t="s">
        <v>3579</v>
      </c>
      <c r="G879" t="s">
        <v>3546</v>
      </c>
      <c r="H879">
        <v>1548</v>
      </c>
      <c r="I879" t="s">
        <v>3102</v>
      </c>
      <c r="J879">
        <v>67</v>
      </c>
      <c r="K879" t="s">
        <v>4494</v>
      </c>
      <c r="L879" t="s">
        <v>266</v>
      </c>
      <c r="M879" t="s">
        <v>4957</v>
      </c>
      <c r="N879" t="s">
        <v>4958</v>
      </c>
      <c r="O879" t="s">
        <v>3103</v>
      </c>
      <c r="R879">
        <f>1</f>
        <v>1</v>
      </c>
      <c r="S879">
        <f>11</f>
        <v>11</v>
      </c>
      <c r="T879">
        <f>7.5</f>
        <v>7.5</v>
      </c>
      <c r="U879">
        <f>444</f>
        <v>444</v>
      </c>
      <c r="V879">
        <f>0.12</f>
        <v>0.12</v>
      </c>
      <c r="X879">
        <f>0</f>
        <v>0</v>
      </c>
      <c r="Y879">
        <f>0.34</f>
        <v>0.34</v>
      </c>
      <c r="Z879">
        <f>0</f>
        <v>0</v>
      </c>
      <c r="AA879" t="s">
        <v>179</v>
      </c>
      <c r="AB879" t="s">
        <v>179</v>
      </c>
      <c r="AC879">
        <f>0</f>
        <v>0</v>
      </c>
      <c r="AD879">
        <f>0</f>
        <v>0</v>
      </c>
      <c r="AE879">
        <f>0</f>
        <v>0</v>
      </c>
      <c r="AG879" t="s">
        <v>220</v>
      </c>
    </row>
    <row r="880" spans="1:43" x14ac:dyDescent="0.25">
      <c r="A880" t="s">
        <v>3104</v>
      </c>
      <c r="B880" t="s">
        <v>170</v>
      </c>
      <c r="C880" s="1">
        <v>46141</v>
      </c>
      <c r="D880" t="s">
        <v>222</v>
      </c>
      <c r="E880" t="s">
        <v>223</v>
      </c>
      <c r="F880" t="s">
        <v>3896</v>
      </c>
      <c r="G880" t="s">
        <v>3105</v>
      </c>
      <c r="H880">
        <v>1821</v>
      </c>
      <c r="I880" t="s">
        <v>3105</v>
      </c>
      <c r="J880">
        <v>65</v>
      </c>
      <c r="K880" t="s">
        <v>4492</v>
      </c>
      <c r="L880" t="s">
        <v>369</v>
      </c>
      <c r="M880" t="s">
        <v>3106</v>
      </c>
      <c r="N880" t="s">
        <v>3107</v>
      </c>
      <c r="R880">
        <f>1</f>
        <v>1</v>
      </c>
      <c r="S880">
        <f>11.8</f>
        <v>11.8</v>
      </c>
      <c r="T880">
        <f>7.9</f>
        <v>7.9</v>
      </c>
      <c r="U880">
        <f>439</f>
        <v>439</v>
      </c>
      <c r="V880">
        <f>0.1</f>
        <v>0.1</v>
      </c>
      <c r="X880">
        <f>0</f>
        <v>0</v>
      </c>
      <c r="Y880">
        <f>0.2</f>
        <v>0.2</v>
      </c>
      <c r="Z880">
        <f>0</f>
        <v>0</v>
      </c>
      <c r="AA880">
        <f>23</f>
        <v>23</v>
      </c>
      <c r="AB880">
        <f>49</f>
        <v>49</v>
      </c>
      <c r="AD880">
        <f>0</f>
        <v>0</v>
      </c>
      <c r="AE880">
        <f>0</f>
        <v>0</v>
      </c>
      <c r="AG880" t="s">
        <v>180</v>
      </c>
    </row>
    <row r="881" spans="1:165" x14ac:dyDescent="0.25">
      <c r="A881" t="s">
        <v>3108</v>
      </c>
      <c r="B881" t="s">
        <v>170</v>
      </c>
      <c r="C881" s="1">
        <v>46104</v>
      </c>
      <c r="D881" t="s">
        <v>184</v>
      </c>
      <c r="E881" t="s">
        <v>546</v>
      </c>
      <c r="F881" t="s">
        <v>660</v>
      </c>
      <c r="G881" t="s">
        <v>3109</v>
      </c>
      <c r="H881">
        <v>1571</v>
      </c>
      <c r="I881" t="s">
        <v>3109</v>
      </c>
      <c r="J881">
        <v>60</v>
      </c>
      <c r="K881" t="s">
        <v>4492</v>
      </c>
      <c r="L881" t="s">
        <v>266</v>
      </c>
      <c r="M881" t="s">
        <v>4189</v>
      </c>
      <c r="N881" t="s">
        <v>3110</v>
      </c>
      <c r="R881">
        <f>1</f>
        <v>1</v>
      </c>
      <c r="S881">
        <f>8.1</f>
        <v>8.1</v>
      </c>
      <c r="T881">
        <f>7.7</f>
        <v>7.7</v>
      </c>
      <c r="U881">
        <f>446</f>
        <v>446</v>
      </c>
      <c r="V881">
        <f>0.2</f>
        <v>0.2</v>
      </c>
      <c r="X881">
        <f>0</f>
        <v>0</v>
      </c>
      <c r="Y881" t="s">
        <v>180</v>
      </c>
      <c r="Z881">
        <f>0</f>
        <v>0</v>
      </c>
      <c r="AA881" t="s">
        <v>179</v>
      </c>
      <c r="AB881" t="s">
        <v>179</v>
      </c>
      <c r="AD881">
        <f>0</f>
        <v>0</v>
      </c>
      <c r="AE881">
        <f>0</f>
        <v>0</v>
      </c>
      <c r="AG881" t="s">
        <v>180</v>
      </c>
    </row>
    <row r="882" spans="1:165" x14ac:dyDescent="0.25">
      <c r="A882" t="s">
        <v>3111</v>
      </c>
      <c r="B882" t="s">
        <v>170</v>
      </c>
      <c r="C882" s="1">
        <v>46129</v>
      </c>
      <c r="D882" t="s">
        <v>184</v>
      </c>
      <c r="E882" t="s">
        <v>185</v>
      </c>
      <c r="F882" t="s">
        <v>288</v>
      </c>
      <c r="G882" t="s">
        <v>4190</v>
      </c>
      <c r="H882">
        <v>1494</v>
      </c>
      <c r="I882" t="s">
        <v>4190</v>
      </c>
      <c r="J882">
        <v>87</v>
      </c>
      <c r="K882" t="s">
        <v>4492</v>
      </c>
      <c r="L882" t="s">
        <v>3553</v>
      </c>
      <c r="M882" t="s">
        <v>3915</v>
      </c>
      <c r="N882" t="s">
        <v>4191</v>
      </c>
      <c r="Q882" t="s">
        <v>1446</v>
      </c>
      <c r="R882">
        <f>1</f>
        <v>1</v>
      </c>
      <c r="S882">
        <f>12.1</f>
        <v>12.1</v>
      </c>
      <c r="T882">
        <f>7.8</f>
        <v>7.8</v>
      </c>
      <c r="U882">
        <f>327</f>
        <v>327</v>
      </c>
      <c r="V882">
        <f>0.08</f>
        <v>0.08</v>
      </c>
      <c r="X882">
        <f>0</f>
        <v>0</v>
      </c>
      <c r="Y882" t="s">
        <v>180</v>
      </c>
      <c r="Z882">
        <f>0</f>
        <v>0</v>
      </c>
      <c r="AA882">
        <f>0</f>
        <v>0</v>
      </c>
      <c r="AB882">
        <f>0</f>
        <v>0</v>
      </c>
      <c r="AD882">
        <f>0</f>
        <v>0</v>
      </c>
      <c r="AE882">
        <f>0</f>
        <v>0</v>
      </c>
      <c r="AG882" t="s">
        <v>180</v>
      </c>
      <c r="AH882" t="s">
        <v>284</v>
      </c>
      <c r="AK882" t="s">
        <v>285</v>
      </c>
      <c r="AL882" t="s">
        <v>286</v>
      </c>
      <c r="AM882">
        <f>2.8</f>
        <v>2.8</v>
      </c>
      <c r="AN882">
        <f>0.056</f>
        <v>5.6000000000000001E-2</v>
      </c>
      <c r="AO882">
        <f>12</f>
        <v>12</v>
      </c>
      <c r="AP882">
        <f>1.8</f>
        <v>1.8</v>
      </c>
      <c r="AQ882" t="s">
        <v>284</v>
      </c>
    </row>
    <row r="883" spans="1:165" x14ac:dyDescent="0.25">
      <c r="A883" t="s">
        <v>3112</v>
      </c>
      <c r="B883" t="s">
        <v>170</v>
      </c>
      <c r="C883" s="1">
        <v>46105</v>
      </c>
      <c r="D883" t="s">
        <v>184</v>
      </c>
      <c r="E883" t="s">
        <v>185</v>
      </c>
      <c r="F883" t="s">
        <v>3374</v>
      </c>
      <c r="G883" t="s">
        <v>3804</v>
      </c>
      <c r="H883">
        <v>589</v>
      </c>
      <c r="I883" t="s">
        <v>3804</v>
      </c>
      <c r="J883">
        <v>54</v>
      </c>
      <c r="K883" t="s">
        <v>4494</v>
      </c>
      <c r="L883" t="s">
        <v>593</v>
      </c>
      <c r="M883" t="s">
        <v>3671</v>
      </c>
      <c r="N883" t="s">
        <v>3672</v>
      </c>
      <c r="O883" t="s">
        <v>3113</v>
      </c>
      <c r="R883">
        <f>1</f>
        <v>1</v>
      </c>
      <c r="S883">
        <f>9.5</f>
        <v>9.5</v>
      </c>
      <c r="T883">
        <f>7.6</f>
        <v>7.6</v>
      </c>
      <c r="U883">
        <f>479</f>
        <v>479</v>
      </c>
      <c r="V883">
        <f>0.17</f>
        <v>0.17</v>
      </c>
      <c r="X883">
        <f>0</f>
        <v>0</v>
      </c>
      <c r="Y883">
        <f>0.3</f>
        <v>0.3</v>
      </c>
      <c r="Z883">
        <f>0</f>
        <v>0</v>
      </c>
      <c r="AA883" t="s">
        <v>179</v>
      </c>
      <c r="AB883" t="s">
        <v>179</v>
      </c>
      <c r="AC883">
        <f>0</f>
        <v>0</v>
      </c>
      <c r="AD883">
        <f>0</f>
        <v>0</v>
      </c>
      <c r="AE883">
        <f>0</f>
        <v>0</v>
      </c>
      <c r="AG883" t="s">
        <v>180</v>
      </c>
    </row>
    <row r="884" spans="1:165" x14ac:dyDescent="0.25">
      <c r="A884" t="s">
        <v>3114</v>
      </c>
      <c r="B884" t="s">
        <v>170</v>
      </c>
      <c r="C884" s="1">
        <v>46129</v>
      </c>
      <c r="D884" t="s">
        <v>184</v>
      </c>
      <c r="E884" t="s">
        <v>185</v>
      </c>
      <c r="F884" t="s">
        <v>384</v>
      </c>
      <c r="G884" t="s">
        <v>4192</v>
      </c>
      <c r="H884">
        <v>1507</v>
      </c>
      <c r="I884" t="s">
        <v>4192</v>
      </c>
      <c r="J884">
        <v>1</v>
      </c>
      <c r="K884" t="s">
        <v>4492</v>
      </c>
      <c r="L884" t="s">
        <v>3553</v>
      </c>
      <c r="M884" t="s">
        <v>3115</v>
      </c>
      <c r="N884" t="s">
        <v>4193</v>
      </c>
      <c r="O884" t="s">
        <v>3116</v>
      </c>
      <c r="R884">
        <f>1</f>
        <v>1</v>
      </c>
      <c r="S884">
        <f>12.3</f>
        <v>12.3</v>
      </c>
      <c r="T884">
        <f>7.4</f>
        <v>7.4</v>
      </c>
      <c r="U884">
        <f>472</f>
        <v>472</v>
      </c>
      <c r="V884">
        <f>0.05</f>
        <v>0.05</v>
      </c>
      <c r="X884">
        <f>0</f>
        <v>0</v>
      </c>
      <c r="Y884" t="s">
        <v>180</v>
      </c>
      <c r="Z884">
        <f>0</f>
        <v>0</v>
      </c>
      <c r="AA884" t="s">
        <v>179</v>
      </c>
      <c r="AB884" t="s">
        <v>179</v>
      </c>
      <c r="AD884">
        <f>0</f>
        <v>0</v>
      </c>
      <c r="AE884">
        <f>0</f>
        <v>0</v>
      </c>
      <c r="AG884" t="s">
        <v>180</v>
      </c>
      <c r="AH884" t="s">
        <v>193</v>
      </c>
      <c r="AK884" t="s">
        <v>181</v>
      </c>
      <c r="AL884" t="s">
        <v>182</v>
      </c>
      <c r="AM884">
        <f>15</f>
        <v>15</v>
      </c>
      <c r="AN884">
        <f>0.3</f>
        <v>0.3</v>
      </c>
      <c r="AO884">
        <f>6.1</f>
        <v>6.1</v>
      </c>
      <c r="AP884">
        <f>9</f>
        <v>9</v>
      </c>
      <c r="AQ884" t="s">
        <v>180</v>
      </c>
    </row>
    <row r="885" spans="1:165" x14ac:dyDescent="0.25">
      <c r="A885" t="s">
        <v>3117</v>
      </c>
      <c r="B885" t="s">
        <v>170</v>
      </c>
      <c r="C885" s="1">
        <v>46133</v>
      </c>
      <c r="D885" t="s">
        <v>184</v>
      </c>
      <c r="E885" t="s">
        <v>185</v>
      </c>
      <c r="F885" t="s">
        <v>1084</v>
      </c>
      <c r="G885" t="s">
        <v>4194</v>
      </c>
      <c r="H885">
        <v>573</v>
      </c>
      <c r="I885" t="s">
        <v>4194</v>
      </c>
      <c r="J885">
        <v>52</v>
      </c>
      <c r="K885" t="s">
        <v>4494</v>
      </c>
      <c r="L885" t="s">
        <v>266</v>
      </c>
      <c r="M885" t="s">
        <v>1215</v>
      </c>
      <c r="N885" t="s">
        <v>4959</v>
      </c>
      <c r="O885" t="s">
        <v>3118</v>
      </c>
      <c r="R885">
        <f>1</f>
        <v>1</v>
      </c>
      <c r="S885">
        <f>13.1</f>
        <v>13.1</v>
      </c>
      <c r="T885">
        <f>7</f>
        <v>7</v>
      </c>
      <c r="U885">
        <f>35</f>
        <v>35</v>
      </c>
      <c r="V885">
        <f>0.08</f>
        <v>0.08</v>
      </c>
      <c r="X885">
        <f>0</f>
        <v>0</v>
      </c>
      <c r="Y885" t="s">
        <v>180</v>
      </c>
      <c r="Z885">
        <f>0</f>
        <v>0</v>
      </c>
      <c r="AA885" t="s">
        <v>179</v>
      </c>
      <c r="AB885" t="s">
        <v>179</v>
      </c>
      <c r="AC885">
        <f>0</f>
        <v>0</v>
      </c>
      <c r="AD885">
        <f>0</f>
        <v>0</v>
      </c>
      <c r="AE885">
        <f>0</f>
        <v>0</v>
      </c>
      <c r="AG885" t="s">
        <v>180</v>
      </c>
      <c r="AH885" t="s">
        <v>193</v>
      </c>
      <c r="AK885" t="s">
        <v>181</v>
      </c>
      <c r="AL885" t="s">
        <v>182</v>
      </c>
      <c r="AM885">
        <f>0.13</f>
        <v>0.13</v>
      </c>
      <c r="AN885">
        <f>0.01</f>
        <v>0.01</v>
      </c>
      <c r="AO885" t="s">
        <v>284</v>
      </c>
      <c r="AP885">
        <f>0.9</f>
        <v>0.9</v>
      </c>
      <c r="AQ885" t="s">
        <v>180</v>
      </c>
    </row>
    <row r="886" spans="1:165" x14ac:dyDescent="0.25">
      <c r="A886" t="s">
        <v>3119</v>
      </c>
      <c r="B886" t="s">
        <v>170</v>
      </c>
      <c r="C886" s="1">
        <v>46080</v>
      </c>
      <c r="D886" t="s">
        <v>251</v>
      </c>
      <c r="E886" t="s">
        <v>252</v>
      </c>
      <c r="F886" t="s">
        <v>3590</v>
      </c>
      <c r="G886" t="s">
        <v>3805</v>
      </c>
      <c r="H886">
        <v>62</v>
      </c>
      <c r="I886" t="s">
        <v>3806</v>
      </c>
      <c r="J886">
        <v>4708</v>
      </c>
      <c r="K886" t="s">
        <v>4492</v>
      </c>
      <c r="L886" t="s">
        <v>3567</v>
      </c>
      <c r="M886" t="s">
        <v>4960</v>
      </c>
      <c r="N886" t="s">
        <v>4961</v>
      </c>
      <c r="O886" t="s">
        <v>3120</v>
      </c>
      <c r="Q886" t="s">
        <v>257</v>
      </c>
      <c r="R886">
        <f>1</f>
        <v>1</v>
      </c>
      <c r="S886">
        <f>8.3</f>
        <v>8.3000000000000007</v>
      </c>
      <c r="T886">
        <f>7.9</f>
        <v>7.9</v>
      </c>
      <c r="U886">
        <f>280</f>
        <v>280</v>
      </c>
      <c r="X886">
        <f>0</f>
        <v>0</v>
      </c>
      <c r="Y886" t="s">
        <v>180</v>
      </c>
      <c r="Z886">
        <f>0</f>
        <v>0</v>
      </c>
      <c r="AA886">
        <f>0</f>
        <v>0</v>
      </c>
      <c r="AB886">
        <f>0</f>
        <v>0</v>
      </c>
      <c r="AD886">
        <f>0</f>
        <v>0</v>
      </c>
      <c r="AE886">
        <f>0</f>
        <v>0</v>
      </c>
      <c r="AG886" t="s">
        <v>180</v>
      </c>
    </row>
    <row r="887" spans="1:165" x14ac:dyDescent="0.25">
      <c r="A887" t="s">
        <v>3121</v>
      </c>
      <c r="B887" t="s">
        <v>170</v>
      </c>
      <c r="C887" s="1">
        <v>46080</v>
      </c>
      <c r="D887" t="s">
        <v>251</v>
      </c>
      <c r="E887" t="s">
        <v>252</v>
      </c>
      <c r="F887" t="s">
        <v>3590</v>
      </c>
      <c r="G887" t="s">
        <v>4456</v>
      </c>
      <c r="H887">
        <v>66</v>
      </c>
      <c r="I887" t="s">
        <v>4457</v>
      </c>
      <c r="J887">
        <v>2221</v>
      </c>
      <c r="K887" t="s">
        <v>4492</v>
      </c>
      <c r="L887" t="s">
        <v>3567</v>
      </c>
      <c r="M887" t="s">
        <v>4962</v>
      </c>
      <c r="N887" t="s">
        <v>4195</v>
      </c>
      <c r="O887" t="s">
        <v>3122</v>
      </c>
      <c r="Q887" t="s">
        <v>257</v>
      </c>
      <c r="R887">
        <f>1</f>
        <v>1</v>
      </c>
      <c r="S887">
        <f>9.1</f>
        <v>9.1</v>
      </c>
      <c r="T887">
        <f>7.5</f>
        <v>7.5</v>
      </c>
      <c r="U887">
        <f>481</f>
        <v>481</v>
      </c>
      <c r="X887">
        <f>0</f>
        <v>0</v>
      </c>
      <c r="Y887">
        <f>0.12</f>
        <v>0.12</v>
      </c>
      <c r="Z887">
        <f>0</f>
        <v>0</v>
      </c>
      <c r="AA887">
        <f>0</f>
        <v>0</v>
      </c>
      <c r="AB887">
        <f>0</f>
        <v>0</v>
      </c>
      <c r="AD887">
        <f>0</f>
        <v>0</v>
      </c>
      <c r="AE887">
        <f>0</f>
        <v>0</v>
      </c>
      <c r="AG887" t="s">
        <v>180</v>
      </c>
    </row>
    <row r="888" spans="1:165" x14ac:dyDescent="0.25">
      <c r="A888" t="s">
        <v>3123</v>
      </c>
      <c r="B888" t="s">
        <v>170</v>
      </c>
      <c r="C888" s="1">
        <v>46083</v>
      </c>
      <c r="D888" t="s">
        <v>425</v>
      </c>
      <c r="E888" t="s">
        <v>426</v>
      </c>
      <c r="F888" t="s">
        <v>695</v>
      </c>
      <c r="G888" t="s">
        <v>715</v>
      </c>
      <c r="H888">
        <v>818</v>
      </c>
      <c r="I888" t="s">
        <v>715</v>
      </c>
      <c r="J888">
        <v>7500</v>
      </c>
      <c r="K888" t="s">
        <v>4492</v>
      </c>
      <c r="L888" t="s">
        <v>291</v>
      </c>
      <c r="M888" t="s">
        <v>506</v>
      </c>
      <c r="N888" t="s">
        <v>3124</v>
      </c>
      <c r="O888" t="s">
        <v>3125</v>
      </c>
      <c r="R888">
        <f>1</f>
        <v>1</v>
      </c>
      <c r="S888">
        <f>10.4</f>
        <v>10.4</v>
      </c>
      <c r="T888">
        <f>7.5</f>
        <v>7.5</v>
      </c>
      <c r="U888">
        <f>344</f>
        <v>344</v>
      </c>
      <c r="X888">
        <f>0</f>
        <v>0</v>
      </c>
      <c r="Y888" t="s">
        <v>180</v>
      </c>
      <c r="Z888">
        <f>0</f>
        <v>0</v>
      </c>
      <c r="AA888" t="s">
        <v>179</v>
      </c>
      <c r="AB888" t="s">
        <v>179</v>
      </c>
      <c r="AD888">
        <f>0</f>
        <v>0</v>
      </c>
      <c r="AE888">
        <f>0</f>
        <v>0</v>
      </c>
      <c r="AG888" t="s">
        <v>180</v>
      </c>
    </row>
    <row r="889" spans="1:165" x14ac:dyDescent="0.25">
      <c r="A889" t="s">
        <v>3126</v>
      </c>
      <c r="B889" t="s">
        <v>170</v>
      </c>
      <c r="C889" s="1">
        <v>46132</v>
      </c>
      <c r="D889" t="s">
        <v>222</v>
      </c>
      <c r="E889" t="s">
        <v>223</v>
      </c>
      <c r="F889" t="s">
        <v>4533</v>
      </c>
      <c r="G889" t="s">
        <v>4132</v>
      </c>
      <c r="H889">
        <v>1128</v>
      </c>
      <c r="I889" t="s">
        <v>4132</v>
      </c>
      <c r="J889">
        <v>5130</v>
      </c>
      <c r="K889" t="s">
        <v>4492</v>
      </c>
      <c r="L889" t="s">
        <v>369</v>
      </c>
      <c r="M889" t="s">
        <v>4963</v>
      </c>
      <c r="N889" t="s">
        <v>4964</v>
      </c>
      <c r="O889" t="s">
        <v>3127</v>
      </c>
      <c r="R889">
        <f>1</f>
        <v>1</v>
      </c>
      <c r="S889">
        <f>12.3</f>
        <v>12.3</v>
      </c>
      <c r="T889">
        <f>7.7</f>
        <v>7.7</v>
      </c>
      <c r="U889">
        <f>404</f>
        <v>404</v>
      </c>
      <c r="V889">
        <f>0.07</f>
        <v>7.0000000000000007E-2</v>
      </c>
      <c r="X889">
        <f>1</f>
        <v>1</v>
      </c>
      <c r="Y889" t="s">
        <v>180</v>
      </c>
      <c r="Z889">
        <f>0</f>
        <v>0</v>
      </c>
      <c r="AA889" t="s">
        <v>179</v>
      </c>
      <c r="AB889" t="s">
        <v>179</v>
      </c>
      <c r="AD889">
        <f>0</f>
        <v>0</v>
      </c>
      <c r="AE889">
        <f>0</f>
        <v>0</v>
      </c>
      <c r="AG889" t="s">
        <v>180</v>
      </c>
    </row>
    <row r="890" spans="1:165" x14ac:dyDescent="0.25">
      <c r="A890" t="s">
        <v>3128</v>
      </c>
      <c r="B890" t="s">
        <v>170</v>
      </c>
      <c r="C890" s="1">
        <v>46090</v>
      </c>
      <c r="D890" t="s">
        <v>302</v>
      </c>
      <c r="E890" t="s">
        <v>303</v>
      </c>
      <c r="F890" t="s">
        <v>509</v>
      </c>
      <c r="G890" t="s">
        <v>3807</v>
      </c>
      <c r="H890">
        <v>847</v>
      </c>
      <c r="I890" t="s">
        <v>3808</v>
      </c>
      <c r="J890">
        <v>4074</v>
      </c>
      <c r="K890" t="s">
        <v>4494</v>
      </c>
      <c r="L890" t="s">
        <v>691</v>
      </c>
      <c r="M890" t="s">
        <v>3129</v>
      </c>
      <c r="N890" t="s">
        <v>3130</v>
      </c>
      <c r="O890" t="s">
        <v>3131</v>
      </c>
      <c r="R890">
        <f>1</f>
        <v>1</v>
      </c>
      <c r="S890">
        <f>10.1</f>
        <v>10.1</v>
      </c>
      <c r="T890">
        <f>7.1</f>
        <v>7.1</v>
      </c>
      <c r="U890">
        <f>276</f>
        <v>276</v>
      </c>
      <c r="V890">
        <f>0.11</f>
        <v>0.11</v>
      </c>
      <c r="X890">
        <f>0</f>
        <v>0</v>
      </c>
      <c r="Y890" t="s">
        <v>180</v>
      </c>
      <c r="Z890">
        <f>0</f>
        <v>0</v>
      </c>
      <c r="AA890" t="s">
        <v>179</v>
      </c>
      <c r="AB890" t="s">
        <v>179</v>
      </c>
      <c r="AC890">
        <f>0</f>
        <v>0</v>
      </c>
      <c r="AD890">
        <f>0</f>
        <v>0</v>
      </c>
      <c r="AE890">
        <f>0</f>
        <v>0</v>
      </c>
      <c r="AG890" t="s">
        <v>180</v>
      </c>
    </row>
    <row r="891" spans="1:165" x14ac:dyDescent="0.25">
      <c r="A891" t="s">
        <v>3132</v>
      </c>
      <c r="B891" t="s">
        <v>170</v>
      </c>
      <c r="C891" s="1">
        <v>46105</v>
      </c>
      <c r="D891" t="s">
        <v>302</v>
      </c>
      <c r="E891" t="s">
        <v>303</v>
      </c>
      <c r="F891" t="s">
        <v>310</v>
      </c>
      <c r="G891" t="s">
        <v>311</v>
      </c>
      <c r="H891">
        <v>801</v>
      </c>
      <c r="I891" t="s">
        <v>4196</v>
      </c>
      <c r="J891">
        <v>9276</v>
      </c>
      <c r="K891" t="s">
        <v>4492</v>
      </c>
      <c r="L891" t="s">
        <v>291</v>
      </c>
      <c r="M891" t="s">
        <v>3133</v>
      </c>
      <c r="N891" t="s">
        <v>4965</v>
      </c>
      <c r="O891" t="s">
        <v>3134</v>
      </c>
      <c r="Q891" t="s">
        <v>3547</v>
      </c>
      <c r="R891">
        <f>1</f>
        <v>1</v>
      </c>
      <c r="S891">
        <f>23.1</f>
        <v>23.1</v>
      </c>
      <c r="T891">
        <f>7.7</f>
        <v>7.7</v>
      </c>
      <c r="U891">
        <f>426</f>
        <v>426</v>
      </c>
      <c r="X891">
        <f>0</f>
        <v>0</v>
      </c>
      <c r="Y891" t="s">
        <v>180</v>
      </c>
      <c r="Z891">
        <f>0</f>
        <v>0</v>
      </c>
      <c r="AA891" t="s">
        <v>179</v>
      </c>
      <c r="AB891" t="s">
        <v>179</v>
      </c>
      <c r="AD891">
        <f>0</f>
        <v>0</v>
      </c>
      <c r="AE891">
        <f>0</f>
        <v>0</v>
      </c>
      <c r="AG891" t="s">
        <v>180</v>
      </c>
    </row>
    <row r="892" spans="1:165" x14ac:dyDescent="0.25">
      <c r="A892" t="s">
        <v>3135</v>
      </c>
      <c r="B892" t="s">
        <v>170</v>
      </c>
      <c r="C892" s="1">
        <v>46100</v>
      </c>
      <c r="D892" t="s">
        <v>222</v>
      </c>
      <c r="E892" t="s">
        <v>223</v>
      </c>
      <c r="F892" t="s">
        <v>3685</v>
      </c>
      <c r="G892" t="s">
        <v>3809</v>
      </c>
      <c r="H892">
        <v>1147</v>
      </c>
      <c r="I892" t="s">
        <v>3809</v>
      </c>
      <c r="J892">
        <v>2266</v>
      </c>
      <c r="K892" t="s">
        <v>4492</v>
      </c>
      <c r="L892" t="s">
        <v>291</v>
      </c>
      <c r="M892" t="s">
        <v>3457</v>
      </c>
      <c r="N892" t="s">
        <v>3673</v>
      </c>
      <c r="O892" t="s">
        <v>3136</v>
      </c>
      <c r="R892">
        <f>1</f>
        <v>1</v>
      </c>
      <c r="S892">
        <f>11.3</f>
        <v>11.3</v>
      </c>
      <c r="T892">
        <f>7.6</f>
        <v>7.6</v>
      </c>
      <c r="U892">
        <f>348</f>
        <v>348</v>
      </c>
      <c r="X892">
        <f>0</f>
        <v>0</v>
      </c>
      <c r="Y892">
        <f>0.42</f>
        <v>0.42</v>
      </c>
      <c r="Z892">
        <f>0</f>
        <v>0</v>
      </c>
      <c r="AA892" t="s">
        <v>179</v>
      </c>
      <c r="AB892" t="s">
        <v>179</v>
      </c>
      <c r="AD892">
        <f>0</f>
        <v>0</v>
      </c>
      <c r="AE892">
        <f>0</f>
        <v>0</v>
      </c>
      <c r="AG892" t="s">
        <v>180</v>
      </c>
    </row>
    <row r="893" spans="1:165" x14ac:dyDescent="0.25">
      <c r="A893" t="s">
        <v>3137</v>
      </c>
      <c r="B893" t="s">
        <v>170</v>
      </c>
      <c r="C893" s="1">
        <v>46086</v>
      </c>
      <c r="D893" t="s">
        <v>171</v>
      </c>
      <c r="E893" t="s">
        <v>172</v>
      </c>
      <c r="F893" t="s">
        <v>441</v>
      </c>
      <c r="G893" t="s">
        <v>442</v>
      </c>
      <c r="H893">
        <v>1680</v>
      </c>
      <c r="I893" t="s">
        <v>4902</v>
      </c>
      <c r="J893">
        <v>5580</v>
      </c>
      <c r="K893" t="s">
        <v>4492</v>
      </c>
      <c r="L893" t="s">
        <v>266</v>
      </c>
      <c r="M893" t="s">
        <v>4141</v>
      </c>
      <c r="N893" t="s">
        <v>4903</v>
      </c>
      <c r="R893">
        <f>1</f>
        <v>1</v>
      </c>
      <c r="S893">
        <f>9.6</f>
        <v>9.6</v>
      </c>
      <c r="T893">
        <f>6.6</f>
        <v>6.6</v>
      </c>
      <c r="U893">
        <f>302</f>
        <v>302</v>
      </c>
      <c r="V893" t="s">
        <v>192</v>
      </c>
      <c r="X893">
        <f>0</f>
        <v>0</v>
      </c>
      <c r="Y893">
        <f>0.1</f>
        <v>0.1</v>
      </c>
      <c r="Z893">
        <f>0</f>
        <v>0</v>
      </c>
      <c r="AA893" t="s">
        <v>179</v>
      </c>
      <c r="AB893" t="s">
        <v>179</v>
      </c>
      <c r="AD893">
        <f>0</f>
        <v>0</v>
      </c>
      <c r="AE893">
        <f>0</f>
        <v>0</v>
      </c>
      <c r="AG893" t="s">
        <v>180</v>
      </c>
      <c r="AH893" t="s">
        <v>193</v>
      </c>
      <c r="AK893" t="s">
        <v>181</v>
      </c>
      <c r="AL893" t="s">
        <v>182</v>
      </c>
      <c r="AM893">
        <f>22</f>
        <v>22</v>
      </c>
      <c r="AN893">
        <f>0.44</f>
        <v>0.44</v>
      </c>
      <c r="AO893">
        <f>18</f>
        <v>18</v>
      </c>
      <c r="AP893">
        <f>18</f>
        <v>18</v>
      </c>
      <c r="AQ893" t="s">
        <v>180</v>
      </c>
      <c r="FF893" t="s">
        <v>180</v>
      </c>
      <c r="FG893" t="s">
        <v>180</v>
      </c>
      <c r="FI893" t="s">
        <v>220</v>
      </c>
    </row>
    <row r="894" spans="1:165" x14ac:dyDescent="0.25">
      <c r="A894" t="s">
        <v>3138</v>
      </c>
      <c r="B894" t="s">
        <v>170</v>
      </c>
      <c r="C894" s="1">
        <v>46084</v>
      </c>
      <c r="D894" t="s">
        <v>171</v>
      </c>
      <c r="E894" t="s">
        <v>172</v>
      </c>
      <c r="F894" t="s">
        <v>2750</v>
      </c>
      <c r="G894" t="s">
        <v>2751</v>
      </c>
      <c r="H894">
        <v>1824</v>
      </c>
      <c r="I894" t="s">
        <v>3780</v>
      </c>
      <c r="J894">
        <v>5600</v>
      </c>
      <c r="K894" t="s">
        <v>4492</v>
      </c>
      <c r="M894" t="s">
        <v>4142</v>
      </c>
      <c r="N894" t="s">
        <v>2752</v>
      </c>
      <c r="Q894" t="s">
        <v>4197</v>
      </c>
      <c r="R894">
        <f>1</f>
        <v>1</v>
      </c>
      <c r="S894">
        <f>12.3</f>
        <v>12.3</v>
      </c>
      <c r="T894">
        <f>7</f>
        <v>7</v>
      </c>
      <c r="U894">
        <f>406</f>
        <v>406</v>
      </c>
      <c r="X894">
        <f>0</f>
        <v>0</v>
      </c>
      <c r="Y894">
        <f>0.1</f>
        <v>0.1</v>
      </c>
      <c r="Z894">
        <f>0</f>
        <v>0</v>
      </c>
      <c r="AA894" t="s">
        <v>179</v>
      </c>
      <c r="AB894" t="s">
        <v>179</v>
      </c>
      <c r="AD894">
        <f>0</f>
        <v>0</v>
      </c>
      <c r="AE894">
        <f>0</f>
        <v>0</v>
      </c>
      <c r="AG894" t="s">
        <v>180</v>
      </c>
      <c r="FF894" t="s">
        <v>180</v>
      </c>
      <c r="FG894" t="s">
        <v>180</v>
      </c>
      <c r="FI894" t="s">
        <v>220</v>
      </c>
    </row>
    <row r="895" spans="1:165" x14ac:dyDescent="0.25">
      <c r="A895" t="s">
        <v>3139</v>
      </c>
      <c r="B895" t="s">
        <v>170</v>
      </c>
      <c r="C895" s="1">
        <v>46086</v>
      </c>
      <c r="D895" t="s">
        <v>184</v>
      </c>
      <c r="E895" t="s">
        <v>546</v>
      </c>
      <c r="F895" t="s">
        <v>547</v>
      </c>
      <c r="G895" t="s">
        <v>4458</v>
      </c>
      <c r="H895">
        <v>1356</v>
      </c>
      <c r="I895" t="s">
        <v>4458</v>
      </c>
      <c r="J895">
        <v>510</v>
      </c>
      <c r="K895" t="s">
        <v>4494</v>
      </c>
      <c r="L895" t="s">
        <v>266</v>
      </c>
      <c r="M895" t="s">
        <v>3140</v>
      </c>
      <c r="N895" t="s">
        <v>3141</v>
      </c>
      <c r="O895" t="s">
        <v>3142</v>
      </c>
      <c r="R895">
        <f>1</f>
        <v>1</v>
      </c>
      <c r="S895">
        <f>11.3</f>
        <v>11.3</v>
      </c>
      <c r="T895">
        <f>7.4</f>
        <v>7.4</v>
      </c>
      <c r="U895">
        <f>493</f>
        <v>493</v>
      </c>
      <c r="V895">
        <f>0.14</f>
        <v>0.14000000000000001</v>
      </c>
      <c r="X895">
        <f>0</f>
        <v>0</v>
      </c>
      <c r="Y895" t="s">
        <v>180</v>
      </c>
      <c r="Z895">
        <f>0</f>
        <v>0</v>
      </c>
      <c r="AA895" t="s">
        <v>179</v>
      </c>
      <c r="AB895" t="s">
        <v>179</v>
      </c>
      <c r="AC895">
        <f>0</f>
        <v>0</v>
      </c>
      <c r="AD895">
        <f>0</f>
        <v>0</v>
      </c>
      <c r="AE895">
        <f>0</f>
        <v>0</v>
      </c>
      <c r="AG895" t="s">
        <v>180</v>
      </c>
    </row>
    <row r="896" spans="1:165" x14ac:dyDescent="0.25">
      <c r="A896" t="s">
        <v>3143</v>
      </c>
      <c r="B896" t="s">
        <v>170</v>
      </c>
      <c r="C896" s="1">
        <v>46134</v>
      </c>
      <c r="D896" t="s">
        <v>184</v>
      </c>
      <c r="E896" t="s">
        <v>185</v>
      </c>
      <c r="F896" t="s">
        <v>1002</v>
      </c>
      <c r="G896" t="s">
        <v>4198</v>
      </c>
      <c r="H896">
        <v>640</v>
      </c>
      <c r="I896" t="s">
        <v>4198</v>
      </c>
      <c r="J896">
        <v>37</v>
      </c>
      <c r="K896" t="s">
        <v>3334</v>
      </c>
      <c r="L896" t="s">
        <v>1528</v>
      </c>
      <c r="M896" t="s">
        <v>4199</v>
      </c>
      <c r="N896" t="s">
        <v>3144</v>
      </c>
      <c r="O896" t="s">
        <v>3145</v>
      </c>
      <c r="R896">
        <f>1</f>
        <v>1</v>
      </c>
      <c r="S896">
        <f>14</f>
        <v>14</v>
      </c>
      <c r="T896">
        <f>7.3</f>
        <v>7.3</v>
      </c>
      <c r="U896">
        <f>92</f>
        <v>92</v>
      </c>
      <c r="X896">
        <f>0</f>
        <v>0</v>
      </c>
      <c r="Y896">
        <f>0.2</f>
        <v>0.2</v>
      </c>
      <c r="Z896">
        <f>0</f>
        <v>0</v>
      </c>
      <c r="AA896" t="s">
        <v>179</v>
      </c>
      <c r="AB896" t="s">
        <v>179</v>
      </c>
      <c r="AC896">
        <f>0</f>
        <v>0</v>
      </c>
      <c r="AD896">
        <f>0</f>
        <v>0</v>
      </c>
      <c r="AE896">
        <f>0</f>
        <v>0</v>
      </c>
      <c r="AG896" t="s">
        <v>180</v>
      </c>
      <c r="AH896" t="s">
        <v>193</v>
      </c>
      <c r="AK896" t="s">
        <v>181</v>
      </c>
      <c r="AL896" t="s">
        <v>182</v>
      </c>
      <c r="AM896">
        <f>0.27</f>
        <v>0.27</v>
      </c>
      <c r="AN896">
        <f>0.01</f>
        <v>0.01</v>
      </c>
      <c r="AO896">
        <f>9.3</f>
        <v>9.3000000000000007</v>
      </c>
      <c r="AP896">
        <f>0.9</f>
        <v>0.9</v>
      </c>
      <c r="AQ896" t="s">
        <v>180</v>
      </c>
    </row>
    <row r="897" spans="1:164" x14ac:dyDescent="0.25">
      <c r="A897" t="s">
        <v>3146</v>
      </c>
      <c r="B897" t="s">
        <v>170</v>
      </c>
      <c r="C897" s="1">
        <v>46098</v>
      </c>
      <c r="D897" t="s">
        <v>238</v>
      </c>
      <c r="E897" t="s">
        <v>260</v>
      </c>
      <c r="F897" t="s">
        <v>261</v>
      </c>
      <c r="G897" t="s">
        <v>3147</v>
      </c>
      <c r="H897">
        <v>314</v>
      </c>
      <c r="I897" t="s">
        <v>3147</v>
      </c>
      <c r="J897">
        <v>314</v>
      </c>
      <c r="K897" t="s">
        <v>4492</v>
      </c>
      <c r="L897" t="s">
        <v>266</v>
      </c>
      <c r="M897" t="s">
        <v>4200</v>
      </c>
      <c r="N897" t="s">
        <v>3148</v>
      </c>
      <c r="O897" t="s">
        <v>3149</v>
      </c>
      <c r="R897">
        <f>1</f>
        <v>1</v>
      </c>
      <c r="S897">
        <f>9.1</f>
        <v>9.1</v>
      </c>
      <c r="T897">
        <f>7.8</f>
        <v>7.8</v>
      </c>
      <c r="U897">
        <f>488</f>
        <v>488</v>
      </c>
      <c r="V897">
        <f>0.1</f>
        <v>0.1</v>
      </c>
      <c r="X897">
        <f>0</f>
        <v>0</v>
      </c>
      <c r="Y897">
        <f>0.05</f>
        <v>0.05</v>
      </c>
      <c r="Z897">
        <f>0</f>
        <v>0</v>
      </c>
      <c r="AA897" t="s">
        <v>179</v>
      </c>
      <c r="AB897" t="s">
        <v>179</v>
      </c>
      <c r="AD897">
        <f>0</f>
        <v>0</v>
      </c>
      <c r="AE897">
        <f>0</f>
        <v>0</v>
      </c>
      <c r="AG897" t="s">
        <v>220</v>
      </c>
    </row>
    <row r="898" spans="1:164" x14ac:dyDescent="0.25">
      <c r="A898" t="s">
        <v>3150</v>
      </c>
      <c r="B898" t="s">
        <v>170</v>
      </c>
      <c r="C898" s="1">
        <v>46134</v>
      </c>
      <c r="D898" t="s">
        <v>216</v>
      </c>
      <c r="E898" t="s">
        <v>217</v>
      </c>
      <c r="F898" t="s">
        <v>368</v>
      </c>
      <c r="G898" t="s">
        <v>4201</v>
      </c>
      <c r="H898">
        <v>274</v>
      </c>
      <c r="I898" t="s">
        <v>4201</v>
      </c>
      <c r="J898">
        <v>21</v>
      </c>
      <c r="K898" t="s">
        <v>4494</v>
      </c>
      <c r="L898" t="s">
        <v>369</v>
      </c>
      <c r="M898" t="s">
        <v>4966</v>
      </c>
      <c r="N898" t="s">
        <v>4967</v>
      </c>
      <c r="O898" t="s">
        <v>3151</v>
      </c>
      <c r="Q898" t="s">
        <v>3468</v>
      </c>
      <c r="R898">
        <f>1</f>
        <v>1</v>
      </c>
      <c r="S898">
        <f>11.6</f>
        <v>11.6</v>
      </c>
      <c r="T898">
        <f>8.3</f>
        <v>8.3000000000000007</v>
      </c>
      <c r="U898">
        <f>317</f>
        <v>317</v>
      </c>
      <c r="V898">
        <f>0.12</f>
        <v>0.12</v>
      </c>
      <c r="X898">
        <f>1</f>
        <v>1</v>
      </c>
      <c r="Y898">
        <f>0.12</f>
        <v>0.12</v>
      </c>
      <c r="Z898">
        <f>0</f>
        <v>0</v>
      </c>
      <c r="AA898">
        <f>2</f>
        <v>2</v>
      </c>
      <c r="AB898">
        <f>0</f>
        <v>0</v>
      </c>
      <c r="AC898">
        <f>0</f>
        <v>0</v>
      </c>
      <c r="AD898">
        <f>0</f>
        <v>0</v>
      </c>
      <c r="AE898">
        <f>0</f>
        <v>0</v>
      </c>
      <c r="AG898" t="s">
        <v>220</v>
      </c>
      <c r="AH898" t="s">
        <v>411</v>
      </c>
      <c r="AK898" t="s">
        <v>285</v>
      </c>
      <c r="AL898" t="s">
        <v>181</v>
      </c>
      <c r="AM898">
        <f>2.7</f>
        <v>2.7</v>
      </c>
      <c r="AN898">
        <f>0.05</f>
        <v>0.05</v>
      </c>
      <c r="AO898">
        <f>5.3</f>
        <v>5.3</v>
      </c>
      <c r="AP898">
        <f>27</f>
        <v>27</v>
      </c>
      <c r="AQ898" t="s">
        <v>284</v>
      </c>
      <c r="FB898" t="s">
        <v>193</v>
      </c>
      <c r="FC898" t="s">
        <v>193</v>
      </c>
      <c r="FD898" t="s">
        <v>193</v>
      </c>
      <c r="FE898">
        <f>1</f>
        <v>1</v>
      </c>
      <c r="FH898">
        <f>1</f>
        <v>1</v>
      </c>
    </row>
    <row r="899" spans="1:164" x14ac:dyDescent="0.25">
      <c r="A899" t="s">
        <v>3152</v>
      </c>
      <c r="B899" t="s">
        <v>170</v>
      </c>
      <c r="C899" s="1">
        <v>46136</v>
      </c>
      <c r="D899" t="s">
        <v>302</v>
      </c>
      <c r="E899" t="s">
        <v>303</v>
      </c>
      <c r="F899" t="s">
        <v>3338</v>
      </c>
      <c r="G899" t="s">
        <v>4348</v>
      </c>
      <c r="H899">
        <v>1491</v>
      </c>
      <c r="I899" t="s">
        <v>1504</v>
      </c>
      <c r="J899">
        <v>118</v>
      </c>
      <c r="K899" t="s">
        <v>4494</v>
      </c>
      <c r="L899" t="s">
        <v>3331</v>
      </c>
      <c r="M899" t="s">
        <v>1505</v>
      </c>
      <c r="N899" t="s">
        <v>3376</v>
      </c>
      <c r="O899" t="s">
        <v>1506</v>
      </c>
      <c r="R899">
        <f>1</f>
        <v>1</v>
      </c>
      <c r="S899">
        <f>12</f>
        <v>12</v>
      </c>
      <c r="T899">
        <f>7.5</f>
        <v>7.5</v>
      </c>
      <c r="U899">
        <f>659</f>
        <v>659</v>
      </c>
      <c r="X899">
        <f>0</f>
        <v>0</v>
      </c>
      <c r="Y899" t="s">
        <v>180</v>
      </c>
      <c r="Z899">
        <f>0</f>
        <v>0</v>
      </c>
      <c r="AA899" t="s">
        <v>179</v>
      </c>
      <c r="AB899" t="s">
        <v>179</v>
      </c>
      <c r="AC899">
        <f>0</f>
        <v>0</v>
      </c>
      <c r="AD899">
        <f>0</f>
        <v>0</v>
      </c>
      <c r="AE899">
        <f>0</f>
        <v>0</v>
      </c>
      <c r="AG899" t="s">
        <v>180</v>
      </c>
      <c r="AH899" t="s">
        <v>193</v>
      </c>
      <c r="AK899" t="s">
        <v>181</v>
      </c>
      <c r="AL899" t="s">
        <v>182</v>
      </c>
      <c r="AM899">
        <f>22</f>
        <v>22</v>
      </c>
      <c r="AN899">
        <f>0.44</f>
        <v>0.44</v>
      </c>
      <c r="AO899">
        <f>15</f>
        <v>15</v>
      </c>
      <c r="AP899">
        <f>25</f>
        <v>25</v>
      </c>
      <c r="AQ899" t="s">
        <v>180</v>
      </c>
    </row>
    <row r="900" spans="1:164" x14ac:dyDescent="0.25">
      <c r="A900" t="s">
        <v>3153</v>
      </c>
      <c r="B900" t="s">
        <v>766</v>
      </c>
      <c r="C900" s="1">
        <v>46122</v>
      </c>
      <c r="D900" t="s">
        <v>184</v>
      </c>
      <c r="E900" t="s">
        <v>185</v>
      </c>
      <c r="F900" t="s">
        <v>1084</v>
      </c>
      <c r="G900" t="s">
        <v>3154</v>
      </c>
      <c r="H900">
        <v>576</v>
      </c>
      <c r="I900" t="s">
        <v>3154</v>
      </c>
      <c r="J900">
        <v>45</v>
      </c>
      <c r="K900" t="s">
        <v>4494</v>
      </c>
      <c r="L900" t="s">
        <v>271</v>
      </c>
      <c r="M900" t="s">
        <v>3155</v>
      </c>
      <c r="N900" t="s">
        <v>3156</v>
      </c>
      <c r="R900">
        <f>1</f>
        <v>1</v>
      </c>
      <c r="S900">
        <f>9.4</f>
        <v>9.4</v>
      </c>
      <c r="T900">
        <f>7.1</f>
        <v>7.1</v>
      </c>
      <c r="U900">
        <f>58</f>
        <v>58</v>
      </c>
      <c r="X900">
        <f>0</f>
        <v>0</v>
      </c>
      <c r="Y900" t="s">
        <v>180</v>
      </c>
      <c r="Z900">
        <f>0</f>
        <v>0</v>
      </c>
      <c r="AA900">
        <f>13</f>
        <v>13</v>
      </c>
      <c r="AB900">
        <f>15</f>
        <v>15</v>
      </c>
      <c r="AC900">
        <f>0</f>
        <v>0</v>
      </c>
      <c r="AD900">
        <f>0</f>
        <v>0</v>
      </c>
      <c r="AE900">
        <f>7</f>
        <v>7</v>
      </c>
      <c r="AG900" t="s">
        <v>180</v>
      </c>
      <c r="AH900">
        <f>0.9</f>
        <v>0.9</v>
      </c>
      <c r="AK900" t="s">
        <v>181</v>
      </c>
      <c r="AL900" t="s">
        <v>182</v>
      </c>
      <c r="AM900">
        <f>2.7</f>
        <v>2.7</v>
      </c>
      <c r="AN900">
        <f>0.05</f>
        <v>0.05</v>
      </c>
      <c r="AO900">
        <f>4</f>
        <v>4</v>
      </c>
      <c r="AP900">
        <f>2</f>
        <v>2</v>
      </c>
      <c r="AQ900" t="s">
        <v>180</v>
      </c>
    </row>
    <row r="901" spans="1:164" x14ac:dyDescent="0.25">
      <c r="A901" t="s">
        <v>3157</v>
      </c>
      <c r="B901" t="s">
        <v>170</v>
      </c>
      <c r="C901" s="1">
        <v>46115</v>
      </c>
      <c r="D901" t="s">
        <v>238</v>
      </c>
      <c r="E901" t="s">
        <v>239</v>
      </c>
      <c r="F901" t="s">
        <v>4202</v>
      </c>
      <c r="G901" t="s">
        <v>3158</v>
      </c>
      <c r="H901">
        <v>499</v>
      </c>
      <c r="I901" t="s">
        <v>3158</v>
      </c>
      <c r="J901">
        <v>49</v>
      </c>
      <c r="K901" t="s">
        <v>4494</v>
      </c>
      <c r="L901" t="s">
        <v>266</v>
      </c>
      <c r="M901" t="s">
        <v>4203</v>
      </c>
      <c r="N901" t="s">
        <v>3159</v>
      </c>
      <c r="O901" t="s">
        <v>3160</v>
      </c>
      <c r="R901">
        <f>1</f>
        <v>1</v>
      </c>
      <c r="S901">
        <f>9.3</f>
        <v>9.3000000000000007</v>
      </c>
      <c r="T901">
        <f>8</f>
        <v>8</v>
      </c>
      <c r="U901">
        <f>466</f>
        <v>466</v>
      </c>
      <c r="V901">
        <f>0.14</f>
        <v>0.14000000000000001</v>
      </c>
      <c r="X901">
        <f>0</f>
        <v>0</v>
      </c>
      <c r="Y901">
        <f>0.78</f>
        <v>0.78</v>
      </c>
      <c r="Z901">
        <f>0</f>
        <v>0</v>
      </c>
      <c r="AA901" t="s">
        <v>179</v>
      </c>
      <c r="AB901" t="s">
        <v>179</v>
      </c>
      <c r="AC901">
        <f>0</f>
        <v>0</v>
      </c>
      <c r="AD901">
        <f>0</f>
        <v>0</v>
      </c>
      <c r="AE901">
        <f>0</f>
        <v>0</v>
      </c>
      <c r="AG901" t="s">
        <v>220</v>
      </c>
      <c r="AH901" t="s">
        <v>411</v>
      </c>
      <c r="AK901" t="s">
        <v>286</v>
      </c>
      <c r="AL901">
        <f>0.014</f>
        <v>1.4E-2</v>
      </c>
      <c r="AM901">
        <f>2.7</f>
        <v>2.7</v>
      </c>
      <c r="AN901">
        <f>0.059</f>
        <v>5.8999999999999997E-2</v>
      </c>
      <c r="AO901">
        <f>3</f>
        <v>3</v>
      </c>
      <c r="AP901">
        <f>3.4</f>
        <v>3.4</v>
      </c>
      <c r="AQ901" t="s">
        <v>192</v>
      </c>
    </row>
    <row r="902" spans="1:164" x14ac:dyDescent="0.25">
      <c r="A902" t="s">
        <v>3161</v>
      </c>
      <c r="B902" t="s">
        <v>170</v>
      </c>
      <c r="C902" s="1">
        <v>46132</v>
      </c>
      <c r="D902" t="s">
        <v>251</v>
      </c>
      <c r="E902" t="s">
        <v>252</v>
      </c>
      <c r="F902" t="s">
        <v>3691</v>
      </c>
      <c r="G902" t="s">
        <v>4204</v>
      </c>
      <c r="H902">
        <v>1616</v>
      </c>
      <c r="I902" t="s">
        <v>4204</v>
      </c>
      <c r="J902">
        <v>20</v>
      </c>
      <c r="K902" t="s">
        <v>4492</v>
      </c>
      <c r="L902" t="s">
        <v>3567</v>
      </c>
      <c r="M902" t="s">
        <v>4204</v>
      </c>
      <c r="N902" t="s">
        <v>3810</v>
      </c>
      <c r="O902" t="s">
        <v>3162</v>
      </c>
      <c r="Q902" t="s">
        <v>257</v>
      </c>
      <c r="R902">
        <f>1</f>
        <v>1</v>
      </c>
      <c r="S902">
        <f>12.3</f>
        <v>12.3</v>
      </c>
      <c r="T902">
        <f>7.3</f>
        <v>7.3</v>
      </c>
      <c r="U902">
        <f>168</f>
        <v>168</v>
      </c>
      <c r="X902">
        <f>0</f>
        <v>0</v>
      </c>
      <c r="Y902">
        <f>2.8</f>
        <v>2.8</v>
      </c>
      <c r="Z902">
        <f>0</f>
        <v>0</v>
      </c>
      <c r="AA902">
        <f>0</f>
        <v>0</v>
      </c>
      <c r="AB902">
        <f>0</f>
        <v>0</v>
      </c>
      <c r="AD902">
        <f>0</f>
        <v>0</v>
      </c>
      <c r="AE902">
        <f>0</f>
        <v>0</v>
      </c>
      <c r="AG902" t="s">
        <v>180</v>
      </c>
      <c r="AH902" t="s">
        <v>284</v>
      </c>
      <c r="AK902" t="s">
        <v>285</v>
      </c>
      <c r="AL902" t="s">
        <v>286</v>
      </c>
      <c r="AM902" t="s">
        <v>284</v>
      </c>
      <c r="AN902" t="s">
        <v>285</v>
      </c>
      <c r="AO902">
        <f>12</f>
        <v>12</v>
      </c>
      <c r="AP902">
        <f>6.1</f>
        <v>6.1</v>
      </c>
      <c r="AQ902" t="s">
        <v>284</v>
      </c>
    </row>
    <row r="903" spans="1:164" x14ac:dyDescent="0.25">
      <c r="A903" t="s">
        <v>3163</v>
      </c>
      <c r="B903" t="s">
        <v>170</v>
      </c>
      <c r="C903" s="1">
        <v>46133</v>
      </c>
      <c r="D903" t="s">
        <v>302</v>
      </c>
      <c r="E903" t="s">
        <v>303</v>
      </c>
      <c r="F903" t="s">
        <v>4968</v>
      </c>
      <c r="G903" t="s">
        <v>3164</v>
      </c>
      <c r="H903">
        <v>1189</v>
      </c>
      <c r="I903" t="s">
        <v>3164</v>
      </c>
      <c r="J903">
        <v>40</v>
      </c>
      <c r="K903" t="s">
        <v>4494</v>
      </c>
      <c r="L903" t="s">
        <v>271</v>
      </c>
      <c r="M903" t="s">
        <v>4205</v>
      </c>
      <c r="N903" t="s">
        <v>4969</v>
      </c>
      <c r="O903" t="s">
        <v>3165</v>
      </c>
      <c r="R903">
        <f>1</f>
        <v>1</v>
      </c>
      <c r="S903">
        <f>9.6</f>
        <v>9.6</v>
      </c>
      <c r="T903">
        <f>6.8</f>
        <v>6.8</v>
      </c>
      <c r="U903">
        <f>26</f>
        <v>26</v>
      </c>
      <c r="X903">
        <f>0</f>
        <v>0</v>
      </c>
      <c r="Y903" t="s">
        <v>180</v>
      </c>
      <c r="Z903">
        <f>0</f>
        <v>0</v>
      </c>
      <c r="AA903" t="s">
        <v>179</v>
      </c>
      <c r="AB903" t="s">
        <v>179</v>
      </c>
      <c r="AC903">
        <f>0</f>
        <v>0</v>
      </c>
      <c r="AD903">
        <f>0</f>
        <v>0</v>
      </c>
      <c r="AE903">
        <f>0</f>
        <v>0</v>
      </c>
      <c r="AG903" t="s">
        <v>180</v>
      </c>
    </row>
    <row r="904" spans="1:164" x14ac:dyDescent="0.25">
      <c r="A904" t="s">
        <v>3166</v>
      </c>
      <c r="B904" t="s">
        <v>170</v>
      </c>
      <c r="C904" s="1">
        <v>46119</v>
      </c>
      <c r="D904" t="s">
        <v>184</v>
      </c>
      <c r="E904" t="s">
        <v>185</v>
      </c>
      <c r="F904" t="s">
        <v>761</v>
      </c>
      <c r="G904" t="s">
        <v>3167</v>
      </c>
      <c r="H904">
        <v>1646</v>
      </c>
      <c r="I904" t="s">
        <v>3167</v>
      </c>
      <c r="J904">
        <v>102</v>
      </c>
      <c r="K904" t="s">
        <v>4492</v>
      </c>
      <c r="L904" t="s">
        <v>593</v>
      </c>
      <c r="M904" t="s">
        <v>4970</v>
      </c>
      <c r="N904" t="s">
        <v>3168</v>
      </c>
      <c r="O904" t="s">
        <v>3169</v>
      </c>
      <c r="R904">
        <f>1</f>
        <v>1</v>
      </c>
      <c r="S904">
        <f>8.3</f>
        <v>8.3000000000000007</v>
      </c>
      <c r="T904">
        <f>8</f>
        <v>8</v>
      </c>
      <c r="U904">
        <f>237</f>
        <v>237</v>
      </c>
      <c r="V904">
        <f>0.12</f>
        <v>0.12</v>
      </c>
      <c r="X904">
        <f>0</f>
        <v>0</v>
      </c>
      <c r="Y904" t="s">
        <v>180</v>
      </c>
      <c r="Z904">
        <f>0</f>
        <v>0</v>
      </c>
      <c r="AA904" t="s">
        <v>179</v>
      </c>
      <c r="AB904" t="s">
        <v>179</v>
      </c>
      <c r="AD904">
        <f>0</f>
        <v>0</v>
      </c>
      <c r="AE904">
        <f>0</f>
        <v>0</v>
      </c>
      <c r="AG904" t="s">
        <v>180</v>
      </c>
    </row>
    <row r="905" spans="1:164" x14ac:dyDescent="0.25">
      <c r="A905" t="s">
        <v>3170</v>
      </c>
      <c r="B905" t="s">
        <v>170</v>
      </c>
      <c r="C905" s="1">
        <v>46134</v>
      </c>
      <c r="D905" t="s">
        <v>216</v>
      </c>
      <c r="E905" t="s">
        <v>217</v>
      </c>
      <c r="F905" t="s">
        <v>368</v>
      </c>
      <c r="G905" t="s">
        <v>4459</v>
      </c>
      <c r="H905">
        <v>1681</v>
      </c>
      <c r="I905" t="s">
        <v>4459</v>
      </c>
      <c r="J905">
        <v>13</v>
      </c>
      <c r="K905" t="s">
        <v>4494</v>
      </c>
      <c r="L905" t="s">
        <v>266</v>
      </c>
      <c r="M905" t="s">
        <v>4971</v>
      </c>
      <c r="N905" t="s">
        <v>4972</v>
      </c>
      <c r="O905" t="s">
        <v>3171</v>
      </c>
      <c r="R905">
        <f>1</f>
        <v>1</v>
      </c>
      <c r="S905">
        <f>10.5</f>
        <v>10.5</v>
      </c>
      <c r="T905">
        <f>8</f>
        <v>8</v>
      </c>
      <c r="U905">
        <f>202</f>
        <v>202</v>
      </c>
      <c r="V905">
        <f>0.09</f>
        <v>0.09</v>
      </c>
      <c r="X905">
        <f>1</f>
        <v>1</v>
      </c>
      <c r="Y905">
        <f>0.2</f>
        <v>0.2</v>
      </c>
      <c r="Z905">
        <f>0</f>
        <v>0</v>
      </c>
      <c r="AA905">
        <f>2</f>
        <v>2</v>
      </c>
      <c r="AB905">
        <f>0</f>
        <v>0</v>
      </c>
      <c r="AC905">
        <f>0</f>
        <v>0</v>
      </c>
      <c r="AD905">
        <f>0</f>
        <v>0</v>
      </c>
      <c r="AE905">
        <f>0</f>
        <v>0</v>
      </c>
      <c r="AG905" t="s">
        <v>220</v>
      </c>
      <c r="FB905" t="s">
        <v>193</v>
      </c>
      <c r="FC905" t="s">
        <v>193</v>
      </c>
      <c r="FD905" t="s">
        <v>193</v>
      </c>
      <c r="FE905">
        <f>0.5</f>
        <v>0.5</v>
      </c>
      <c r="FH905">
        <f>0.5</f>
        <v>0.5</v>
      </c>
    </row>
    <row r="906" spans="1:164" x14ac:dyDescent="0.25">
      <c r="A906" t="s">
        <v>3172</v>
      </c>
      <c r="B906" t="s">
        <v>170</v>
      </c>
      <c r="C906" s="1">
        <v>46141</v>
      </c>
      <c r="D906" t="s">
        <v>222</v>
      </c>
      <c r="E906" t="s">
        <v>223</v>
      </c>
      <c r="F906" t="s">
        <v>3173</v>
      </c>
      <c r="G906" t="s">
        <v>3173</v>
      </c>
      <c r="H906">
        <v>1685</v>
      </c>
      <c r="I906" t="s">
        <v>3173</v>
      </c>
      <c r="J906">
        <v>43</v>
      </c>
      <c r="K906" t="s">
        <v>4492</v>
      </c>
      <c r="L906" t="s">
        <v>369</v>
      </c>
      <c r="M906" t="s">
        <v>3174</v>
      </c>
      <c r="N906" t="s">
        <v>3175</v>
      </c>
      <c r="O906" t="s">
        <v>3176</v>
      </c>
      <c r="R906">
        <f>1</f>
        <v>1</v>
      </c>
      <c r="S906">
        <f>10.3</f>
        <v>10.3</v>
      </c>
      <c r="T906">
        <f>8.1</f>
        <v>8.1</v>
      </c>
      <c r="U906">
        <f>236</f>
        <v>236</v>
      </c>
      <c r="V906">
        <f>0.13</f>
        <v>0.13</v>
      </c>
      <c r="X906">
        <f>0</f>
        <v>0</v>
      </c>
      <c r="Y906">
        <f>0.4</f>
        <v>0.4</v>
      </c>
      <c r="Z906">
        <f>0</f>
        <v>0</v>
      </c>
      <c r="AA906" t="s">
        <v>179</v>
      </c>
      <c r="AB906" t="s">
        <v>179</v>
      </c>
      <c r="AD906">
        <f>0</f>
        <v>0</v>
      </c>
      <c r="AE906">
        <f>0</f>
        <v>0</v>
      </c>
      <c r="AG906" t="s">
        <v>180</v>
      </c>
    </row>
    <row r="907" spans="1:164" x14ac:dyDescent="0.25">
      <c r="A907" t="s">
        <v>3177</v>
      </c>
      <c r="B907" t="s">
        <v>170</v>
      </c>
      <c r="C907" s="1">
        <v>46126</v>
      </c>
      <c r="D907" t="s">
        <v>251</v>
      </c>
      <c r="E907" t="s">
        <v>252</v>
      </c>
      <c r="F907" t="s">
        <v>3590</v>
      </c>
      <c r="G907" t="s">
        <v>3178</v>
      </c>
      <c r="H907">
        <v>1710</v>
      </c>
      <c r="I907" t="s">
        <v>3179</v>
      </c>
      <c r="J907">
        <v>18</v>
      </c>
      <c r="K907" t="s">
        <v>4494</v>
      </c>
      <c r="M907" t="s">
        <v>3674</v>
      </c>
      <c r="N907" t="s">
        <v>3675</v>
      </c>
      <c r="R907">
        <f>1</f>
        <v>1</v>
      </c>
      <c r="S907">
        <f>5.5</f>
        <v>5.5</v>
      </c>
      <c r="T907">
        <f>8.1</f>
        <v>8.1</v>
      </c>
      <c r="U907">
        <f>256</f>
        <v>256</v>
      </c>
      <c r="X907">
        <f>0</f>
        <v>0</v>
      </c>
      <c r="Y907">
        <f>0.1</f>
        <v>0.1</v>
      </c>
      <c r="Z907">
        <f>0</f>
        <v>0</v>
      </c>
      <c r="AA907">
        <f>0</f>
        <v>0</v>
      </c>
      <c r="AB907">
        <f>0</f>
        <v>0</v>
      </c>
      <c r="AC907">
        <f>0</f>
        <v>0</v>
      </c>
      <c r="AD907">
        <f>0</f>
        <v>0</v>
      </c>
      <c r="AE907">
        <f>0</f>
        <v>0</v>
      </c>
      <c r="AG907" t="s">
        <v>180</v>
      </c>
    </row>
    <row r="908" spans="1:164" x14ac:dyDescent="0.25">
      <c r="A908" t="s">
        <v>3180</v>
      </c>
      <c r="B908" t="s">
        <v>170</v>
      </c>
      <c r="C908" s="1">
        <v>46104</v>
      </c>
      <c r="D908" t="s">
        <v>251</v>
      </c>
      <c r="E908" t="s">
        <v>252</v>
      </c>
      <c r="F908" t="s">
        <v>3590</v>
      </c>
      <c r="G908" t="s">
        <v>3181</v>
      </c>
      <c r="H908">
        <v>1711</v>
      </c>
      <c r="I908" t="s">
        <v>3182</v>
      </c>
      <c r="J908">
        <v>28</v>
      </c>
      <c r="K908" t="s">
        <v>4494</v>
      </c>
      <c r="M908" t="s">
        <v>3183</v>
      </c>
      <c r="N908" t="s">
        <v>3676</v>
      </c>
      <c r="Q908" t="s">
        <v>3548</v>
      </c>
      <c r="R908">
        <f>1</f>
        <v>1</v>
      </c>
      <c r="S908">
        <f>5.7</f>
        <v>5.7</v>
      </c>
      <c r="T908">
        <f>8.1</f>
        <v>8.1</v>
      </c>
      <c r="U908">
        <f>252</f>
        <v>252</v>
      </c>
      <c r="X908">
        <f>0</f>
        <v>0</v>
      </c>
      <c r="Y908" t="s">
        <v>180</v>
      </c>
      <c r="Z908">
        <f>0</f>
        <v>0</v>
      </c>
      <c r="AA908">
        <f>0</f>
        <v>0</v>
      </c>
      <c r="AB908">
        <f>0</f>
        <v>0</v>
      </c>
      <c r="AC908">
        <f>0</f>
        <v>0</v>
      </c>
      <c r="AD908">
        <f>0</f>
        <v>0</v>
      </c>
      <c r="AE908">
        <f>0</f>
        <v>0</v>
      </c>
      <c r="AG908" t="s">
        <v>180</v>
      </c>
    </row>
    <row r="909" spans="1:164" x14ac:dyDescent="0.25">
      <c r="A909" t="s">
        <v>3184</v>
      </c>
      <c r="B909" t="s">
        <v>766</v>
      </c>
      <c r="C909" s="1">
        <v>46127</v>
      </c>
      <c r="D909" t="s">
        <v>251</v>
      </c>
      <c r="E909" t="s">
        <v>252</v>
      </c>
      <c r="F909" t="s">
        <v>3185</v>
      </c>
      <c r="G909" t="s">
        <v>3811</v>
      </c>
      <c r="H909">
        <v>1712</v>
      </c>
      <c r="I909" t="s">
        <v>3186</v>
      </c>
      <c r="J909">
        <v>1</v>
      </c>
      <c r="K909" t="s">
        <v>4492</v>
      </c>
      <c r="M909" t="s">
        <v>3187</v>
      </c>
      <c r="N909" t="s">
        <v>3188</v>
      </c>
      <c r="Q909" t="s">
        <v>3549</v>
      </c>
      <c r="R909">
        <f>1</f>
        <v>1</v>
      </c>
      <c r="S909">
        <f>8.3</f>
        <v>8.3000000000000007</v>
      </c>
      <c r="T909">
        <f>7.8</f>
        <v>7.8</v>
      </c>
      <c r="U909">
        <f>385</f>
        <v>385</v>
      </c>
      <c r="X909">
        <f>0</f>
        <v>0</v>
      </c>
      <c r="Y909">
        <f>3.7</f>
        <v>3.7</v>
      </c>
      <c r="Z909">
        <f>0</f>
        <v>0</v>
      </c>
      <c r="AA909">
        <f>190</f>
        <v>190</v>
      </c>
      <c r="AB909">
        <f>50</f>
        <v>50</v>
      </c>
      <c r="AD909">
        <f>0</f>
        <v>0</v>
      </c>
      <c r="AE909">
        <f>15</f>
        <v>15</v>
      </c>
      <c r="AG909" t="s">
        <v>180</v>
      </c>
    </row>
    <row r="910" spans="1:164" x14ac:dyDescent="0.25">
      <c r="A910" t="s">
        <v>3189</v>
      </c>
      <c r="B910" t="s">
        <v>766</v>
      </c>
      <c r="C910" s="1">
        <v>46135</v>
      </c>
      <c r="D910" t="s">
        <v>222</v>
      </c>
      <c r="E910" t="s">
        <v>223</v>
      </c>
      <c r="F910" t="s">
        <v>4460</v>
      </c>
      <c r="G910" t="s">
        <v>4461</v>
      </c>
      <c r="H910">
        <v>1714</v>
      </c>
      <c r="I910" t="s">
        <v>4462</v>
      </c>
      <c r="J910">
        <v>1</v>
      </c>
      <c r="K910" t="s">
        <v>4494</v>
      </c>
      <c r="M910" t="s">
        <v>4460</v>
      </c>
      <c r="N910" t="s">
        <v>3458</v>
      </c>
      <c r="R910">
        <f>1</f>
        <v>1</v>
      </c>
      <c r="S910">
        <f>11.5</f>
        <v>11.5</v>
      </c>
      <c r="T910">
        <f>7.4</f>
        <v>7.4</v>
      </c>
      <c r="U910">
        <f>454</f>
        <v>454</v>
      </c>
      <c r="X910">
        <f>0</f>
        <v>0</v>
      </c>
      <c r="Y910">
        <f>2.5</f>
        <v>2.5</v>
      </c>
      <c r="Z910">
        <f>1</f>
        <v>1</v>
      </c>
      <c r="AA910">
        <f>16</f>
        <v>16</v>
      </c>
      <c r="AB910" t="s">
        <v>179</v>
      </c>
      <c r="AC910">
        <f>0</f>
        <v>0</v>
      </c>
      <c r="AD910">
        <f>0</f>
        <v>0</v>
      </c>
      <c r="AE910">
        <f>9</f>
        <v>9</v>
      </c>
      <c r="AG910" t="s">
        <v>180</v>
      </c>
      <c r="AH910">
        <f>0.6</f>
        <v>0.6</v>
      </c>
      <c r="AK910" t="s">
        <v>181</v>
      </c>
      <c r="AL910" t="s">
        <v>182</v>
      </c>
      <c r="AM910">
        <f>4.1</f>
        <v>4.0999999999999996</v>
      </c>
      <c r="AN910">
        <f>0.08</f>
        <v>0.08</v>
      </c>
      <c r="AO910">
        <f>6.1</f>
        <v>6.1</v>
      </c>
      <c r="AP910">
        <f>0.8</f>
        <v>0.8</v>
      </c>
      <c r="AQ910" t="s">
        <v>180</v>
      </c>
    </row>
    <row r="911" spans="1:164" x14ac:dyDescent="0.25">
      <c r="A911" t="s">
        <v>3190</v>
      </c>
      <c r="B911" t="s">
        <v>170</v>
      </c>
      <c r="C911" s="1">
        <v>46105</v>
      </c>
      <c r="D911" t="s">
        <v>184</v>
      </c>
      <c r="E911" t="s">
        <v>239</v>
      </c>
      <c r="F911" t="s">
        <v>276</v>
      </c>
      <c r="G911" t="s">
        <v>3191</v>
      </c>
      <c r="H911">
        <v>1721</v>
      </c>
      <c r="I911" t="s">
        <v>3191</v>
      </c>
      <c r="J911">
        <v>5</v>
      </c>
      <c r="K911" t="s">
        <v>4492</v>
      </c>
      <c r="L911" t="s">
        <v>3567</v>
      </c>
      <c r="M911" t="s">
        <v>4463</v>
      </c>
      <c r="N911" t="s">
        <v>3192</v>
      </c>
      <c r="R911">
        <f>1</f>
        <v>1</v>
      </c>
      <c r="S911">
        <f>12.4</f>
        <v>12.4</v>
      </c>
      <c r="T911">
        <f>7.7</f>
        <v>7.7</v>
      </c>
      <c r="U911">
        <f>376</f>
        <v>376</v>
      </c>
      <c r="X911">
        <f>0</f>
        <v>0</v>
      </c>
      <c r="Y911">
        <f>0.79</f>
        <v>0.79</v>
      </c>
      <c r="Z911">
        <f>0</f>
        <v>0</v>
      </c>
      <c r="AA911" t="s">
        <v>179</v>
      </c>
      <c r="AB911" t="s">
        <v>179</v>
      </c>
      <c r="AD911">
        <f>0</f>
        <v>0</v>
      </c>
      <c r="AE911">
        <f>0</f>
        <v>0</v>
      </c>
      <c r="AG911" t="s">
        <v>220</v>
      </c>
    </row>
    <row r="912" spans="1:164" x14ac:dyDescent="0.25">
      <c r="A912" t="s">
        <v>3193</v>
      </c>
      <c r="B912" t="s">
        <v>170</v>
      </c>
      <c r="C912" s="1">
        <v>46125</v>
      </c>
      <c r="D912" t="s">
        <v>184</v>
      </c>
      <c r="E912" t="s">
        <v>185</v>
      </c>
      <c r="F912" t="s">
        <v>1883</v>
      </c>
      <c r="G912" t="s">
        <v>3194</v>
      </c>
      <c r="H912">
        <v>1722</v>
      </c>
      <c r="I912" t="s">
        <v>3195</v>
      </c>
      <c r="J912">
        <v>1</v>
      </c>
      <c r="K912" t="s">
        <v>4492</v>
      </c>
      <c r="M912" t="s">
        <v>3196</v>
      </c>
      <c r="N912" t="s">
        <v>4206</v>
      </c>
      <c r="Q912" t="s">
        <v>257</v>
      </c>
      <c r="R912">
        <f>1</f>
        <v>1</v>
      </c>
      <c r="S912">
        <f>14.3</f>
        <v>14.3</v>
      </c>
      <c r="T912">
        <f>7.6</f>
        <v>7.6</v>
      </c>
      <c r="U912">
        <f>335</f>
        <v>335</v>
      </c>
      <c r="X912">
        <f>0</f>
        <v>0</v>
      </c>
      <c r="Y912" t="s">
        <v>180</v>
      </c>
      <c r="Z912">
        <f>0</f>
        <v>0</v>
      </c>
      <c r="AA912">
        <f>0</f>
        <v>0</v>
      </c>
      <c r="AB912">
        <f>0</f>
        <v>0</v>
      </c>
      <c r="AD912">
        <f>0</f>
        <v>0</v>
      </c>
      <c r="AE912">
        <f>0</f>
        <v>0</v>
      </c>
      <c r="AG912" t="s">
        <v>180</v>
      </c>
      <c r="AH912" t="s">
        <v>284</v>
      </c>
      <c r="AK912" t="s">
        <v>285</v>
      </c>
      <c r="AL912" t="s">
        <v>286</v>
      </c>
      <c r="AM912">
        <f>6.6</f>
        <v>6.6</v>
      </c>
      <c r="AN912">
        <f>0.132</f>
        <v>0.13200000000000001</v>
      </c>
      <c r="AO912">
        <f>4.5</f>
        <v>4.5</v>
      </c>
      <c r="AP912">
        <f>3.3</f>
        <v>3.3</v>
      </c>
      <c r="AQ912" t="s">
        <v>284</v>
      </c>
    </row>
    <row r="913" spans="1:43" x14ac:dyDescent="0.25">
      <c r="A913" t="s">
        <v>3197</v>
      </c>
      <c r="B913" t="s">
        <v>766</v>
      </c>
      <c r="C913" s="1">
        <v>46106</v>
      </c>
      <c r="D913" t="s">
        <v>251</v>
      </c>
      <c r="E913" t="s">
        <v>252</v>
      </c>
      <c r="F913" t="s">
        <v>4464</v>
      </c>
      <c r="G913" t="s">
        <v>4465</v>
      </c>
      <c r="H913">
        <v>1724</v>
      </c>
      <c r="I913" t="s">
        <v>4466</v>
      </c>
      <c r="J913">
        <v>1</v>
      </c>
      <c r="K913" t="s">
        <v>4492</v>
      </c>
      <c r="M913" t="s">
        <v>4464</v>
      </c>
      <c r="N913" t="s">
        <v>4467</v>
      </c>
      <c r="Q913" t="s">
        <v>257</v>
      </c>
      <c r="R913">
        <f>1</f>
        <v>1</v>
      </c>
      <c r="S913">
        <f>9.5</f>
        <v>9.5</v>
      </c>
      <c r="T913">
        <f>7.2</f>
        <v>7.2</v>
      </c>
      <c r="U913">
        <f>207</f>
        <v>207</v>
      </c>
      <c r="X913">
        <f>0</f>
        <v>0</v>
      </c>
      <c r="Y913" t="s">
        <v>180</v>
      </c>
      <c r="Z913">
        <f>0</f>
        <v>0</v>
      </c>
      <c r="AA913">
        <f>5</f>
        <v>5</v>
      </c>
      <c r="AB913">
        <f>250</f>
        <v>250</v>
      </c>
      <c r="AD913">
        <f>0</f>
        <v>0</v>
      </c>
      <c r="AE913">
        <f>0</f>
        <v>0</v>
      </c>
      <c r="AG913" t="s">
        <v>180</v>
      </c>
    </row>
    <row r="914" spans="1:43" x14ac:dyDescent="0.25">
      <c r="A914" t="s">
        <v>3198</v>
      </c>
      <c r="B914" t="s">
        <v>170</v>
      </c>
      <c r="C914" s="1">
        <v>46128</v>
      </c>
      <c r="D914" t="s">
        <v>184</v>
      </c>
      <c r="E914" t="s">
        <v>185</v>
      </c>
      <c r="F914" t="s">
        <v>288</v>
      </c>
      <c r="G914" t="s">
        <v>4468</v>
      </c>
      <c r="H914">
        <v>1736</v>
      </c>
      <c r="I914" t="s">
        <v>4469</v>
      </c>
      <c r="J914">
        <v>1</v>
      </c>
      <c r="K914" t="s">
        <v>3334</v>
      </c>
      <c r="M914" t="s">
        <v>4470</v>
      </c>
      <c r="N914" t="s">
        <v>3199</v>
      </c>
      <c r="Q914" t="s">
        <v>257</v>
      </c>
      <c r="R914">
        <f>1</f>
        <v>1</v>
      </c>
      <c r="S914">
        <f>13.7</f>
        <v>13.7</v>
      </c>
      <c r="T914">
        <f>7.3</f>
        <v>7.3</v>
      </c>
      <c r="U914">
        <f>355</f>
        <v>355</v>
      </c>
      <c r="X914">
        <f>0</f>
        <v>0</v>
      </c>
      <c r="Y914" t="s">
        <v>180</v>
      </c>
      <c r="Z914">
        <f>0</f>
        <v>0</v>
      </c>
      <c r="AA914">
        <f>60</f>
        <v>60</v>
      </c>
      <c r="AB914">
        <f>0</f>
        <v>0</v>
      </c>
      <c r="AC914">
        <f>0</f>
        <v>0</v>
      </c>
      <c r="AD914">
        <f>0</f>
        <v>0</v>
      </c>
      <c r="AE914">
        <f>0</f>
        <v>0</v>
      </c>
      <c r="AG914" t="s">
        <v>180</v>
      </c>
      <c r="AH914" t="s">
        <v>284</v>
      </c>
      <c r="AK914" t="s">
        <v>285</v>
      </c>
      <c r="AL914" t="s">
        <v>286</v>
      </c>
      <c r="AM914">
        <f>4.4</f>
        <v>4.4000000000000004</v>
      </c>
      <c r="AN914">
        <f>0.088</f>
        <v>8.7999999999999995E-2</v>
      </c>
      <c r="AO914">
        <f>7</f>
        <v>7</v>
      </c>
      <c r="AP914">
        <f>1.8</f>
        <v>1.8</v>
      </c>
      <c r="AQ914" t="s">
        <v>284</v>
      </c>
    </row>
    <row r="915" spans="1:43" x14ac:dyDescent="0.25">
      <c r="A915" t="s">
        <v>3200</v>
      </c>
      <c r="B915" t="s">
        <v>170</v>
      </c>
      <c r="C915" s="1">
        <v>46122</v>
      </c>
      <c r="D915" t="s">
        <v>251</v>
      </c>
      <c r="E915" t="s">
        <v>252</v>
      </c>
      <c r="F915" t="s">
        <v>4471</v>
      </c>
      <c r="G915" t="s">
        <v>4472</v>
      </c>
      <c r="H915">
        <v>1742</v>
      </c>
      <c r="I915" t="s">
        <v>4473</v>
      </c>
      <c r="J915">
        <v>44</v>
      </c>
      <c r="K915" t="s">
        <v>4492</v>
      </c>
      <c r="M915" t="s">
        <v>4474</v>
      </c>
      <c r="N915" t="s">
        <v>4475</v>
      </c>
      <c r="Q915" t="s">
        <v>3550</v>
      </c>
      <c r="R915">
        <f>1</f>
        <v>1</v>
      </c>
      <c r="S915">
        <f>9.5</f>
        <v>9.5</v>
      </c>
      <c r="T915">
        <f>7.7</f>
        <v>7.7</v>
      </c>
      <c r="U915">
        <f>369</f>
        <v>369</v>
      </c>
      <c r="X915">
        <f>0</f>
        <v>0</v>
      </c>
      <c r="Y915" t="s">
        <v>180</v>
      </c>
      <c r="Z915">
        <f>0</f>
        <v>0</v>
      </c>
      <c r="AA915">
        <f>46</f>
        <v>46</v>
      </c>
      <c r="AB915">
        <f>66</f>
        <v>66</v>
      </c>
      <c r="AD915">
        <f>0</f>
        <v>0</v>
      </c>
      <c r="AE915">
        <f>0</f>
        <v>0</v>
      </c>
      <c r="AG915" t="s">
        <v>180</v>
      </c>
    </row>
    <row r="916" spans="1:43" x14ac:dyDescent="0.25">
      <c r="A916" t="s">
        <v>3201</v>
      </c>
      <c r="B916" t="s">
        <v>766</v>
      </c>
      <c r="C916" s="1">
        <v>46125</v>
      </c>
      <c r="D916" t="s">
        <v>184</v>
      </c>
      <c r="E916" t="s">
        <v>185</v>
      </c>
      <c r="F916" t="s">
        <v>3202</v>
      </c>
      <c r="G916" t="s">
        <v>4207</v>
      </c>
      <c r="H916">
        <v>1746</v>
      </c>
      <c r="I916" t="s">
        <v>4208</v>
      </c>
      <c r="J916">
        <v>1</v>
      </c>
      <c r="K916" t="s">
        <v>4494</v>
      </c>
      <c r="M916" t="s">
        <v>4208</v>
      </c>
      <c r="N916" t="s">
        <v>3203</v>
      </c>
      <c r="R916">
        <f>1</f>
        <v>1</v>
      </c>
      <c r="S916">
        <f>12.6</f>
        <v>12.6</v>
      </c>
      <c r="T916">
        <f>8</f>
        <v>8</v>
      </c>
      <c r="U916">
        <f>440</f>
        <v>440</v>
      </c>
      <c r="X916">
        <f>0</f>
        <v>0</v>
      </c>
      <c r="Y916">
        <f>3.9</f>
        <v>3.9</v>
      </c>
      <c r="Z916">
        <f>0</f>
        <v>0</v>
      </c>
      <c r="AA916" t="s">
        <v>1187</v>
      </c>
      <c r="AB916" t="s">
        <v>1187</v>
      </c>
      <c r="AC916">
        <f>4</f>
        <v>4</v>
      </c>
      <c r="AD916">
        <f>0</f>
        <v>0</v>
      </c>
      <c r="AE916">
        <f>0</f>
        <v>0</v>
      </c>
      <c r="AG916" t="s">
        <v>180</v>
      </c>
    </row>
    <row r="917" spans="1:43" x14ac:dyDescent="0.25">
      <c r="A917" t="s">
        <v>3204</v>
      </c>
      <c r="B917" t="s">
        <v>766</v>
      </c>
      <c r="C917" s="1">
        <v>46115</v>
      </c>
      <c r="D917" t="s">
        <v>302</v>
      </c>
      <c r="E917" t="s">
        <v>303</v>
      </c>
      <c r="F917" t="s">
        <v>4476</v>
      </c>
      <c r="G917" t="s">
        <v>3205</v>
      </c>
      <c r="H917">
        <v>1751</v>
      </c>
      <c r="I917" t="s">
        <v>3206</v>
      </c>
      <c r="J917">
        <v>1</v>
      </c>
      <c r="K917" t="s">
        <v>4494</v>
      </c>
      <c r="M917" t="s">
        <v>3206</v>
      </c>
      <c r="N917" t="s">
        <v>3207</v>
      </c>
      <c r="Q917" t="s">
        <v>3208</v>
      </c>
      <c r="R917">
        <f>1</f>
        <v>1</v>
      </c>
      <c r="S917">
        <f>7.6</f>
        <v>7.6</v>
      </c>
      <c r="T917">
        <f>7.6</f>
        <v>7.6</v>
      </c>
      <c r="U917">
        <f>52</f>
        <v>52</v>
      </c>
      <c r="X917">
        <f>0</f>
        <v>0</v>
      </c>
      <c r="Y917">
        <f>0.18</f>
        <v>0.18</v>
      </c>
      <c r="Z917">
        <f>0</f>
        <v>0</v>
      </c>
      <c r="AA917" t="s">
        <v>179</v>
      </c>
      <c r="AB917" t="s">
        <v>179</v>
      </c>
      <c r="AC917">
        <f>0</f>
        <v>0</v>
      </c>
      <c r="AD917">
        <f>0</f>
        <v>0</v>
      </c>
      <c r="AE917">
        <f>16</f>
        <v>16</v>
      </c>
      <c r="AG917" t="s">
        <v>180</v>
      </c>
    </row>
    <row r="918" spans="1:43" x14ac:dyDescent="0.25">
      <c r="A918" t="s">
        <v>3209</v>
      </c>
      <c r="B918" t="s">
        <v>170</v>
      </c>
      <c r="C918" s="1">
        <v>46135</v>
      </c>
      <c r="D918" t="s">
        <v>184</v>
      </c>
      <c r="E918" t="s">
        <v>185</v>
      </c>
      <c r="F918" t="s">
        <v>4209</v>
      </c>
      <c r="G918" t="s">
        <v>3210</v>
      </c>
      <c r="H918">
        <v>1758</v>
      </c>
      <c r="I918" t="s">
        <v>3211</v>
      </c>
      <c r="J918">
        <v>1</v>
      </c>
      <c r="K918" t="s">
        <v>3334</v>
      </c>
      <c r="M918" t="s">
        <v>3212</v>
      </c>
      <c r="N918" t="s">
        <v>4210</v>
      </c>
      <c r="Q918" t="s">
        <v>3213</v>
      </c>
      <c r="R918">
        <f>1</f>
        <v>1</v>
      </c>
      <c r="S918">
        <f>11.6</f>
        <v>11.6</v>
      </c>
      <c r="T918">
        <f>7.5</f>
        <v>7.5</v>
      </c>
      <c r="U918">
        <f>596</f>
        <v>596</v>
      </c>
      <c r="X918">
        <f>0</f>
        <v>0</v>
      </c>
      <c r="Y918">
        <f>0.3</f>
        <v>0.3</v>
      </c>
      <c r="Z918">
        <f>0</f>
        <v>0</v>
      </c>
      <c r="AA918" t="s">
        <v>179</v>
      </c>
      <c r="AB918" t="s">
        <v>179</v>
      </c>
      <c r="AC918">
        <f>0</f>
        <v>0</v>
      </c>
      <c r="AD918">
        <f>0</f>
        <v>0</v>
      </c>
      <c r="AE918">
        <f>0</f>
        <v>0</v>
      </c>
      <c r="AG918" t="s">
        <v>180</v>
      </c>
    </row>
    <row r="919" spans="1:43" x14ac:dyDescent="0.25">
      <c r="A919" t="s">
        <v>3214</v>
      </c>
      <c r="B919" t="s">
        <v>170</v>
      </c>
      <c r="C919" s="1">
        <v>46133</v>
      </c>
      <c r="D919" t="s">
        <v>251</v>
      </c>
      <c r="E919" t="s">
        <v>252</v>
      </c>
      <c r="F919" t="s">
        <v>758</v>
      </c>
      <c r="G919" t="s">
        <v>3215</v>
      </c>
      <c r="H919">
        <v>1762</v>
      </c>
      <c r="I919" t="s">
        <v>3216</v>
      </c>
      <c r="J919">
        <v>20</v>
      </c>
      <c r="K919" t="s">
        <v>4492</v>
      </c>
      <c r="M919" t="s">
        <v>3217</v>
      </c>
      <c r="N919" t="s">
        <v>3218</v>
      </c>
      <c r="Q919" t="s">
        <v>3551</v>
      </c>
      <c r="R919">
        <f>1</f>
        <v>1</v>
      </c>
      <c r="S919">
        <f>16.6</f>
        <v>16.600000000000001</v>
      </c>
      <c r="T919">
        <f>7.5</f>
        <v>7.5</v>
      </c>
      <c r="U919">
        <f>55</f>
        <v>55</v>
      </c>
      <c r="X919">
        <f>0</f>
        <v>0</v>
      </c>
      <c r="Y919">
        <f>0.44</f>
        <v>0.44</v>
      </c>
      <c r="Z919">
        <f>0</f>
        <v>0</v>
      </c>
      <c r="AA919">
        <f>6</f>
        <v>6</v>
      </c>
      <c r="AB919">
        <f>0</f>
        <v>0</v>
      </c>
      <c r="AD919">
        <f>0</f>
        <v>0</v>
      </c>
      <c r="AE919">
        <f>0</f>
        <v>0</v>
      </c>
      <c r="AG919" t="s">
        <v>180</v>
      </c>
      <c r="AH919" t="s">
        <v>284</v>
      </c>
      <c r="AK919" t="s">
        <v>285</v>
      </c>
      <c r="AL919" t="s">
        <v>286</v>
      </c>
      <c r="AM919" t="s">
        <v>284</v>
      </c>
      <c r="AN919" t="s">
        <v>285</v>
      </c>
      <c r="AO919">
        <f>4.5</f>
        <v>4.5</v>
      </c>
      <c r="AP919" t="s">
        <v>284</v>
      </c>
      <c r="AQ919" t="s">
        <v>284</v>
      </c>
    </row>
    <row r="920" spans="1:43" x14ac:dyDescent="0.25">
      <c r="A920" t="s">
        <v>3219</v>
      </c>
      <c r="B920" t="s">
        <v>766</v>
      </c>
      <c r="C920" s="1">
        <v>46135</v>
      </c>
      <c r="D920" t="s">
        <v>222</v>
      </c>
      <c r="E920" t="s">
        <v>223</v>
      </c>
      <c r="F920" t="s">
        <v>4211</v>
      </c>
      <c r="G920" t="s">
        <v>4212</v>
      </c>
      <c r="H920">
        <v>1766</v>
      </c>
      <c r="I920" t="s">
        <v>4213</v>
      </c>
      <c r="J920">
        <v>1</v>
      </c>
      <c r="K920" t="s">
        <v>4492</v>
      </c>
      <c r="M920" t="s">
        <v>4213</v>
      </c>
      <c r="N920" t="s">
        <v>3459</v>
      </c>
      <c r="R920">
        <f>1</f>
        <v>1</v>
      </c>
      <c r="S920">
        <f>9.9</f>
        <v>9.9</v>
      </c>
      <c r="T920">
        <f>7.8</f>
        <v>7.8</v>
      </c>
      <c r="U920">
        <f>426</f>
        <v>426</v>
      </c>
      <c r="X920">
        <f>0</f>
        <v>0</v>
      </c>
      <c r="Y920">
        <f>0.24</f>
        <v>0.24</v>
      </c>
      <c r="Z920">
        <f>0</f>
        <v>0</v>
      </c>
      <c r="AA920">
        <f>18</f>
        <v>18</v>
      </c>
      <c r="AB920" t="s">
        <v>179</v>
      </c>
      <c r="AD920">
        <f>0</f>
        <v>0</v>
      </c>
      <c r="AE920">
        <f>15</f>
        <v>15</v>
      </c>
      <c r="AG920" t="s">
        <v>180</v>
      </c>
      <c r="AH920" t="s">
        <v>193</v>
      </c>
      <c r="AK920" t="s">
        <v>181</v>
      </c>
      <c r="AL920" t="s">
        <v>182</v>
      </c>
      <c r="AM920">
        <f>1.1</f>
        <v>1.1000000000000001</v>
      </c>
      <c r="AN920">
        <f>0.02</f>
        <v>0.02</v>
      </c>
      <c r="AO920">
        <f>35</f>
        <v>35</v>
      </c>
      <c r="AP920">
        <f>0.6</f>
        <v>0.6</v>
      </c>
      <c r="AQ920" t="s">
        <v>180</v>
      </c>
    </row>
    <row r="921" spans="1:43" x14ac:dyDescent="0.25">
      <c r="A921" t="s">
        <v>3220</v>
      </c>
      <c r="B921" t="s">
        <v>766</v>
      </c>
      <c r="C921" s="1">
        <v>46120</v>
      </c>
      <c r="D921" t="s">
        <v>251</v>
      </c>
      <c r="E921" t="s">
        <v>252</v>
      </c>
      <c r="F921" t="s">
        <v>3221</v>
      </c>
      <c r="G921" t="s">
        <v>3221</v>
      </c>
      <c r="H921">
        <v>1767</v>
      </c>
      <c r="I921" t="s">
        <v>3221</v>
      </c>
      <c r="J921">
        <v>40</v>
      </c>
      <c r="K921" t="s">
        <v>4492</v>
      </c>
      <c r="M921" t="s">
        <v>3222</v>
      </c>
      <c r="N921" t="s">
        <v>3223</v>
      </c>
      <c r="Q921" t="s">
        <v>3472</v>
      </c>
      <c r="R921">
        <f>1</f>
        <v>1</v>
      </c>
      <c r="S921">
        <f>9.1</f>
        <v>9.1</v>
      </c>
      <c r="T921">
        <f>7</f>
        <v>7</v>
      </c>
      <c r="U921">
        <f>37</f>
        <v>37</v>
      </c>
      <c r="X921">
        <f>0</f>
        <v>0</v>
      </c>
      <c r="Y921">
        <f>0.1</f>
        <v>0.1</v>
      </c>
      <c r="Z921">
        <f>0</f>
        <v>0</v>
      </c>
      <c r="AA921">
        <f>66</f>
        <v>66</v>
      </c>
      <c r="AB921">
        <f>5</f>
        <v>5</v>
      </c>
      <c r="AD921">
        <f>0</f>
        <v>0</v>
      </c>
      <c r="AE921" t="s">
        <v>1110</v>
      </c>
      <c r="AG921" t="s">
        <v>180</v>
      </c>
    </row>
    <row r="922" spans="1:43" x14ac:dyDescent="0.25">
      <c r="A922" t="s">
        <v>3224</v>
      </c>
      <c r="B922" t="s">
        <v>766</v>
      </c>
      <c r="C922" s="1">
        <v>46135</v>
      </c>
      <c r="D922" t="s">
        <v>222</v>
      </c>
      <c r="E922" t="s">
        <v>260</v>
      </c>
      <c r="F922" t="s">
        <v>3677</v>
      </c>
      <c r="G922" t="s">
        <v>3812</v>
      </c>
      <c r="H922">
        <v>1772</v>
      </c>
      <c r="I922" t="s">
        <v>3813</v>
      </c>
      <c r="J922">
        <v>1</v>
      </c>
      <c r="K922" t="s">
        <v>4492</v>
      </c>
      <c r="M922" t="s">
        <v>3813</v>
      </c>
      <c r="N922" t="s">
        <v>3460</v>
      </c>
      <c r="R922">
        <f>1</f>
        <v>1</v>
      </c>
      <c r="S922">
        <f>9.4</f>
        <v>9.4</v>
      </c>
      <c r="T922">
        <f>7.5</f>
        <v>7.5</v>
      </c>
      <c r="U922">
        <f>334</f>
        <v>334</v>
      </c>
      <c r="X922">
        <f>0</f>
        <v>0</v>
      </c>
      <c r="Y922">
        <f>0.23</f>
        <v>0.23</v>
      </c>
      <c r="Z922">
        <f>0</f>
        <v>0</v>
      </c>
      <c r="AA922">
        <f>28</f>
        <v>28</v>
      </c>
      <c r="AB922" t="s">
        <v>179</v>
      </c>
      <c r="AD922">
        <f>0</f>
        <v>0</v>
      </c>
      <c r="AE922">
        <f>14</f>
        <v>14</v>
      </c>
      <c r="AG922" t="s">
        <v>180</v>
      </c>
    </row>
    <row r="923" spans="1:43" x14ac:dyDescent="0.25">
      <c r="A923" t="s">
        <v>3225</v>
      </c>
      <c r="B923" t="s">
        <v>170</v>
      </c>
      <c r="C923" s="1">
        <v>46107</v>
      </c>
      <c r="D923" t="s">
        <v>251</v>
      </c>
      <c r="E923" t="s">
        <v>252</v>
      </c>
      <c r="F923" t="s">
        <v>253</v>
      </c>
      <c r="G923" t="s">
        <v>3226</v>
      </c>
      <c r="H923">
        <v>1779</v>
      </c>
      <c r="I923" t="s">
        <v>3227</v>
      </c>
      <c r="J923">
        <v>20</v>
      </c>
      <c r="K923" t="s">
        <v>4492</v>
      </c>
      <c r="M923" t="s">
        <v>3228</v>
      </c>
      <c r="N923" t="s">
        <v>3229</v>
      </c>
      <c r="Q923" t="s">
        <v>257</v>
      </c>
      <c r="R923">
        <f>1</f>
        <v>1</v>
      </c>
      <c r="S923">
        <f>7.1</f>
        <v>7.1</v>
      </c>
      <c r="T923">
        <f>7.6</f>
        <v>7.6</v>
      </c>
      <c r="U923">
        <f>324</f>
        <v>324</v>
      </c>
      <c r="X923">
        <f>0</f>
        <v>0</v>
      </c>
      <c r="Y923" t="s">
        <v>180</v>
      </c>
      <c r="Z923">
        <f>0</f>
        <v>0</v>
      </c>
      <c r="AA923">
        <f>0</f>
        <v>0</v>
      </c>
      <c r="AB923">
        <f>0</f>
        <v>0</v>
      </c>
      <c r="AD923">
        <f>0</f>
        <v>0</v>
      </c>
      <c r="AE923">
        <f>0</f>
        <v>0</v>
      </c>
      <c r="AG923" t="s">
        <v>180</v>
      </c>
    </row>
    <row r="924" spans="1:43" x14ac:dyDescent="0.25">
      <c r="A924" t="s">
        <v>3230</v>
      </c>
      <c r="B924" t="s">
        <v>170</v>
      </c>
      <c r="C924" s="1">
        <v>46111</v>
      </c>
      <c r="D924" t="s">
        <v>251</v>
      </c>
      <c r="E924" t="s">
        <v>252</v>
      </c>
      <c r="F924" t="s">
        <v>4214</v>
      </c>
      <c r="G924" t="s">
        <v>3231</v>
      </c>
      <c r="H924">
        <v>1780</v>
      </c>
      <c r="I924" t="s">
        <v>3232</v>
      </c>
      <c r="J924">
        <v>48</v>
      </c>
      <c r="K924" t="s">
        <v>4492</v>
      </c>
      <c r="M924" t="s">
        <v>3814</v>
      </c>
      <c r="N924" t="s">
        <v>3815</v>
      </c>
      <c r="Q924" t="s">
        <v>3678</v>
      </c>
      <c r="R924">
        <f>1</f>
        <v>1</v>
      </c>
      <c r="S924">
        <f>9.5</f>
        <v>9.5</v>
      </c>
      <c r="T924">
        <f>6.5</f>
        <v>6.5</v>
      </c>
      <c r="U924">
        <f>47</f>
        <v>47</v>
      </c>
      <c r="X924">
        <f>0</f>
        <v>0</v>
      </c>
      <c r="Y924">
        <f>0.28</f>
        <v>0.28000000000000003</v>
      </c>
      <c r="Z924">
        <f>0</f>
        <v>0</v>
      </c>
      <c r="AA924">
        <f>14</f>
        <v>14</v>
      </c>
      <c r="AB924">
        <f>0</f>
        <v>0</v>
      </c>
      <c r="AD924">
        <f>0</f>
        <v>0</v>
      </c>
      <c r="AE924">
        <f>0</f>
        <v>0</v>
      </c>
      <c r="AG924" t="s">
        <v>180</v>
      </c>
      <c r="AH924" t="s">
        <v>284</v>
      </c>
      <c r="AK924" t="s">
        <v>285</v>
      </c>
      <c r="AL924" t="s">
        <v>286</v>
      </c>
      <c r="AM924" t="s">
        <v>284</v>
      </c>
      <c r="AN924" t="s">
        <v>285</v>
      </c>
      <c r="AO924">
        <f>1.2</f>
        <v>1.2</v>
      </c>
      <c r="AP924">
        <f>1</f>
        <v>1</v>
      </c>
      <c r="AQ924" t="s">
        <v>284</v>
      </c>
    </row>
    <row r="925" spans="1:43" x14ac:dyDescent="0.25">
      <c r="A925" t="s">
        <v>3233</v>
      </c>
      <c r="B925" t="s">
        <v>766</v>
      </c>
      <c r="C925" s="1">
        <v>46135</v>
      </c>
      <c r="D925" t="s">
        <v>238</v>
      </c>
      <c r="E925" t="s">
        <v>239</v>
      </c>
      <c r="F925" t="s">
        <v>4477</v>
      </c>
      <c r="G925" t="s">
        <v>3234</v>
      </c>
      <c r="H925">
        <v>1784</v>
      </c>
      <c r="I925" t="s">
        <v>3235</v>
      </c>
      <c r="J925">
        <v>1</v>
      </c>
      <c r="K925" t="s">
        <v>3334</v>
      </c>
      <c r="M925" t="s">
        <v>3816</v>
      </c>
      <c r="N925" t="s">
        <v>3461</v>
      </c>
      <c r="R925">
        <f>1</f>
        <v>1</v>
      </c>
      <c r="S925">
        <f>10.1</f>
        <v>10.1</v>
      </c>
      <c r="T925">
        <f>6.9</f>
        <v>6.9</v>
      </c>
      <c r="U925">
        <f>31</f>
        <v>31</v>
      </c>
      <c r="X925">
        <f>0</f>
        <v>0</v>
      </c>
      <c r="Y925">
        <f>2.12</f>
        <v>2.12</v>
      </c>
      <c r="Z925">
        <f>0</f>
        <v>0</v>
      </c>
      <c r="AA925">
        <f>242</f>
        <v>242</v>
      </c>
      <c r="AB925" t="s">
        <v>179</v>
      </c>
      <c r="AC925">
        <f>1</f>
        <v>1</v>
      </c>
      <c r="AD925">
        <f>0</f>
        <v>0</v>
      </c>
      <c r="AE925">
        <f>0</f>
        <v>0</v>
      </c>
      <c r="AG925" t="s">
        <v>220</v>
      </c>
    </row>
    <row r="926" spans="1:43" x14ac:dyDescent="0.25">
      <c r="A926" t="s">
        <v>3236</v>
      </c>
      <c r="B926" t="s">
        <v>766</v>
      </c>
      <c r="C926" s="1">
        <v>46122</v>
      </c>
      <c r="D926" t="s">
        <v>251</v>
      </c>
      <c r="E926" t="s">
        <v>252</v>
      </c>
      <c r="F926" t="s">
        <v>4215</v>
      </c>
      <c r="G926" t="s">
        <v>3237</v>
      </c>
      <c r="H926">
        <v>1785</v>
      </c>
      <c r="I926" t="s">
        <v>3238</v>
      </c>
      <c r="J926">
        <v>1</v>
      </c>
      <c r="K926" t="s">
        <v>4492</v>
      </c>
      <c r="M926" t="s">
        <v>3239</v>
      </c>
      <c r="N926" t="s">
        <v>4216</v>
      </c>
      <c r="Q926" t="s">
        <v>274</v>
      </c>
      <c r="R926">
        <f>1</f>
        <v>1</v>
      </c>
      <c r="S926">
        <f>10.4</f>
        <v>10.4</v>
      </c>
      <c r="T926">
        <f>8.1</f>
        <v>8.1</v>
      </c>
      <c r="U926">
        <f>399</f>
        <v>399</v>
      </c>
      <c r="X926">
        <f>0</f>
        <v>0</v>
      </c>
      <c r="Y926" t="s">
        <v>180</v>
      </c>
      <c r="Z926">
        <f>0</f>
        <v>0</v>
      </c>
      <c r="AA926">
        <f>23</f>
        <v>23</v>
      </c>
      <c r="AB926">
        <f>2</f>
        <v>2</v>
      </c>
      <c r="AD926">
        <f>0</f>
        <v>0</v>
      </c>
      <c r="AE926" t="s">
        <v>1110</v>
      </c>
      <c r="AG926" t="s">
        <v>180</v>
      </c>
      <c r="AH926" t="s">
        <v>284</v>
      </c>
      <c r="AK926" t="s">
        <v>285</v>
      </c>
      <c r="AL926" t="s">
        <v>286</v>
      </c>
      <c r="AM926">
        <f>1.5</f>
        <v>1.5</v>
      </c>
      <c r="AN926">
        <f>0.03</f>
        <v>0.03</v>
      </c>
      <c r="AO926">
        <f>6.2</f>
        <v>6.2</v>
      </c>
      <c r="AP926">
        <f>1.5</f>
        <v>1.5</v>
      </c>
      <c r="AQ926" t="s">
        <v>284</v>
      </c>
    </row>
    <row r="927" spans="1:43" x14ac:dyDescent="0.25">
      <c r="A927" t="s">
        <v>3240</v>
      </c>
      <c r="B927" t="s">
        <v>170</v>
      </c>
      <c r="C927" s="1">
        <v>46141</v>
      </c>
      <c r="D927" t="s">
        <v>222</v>
      </c>
      <c r="E927" t="s">
        <v>223</v>
      </c>
      <c r="F927" t="s">
        <v>4217</v>
      </c>
      <c r="G927" t="s">
        <v>3241</v>
      </c>
      <c r="H927">
        <v>1786</v>
      </c>
      <c r="I927" t="s">
        <v>3242</v>
      </c>
      <c r="J927">
        <v>1</v>
      </c>
      <c r="K927" t="s">
        <v>4492</v>
      </c>
      <c r="L927" t="s">
        <v>3567</v>
      </c>
      <c r="M927" t="s">
        <v>3242</v>
      </c>
      <c r="N927" t="s">
        <v>4478</v>
      </c>
      <c r="R927">
        <f>1</f>
        <v>1</v>
      </c>
      <c r="S927">
        <f>11.5</f>
        <v>11.5</v>
      </c>
      <c r="T927">
        <f>7.6</f>
        <v>7.6</v>
      </c>
      <c r="U927">
        <f>85</f>
        <v>85</v>
      </c>
      <c r="X927">
        <f>0</f>
        <v>0</v>
      </c>
      <c r="Y927">
        <f>0.39</f>
        <v>0.39</v>
      </c>
      <c r="Z927">
        <f>0</f>
        <v>0</v>
      </c>
      <c r="AA927" t="s">
        <v>179</v>
      </c>
      <c r="AB927" t="s">
        <v>179</v>
      </c>
      <c r="AD927">
        <f>0</f>
        <v>0</v>
      </c>
      <c r="AE927">
        <f>0</f>
        <v>0</v>
      </c>
      <c r="AG927" t="s">
        <v>180</v>
      </c>
    </row>
    <row r="928" spans="1:43" x14ac:dyDescent="0.25">
      <c r="A928" t="s">
        <v>3243</v>
      </c>
      <c r="B928" t="s">
        <v>766</v>
      </c>
      <c r="C928" s="1">
        <v>46106</v>
      </c>
      <c r="D928" t="s">
        <v>251</v>
      </c>
      <c r="E928" t="s">
        <v>252</v>
      </c>
      <c r="F928" t="s">
        <v>4479</v>
      </c>
      <c r="G928" t="s">
        <v>4480</v>
      </c>
      <c r="H928">
        <v>1788</v>
      </c>
      <c r="I928" t="s">
        <v>4479</v>
      </c>
      <c r="J928">
        <v>4</v>
      </c>
      <c r="K928" t="s">
        <v>4492</v>
      </c>
      <c r="M928" t="s">
        <v>4479</v>
      </c>
      <c r="N928" t="s">
        <v>4481</v>
      </c>
      <c r="Q928" t="s">
        <v>257</v>
      </c>
      <c r="R928">
        <f>1</f>
        <v>1</v>
      </c>
      <c r="S928">
        <f>5.5</f>
        <v>5.5</v>
      </c>
      <c r="T928">
        <f>7.3</f>
        <v>7.3</v>
      </c>
      <c r="U928">
        <f>103</f>
        <v>103</v>
      </c>
      <c r="X928">
        <f>0</f>
        <v>0</v>
      </c>
      <c r="Y928" t="s">
        <v>180</v>
      </c>
      <c r="Z928">
        <f>0</f>
        <v>0</v>
      </c>
      <c r="AA928">
        <f>98</f>
        <v>98</v>
      </c>
      <c r="AB928">
        <f>0</f>
        <v>0</v>
      </c>
      <c r="AD928">
        <f>0</f>
        <v>0</v>
      </c>
      <c r="AE928">
        <f>29</f>
        <v>29</v>
      </c>
      <c r="AG928" t="s">
        <v>180</v>
      </c>
    </row>
    <row r="929" spans="1:164" x14ac:dyDescent="0.25">
      <c r="A929" t="s">
        <v>3244</v>
      </c>
      <c r="B929" t="s">
        <v>170</v>
      </c>
      <c r="C929" s="1">
        <v>46132</v>
      </c>
      <c r="D929" t="s">
        <v>251</v>
      </c>
      <c r="E929" t="s">
        <v>252</v>
      </c>
      <c r="F929" t="s">
        <v>4479</v>
      </c>
      <c r="G929" t="s">
        <v>4482</v>
      </c>
      <c r="H929">
        <v>1789</v>
      </c>
      <c r="I929" t="s">
        <v>4483</v>
      </c>
      <c r="J929">
        <v>5</v>
      </c>
      <c r="K929" t="s">
        <v>4492</v>
      </c>
      <c r="M929" t="s">
        <v>4484</v>
      </c>
      <c r="N929" t="s">
        <v>4485</v>
      </c>
      <c r="Q929" t="s">
        <v>257</v>
      </c>
      <c r="R929">
        <f>1</f>
        <v>1</v>
      </c>
      <c r="S929">
        <f>7.6</f>
        <v>7.6</v>
      </c>
      <c r="T929">
        <f>7.3</f>
        <v>7.3</v>
      </c>
      <c r="U929">
        <f>80</f>
        <v>80</v>
      </c>
      <c r="X929">
        <f>0</f>
        <v>0</v>
      </c>
      <c r="Y929" t="s">
        <v>180</v>
      </c>
      <c r="Z929">
        <f>0</f>
        <v>0</v>
      </c>
      <c r="AA929">
        <f>8</f>
        <v>8</v>
      </c>
      <c r="AB929">
        <f>0</f>
        <v>0</v>
      </c>
      <c r="AD929">
        <f>0</f>
        <v>0</v>
      </c>
      <c r="AE929">
        <f>0</f>
        <v>0</v>
      </c>
      <c r="AG929" t="s">
        <v>180</v>
      </c>
    </row>
    <row r="930" spans="1:164" x14ac:dyDescent="0.25">
      <c r="A930" t="s">
        <v>3245</v>
      </c>
      <c r="B930" t="s">
        <v>170</v>
      </c>
      <c r="C930" s="1">
        <v>46128</v>
      </c>
      <c r="D930" t="s">
        <v>251</v>
      </c>
      <c r="E930" t="s">
        <v>252</v>
      </c>
      <c r="F930" t="s">
        <v>3246</v>
      </c>
      <c r="G930" t="s">
        <v>3247</v>
      </c>
      <c r="H930">
        <v>1791</v>
      </c>
      <c r="I930" t="s">
        <v>3248</v>
      </c>
      <c r="J930">
        <v>45</v>
      </c>
      <c r="K930" t="s">
        <v>4492</v>
      </c>
      <c r="L930" t="s">
        <v>3586</v>
      </c>
      <c r="M930" t="s">
        <v>4218</v>
      </c>
      <c r="N930" t="s">
        <v>3249</v>
      </c>
      <c r="Q930" t="s">
        <v>257</v>
      </c>
      <c r="R930">
        <f>1</f>
        <v>1</v>
      </c>
      <c r="S930">
        <f>11.1</f>
        <v>11.1</v>
      </c>
      <c r="T930">
        <f>7.8</f>
        <v>7.8</v>
      </c>
      <c r="U930">
        <f>299</f>
        <v>299</v>
      </c>
      <c r="X930">
        <f>0</f>
        <v>0</v>
      </c>
      <c r="Y930" t="s">
        <v>180</v>
      </c>
      <c r="Z930">
        <f>0</f>
        <v>0</v>
      </c>
      <c r="AA930">
        <f>0</f>
        <v>0</v>
      </c>
      <c r="AB930">
        <f>0</f>
        <v>0</v>
      </c>
      <c r="AD930">
        <f>0</f>
        <v>0</v>
      </c>
      <c r="AE930">
        <f>0</f>
        <v>0</v>
      </c>
      <c r="AG930" t="s">
        <v>180</v>
      </c>
    </row>
    <row r="931" spans="1:164" x14ac:dyDescent="0.25">
      <c r="A931" t="s">
        <v>3250</v>
      </c>
      <c r="B931" t="s">
        <v>170</v>
      </c>
      <c r="C931" s="1">
        <v>46121</v>
      </c>
      <c r="D931" t="s">
        <v>251</v>
      </c>
      <c r="E931" t="s">
        <v>252</v>
      </c>
      <c r="F931" t="s">
        <v>361</v>
      </c>
      <c r="G931" t="s">
        <v>3251</v>
      </c>
      <c r="H931">
        <v>1792</v>
      </c>
      <c r="I931" t="s">
        <v>3252</v>
      </c>
      <c r="J931">
        <v>9</v>
      </c>
      <c r="K931" t="s">
        <v>4492</v>
      </c>
      <c r="L931" t="s">
        <v>3567</v>
      </c>
      <c r="M931" t="s">
        <v>4219</v>
      </c>
      <c r="N931" t="s">
        <v>3253</v>
      </c>
      <c r="Q931" t="s">
        <v>3476</v>
      </c>
      <c r="R931">
        <f>1</f>
        <v>1</v>
      </c>
      <c r="S931">
        <f>8.2</f>
        <v>8.1999999999999993</v>
      </c>
      <c r="T931">
        <f>7.7</f>
        <v>7.7</v>
      </c>
      <c r="U931">
        <f>334</f>
        <v>334</v>
      </c>
      <c r="X931">
        <f>0</f>
        <v>0</v>
      </c>
      <c r="Y931" t="s">
        <v>180</v>
      </c>
      <c r="Z931">
        <f>0</f>
        <v>0</v>
      </c>
      <c r="AA931">
        <f>0</f>
        <v>0</v>
      </c>
      <c r="AB931">
        <f>0</f>
        <v>0</v>
      </c>
      <c r="AD931">
        <f>0</f>
        <v>0</v>
      </c>
      <c r="AE931">
        <f>0</f>
        <v>0</v>
      </c>
      <c r="AG931" t="s">
        <v>180</v>
      </c>
    </row>
    <row r="932" spans="1:164" x14ac:dyDescent="0.25">
      <c r="A932" t="s">
        <v>3254</v>
      </c>
      <c r="B932" t="s">
        <v>170</v>
      </c>
      <c r="C932" s="1">
        <v>46134</v>
      </c>
      <c r="D932" t="s">
        <v>216</v>
      </c>
      <c r="E932" t="s">
        <v>217</v>
      </c>
      <c r="F932" t="s">
        <v>368</v>
      </c>
      <c r="G932" t="s">
        <v>3255</v>
      </c>
      <c r="H932">
        <v>1832</v>
      </c>
      <c r="I932" t="s">
        <v>3255</v>
      </c>
      <c r="J932">
        <v>6</v>
      </c>
      <c r="K932" t="s">
        <v>4494</v>
      </c>
      <c r="L932" t="s">
        <v>369</v>
      </c>
      <c r="M932" t="s">
        <v>4220</v>
      </c>
      <c r="N932" t="s">
        <v>4221</v>
      </c>
      <c r="R932">
        <f>1</f>
        <v>1</v>
      </c>
      <c r="S932">
        <f>9.4</f>
        <v>9.4</v>
      </c>
      <c r="T932">
        <f>8.4</f>
        <v>8.4</v>
      </c>
      <c r="U932">
        <f>142</f>
        <v>142</v>
      </c>
      <c r="V932">
        <f>0.14</f>
        <v>0.14000000000000001</v>
      </c>
      <c r="X932">
        <f>1</f>
        <v>1</v>
      </c>
      <c r="Y932">
        <f>0.09</f>
        <v>0.09</v>
      </c>
      <c r="Z932">
        <f>0</f>
        <v>0</v>
      </c>
      <c r="AA932">
        <f>0</f>
        <v>0</v>
      </c>
      <c r="AB932">
        <f>0</f>
        <v>0</v>
      </c>
      <c r="AC932">
        <f>0</f>
        <v>0</v>
      </c>
      <c r="AD932">
        <f>0</f>
        <v>0</v>
      </c>
      <c r="AE932">
        <f>0</f>
        <v>0</v>
      </c>
      <c r="AG932" t="s">
        <v>220</v>
      </c>
      <c r="AH932">
        <f>0.31</f>
        <v>0.31</v>
      </c>
      <c r="AK932" t="s">
        <v>285</v>
      </c>
      <c r="AL932" t="s">
        <v>181</v>
      </c>
      <c r="AM932">
        <f>1</f>
        <v>1</v>
      </c>
      <c r="AN932">
        <f>0.02</f>
        <v>0.02</v>
      </c>
      <c r="AO932">
        <f>3.2</f>
        <v>3.2</v>
      </c>
      <c r="AP932">
        <f>2</f>
        <v>2</v>
      </c>
      <c r="AQ932" t="s">
        <v>284</v>
      </c>
      <c r="FB932">
        <f>5.7</f>
        <v>5.7</v>
      </c>
      <c r="FC932" t="s">
        <v>193</v>
      </c>
      <c r="FD932">
        <f>0.7</f>
        <v>0.7</v>
      </c>
      <c r="FE932" t="s">
        <v>193</v>
      </c>
      <c r="FH932">
        <f>6.4</f>
        <v>6.4</v>
      </c>
    </row>
    <row r="933" spans="1:164" x14ac:dyDescent="0.25">
      <c r="A933" t="s">
        <v>3256</v>
      </c>
      <c r="B933" t="s">
        <v>766</v>
      </c>
      <c r="C933" s="1">
        <v>46134</v>
      </c>
      <c r="D933" t="s">
        <v>216</v>
      </c>
      <c r="E933" t="s">
        <v>217</v>
      </c>
      <c r="F933" t="s">
        <v>368</v>
      </c>
      <c r="G933" t="s">
        <v>4486</v>
      </c>
      <c r="H933">
        <v>1829</v>
      </c>
      <c r="I933" t="s">
        <v>4486</v>
      </c>
      <c r="J933">
        <v>25</v>
      </c>
      <c r="K933" t="s">
        <v>4494</v>
      </c>
      <c r="L933" t="s">
        <v>271</v>
      </c>
      <c r="M933" t="s">
        <v>4487</v>
      </c>
      <c r="N933" t="s">
        <v>4488</v>
      </c>
      <c r="R933">
        <f>1</f>
        <v>1</v>
      </c>
      <c r="S933">
        <f>11.4</f>
        <v>11.4</v>
      </c>
      <c r="T933">
        <f>7.7</f>
        <v>7.7</v>
      </c>
      <c r="U933">
        <f>200</f>
        <v>200</v>
      </c>
      <c r="X933">
        <f>1</f>
        <v>1</v>
      </c>
      <c r="Y933">
        <f>2.03</f>
        <v>2.0299999999999998</v>
      </c>
      <c r="Z933">
        <f>1</f>
        <v>1</v>
      </c>
      <c r="AA933">
        <f>150</f>
        <v>150</v>
      </c>
      <c r="AB933">
        <f>3</f>
        <v>3</v>
      </c>
      <c r="AC933">
        <f>0</f>
        <v>0</v>
      </c>
      <c r="AD933">
        <f>0</f>
        <v>0</v>
      </c>
      <c r="AE933">
        <f>38</f>
        <v>38</v>
      </c>
      <c r="AG933" t="s">
        <v>220</v>
      </c>
      <c r="AH933" t="s">
        <v>411</v>
      </c>
      <c r="AK933" t="s">
        <v>285</v>
      </c>
      <c r="AL933" t="s">
        <v>181</v>
      </c>
      <c r="AM933">
        <f>3.1</f>
        <v>3.1</v>
      </c>
      <c r="AN933">
        <f>0.06</f>
        <v>0.06</v>
      </c>
      <c r="AO933">
        <f>2</f>
        <v>2</v>
      </c>
      <c r="AP933" t="s">
        <v>284</v>
      </c>
      <c r="AQ933" t="s">
        <v>284</v>
      </c>
    </row>
    <row r="934" spans="1:164" x14ac:dyDescent="0.25">
      <c r="A934" t="s">
        <v>3257</v>
      </c>
      <c r="B934" t="s">
        <v>170</v>
      </c>
      <c r="C934" s="1">
        <v>46084</v>
      </c>
      <c r="D934" t="s">
        <v>171</v>
      </c>
      <c r="E934" t="s">
        <v>172</v>
      </c>
      <c r="F934" t="s">
        <v>3875</v>
      </c>
      <c r="G934" t="s">
        <v>634</v>
      </c>
      <c r="H934">
        <v>1818</v>
      </c>
      <c r="I934" t="s">
        <v>3258</v>
      </c>
      <c r="J934">
        <v>2700</v>
      </c>
      <c r="K934" t="s">
        <v>4492</v>
      </c>
      <c r="M934" t="s">
        <v>3259</v>
      </c>
      <c r="N934" t="s">
        <v>3260</v>
      </c>
      <c r="O934" t="s">
        <v>3261</v>
      </c>
      <c r="R934">
        <f>1</f>
        <v>1</v>
      </c>
      <c r="S934">
        <f>10.3</f>
        <v>10.3</v>
      </c>
      <c r="T934">
        <f>7</f>
        <v>7</v>
      </c>
      <c r="U934">
        <f>479</f>
        <v>479</v>
      </c>
      <c r="X934">
        <f>0</f>
        <v>0</v>
      </c>
      <c r="Y934">
        <f>0.1</f>
        <v>0.1</v>
      </c>
      <c r="Z934">
        <f>0</f>
        <v>0</v>
      </c>
      <c r="AA934" t="s">
        <v>179</v>
      </c>
      <c r="AB934" t="s">
        <v>179</v>
      </c>
      <c r="AD934">
        <f>0</f>
        <v>0</v>
      </c>
      <c r="AE934">
        <f>0</f>
        <v>0</v>
      </c>
      <c r="AG934" t="s">
        <v>180</v>
      </c>
    </row>
    <row r="935" spans="1:164" x14ac:dyDescent="0.25">
      <c r="A935" t="s">
        <v>3262</v>
      </c>
      <c r="B935" t="s">
        <v>766</v>
      </c>
      <c r="C935" s="1">
        <v>46141</v>
      </c>
      <c r="D935" t="s">
        <v>238</v>
      </c>
      <c r="E935" t="s">
        <v>239</v>
      </c>
      <c r="F935" t="s">
        <v>3263</v>
      </c>
      <c r="G935" t="s">
        <v>3264</v>
      </c>
      <c r="H935">
        <v>1840</v>
      </c>
      <c r="I935" t="s">
        <v>3265</v>
      </c>
      <c r="J935">
        <v>1</v>
      </c>
      <c r="K935" t="s">
        <v>4494</v>
      </c>
      <c r="L935" t="s">
        <v>3567</v>
      </c>
      <c r="M935" t="s">
        <v>3817</v>
      </c>
      <c r="N935" t="s">
        <v>3679</v>
      </c>
      <c r="R935">
        <f>1</f>
        <v>1</v>
      </c>
      <c r="S935">
        <f>13.6</f>
        <v>13.6</v>
      </c>
      <c r="T935">
        <f>7.8</f>
        <v>7.8</v>
      </c>
      <c r="U935">
        <f>348</f>
        <v>348</v>
      </c>
      <c r="X935">
        <f>0</f>
        <v>0</v>
      </c>
      <c r="Y935" t="s">
        <v>180</v>
      </c>
      <c r="Z935">
        <f>0</f>
        <v>0</v>
      </c>
      <c r="AA935" t="s">
        <v>1187</v>
      </c>
      <c r="AB935" t="s">
        <v>1187</v>
      </c>
      <c r="AC935">
        <f>0</f>
        <v>0</v>
      </c>
      <c r="AD935">
        <f>0</f>
        <v>0</v>
      </c>
      <c r="AE935">
        <f>0</f>
        <v>0</v>
      </c>
      <c r="AG935" t="s">
        <v>220</v>
      </c>
      <c r="AH935">
        <f>0.83</f>
        <v>0.83</v>
      </c>
      <c r="AK935" t="s">
        <v>286</v>
      </c>
      <c r="AL935">
        <f>0.0023</f>
        <v>2.3E-3</v>
      </c>
      <c r="AM935">
        <f>3.1</f>
        <v>3.1</v>
      </c>
      <c r="AN935">
        <f>0.063</f>
        <v>6.3E-2</v>
      </c>
      <c r="AO935">
        <f>6.4</f>
        <v>6.4</v>
      </c>
      <c r="AP935">
        <f>4</f>
        <v>4</v>
      </c>
      <c r="AQ935" t="s">
        <v>192</v>
      </c>
    </row>
    <row r="936" spans="1:164" x14ac:dyDescent="0.25">
      <c r="A936" t="s">
        <v>3266</v>
      </c>
      <c r="B936" t="s">
        <v>170</v>
      </c>
      <c r="C936" s="1">
        <v>46119</v>
      </c>
      <c r="D936" t="s">
        <v>216</v>
      </c>
      <c r="E936" t="s">
        <v>217</v>
      </c>
      <c r="F936" t="s">
        <v>3312</v>
      </c>
      <c r="G936" t="s">
        <v>4489</v>
      </c>
      <c r="H936">
        <v>291</v>
      </c>
      <c r="I936" t="s">
        <v>4489</v>
      </c>
      <c r="J936">
        <v>17</v>
      </c>
      <c r="K936" t="s">
        <v>4494</v>
      </c>
      <c r="L936" t="s">
        <v>3578</v>
      </c>
      <c r="M936" t="s">
        <v>4490</v>
      </c>
      <c r="N936" t="s">
        <v>4491</v>
      </c>
      <c r="R936">
        <f>1</f>
        <v>1</v>
      </c>
      <c r="S936">
        <f>11.1</f>
        <v>11.1</v>
      </c>
      <c r="T936">
        <f>8</f>
        <v>8</v>
      </c>
      <c r="U936">
        <f>381</f>
        <v>381</v>
      </c>
      <c r="V936">
        <f>0.25</f>
        <v>0.25</v>
      </c>
      <c r="X936">
        <f>1</f>
        <v>1</v>
      </c>
      <c r="Y936">
        <f>0.2</f>
        <v>0.2</v>
      </c>
      <c r="Z936">
        <f>0</f>
        <v>0</v>
      </c>
      <c r="AA936">
        <f>0</f>
        <v>0</v>
      </c>
      <c r="AB936">
        <f>0</f>
        <v>0</v>
      </c>
      <c r="AC936">
        <f>0</f>
        <v>0</v>
      </c>
      <c r="AD936">
        <f>0</f>
        <v>0</v>
      </c>
      <c r="AE936">
        <f>0</f>
        <v>0</v>
      </c>
      <c r="AG936" t="s">
        <v>220</v>
      </c>
      <c r="FB936">
        <f>2</f>
        <v>2</v>
      </c>
      <c r="FC936" t="s">
        <v>193</v>
      </c>
      <c r="FD936">
        <f>1.2</f>
        <v>1.2</v>
      </c>
      <c r="FE936">
        <f>0.6</f>
        <v>0.6</v>
      </c>
      <c r="FH936">
        <f>3.8</f>
        <v>3.8</v>
      </c>
    </row>
    <row r="937" spans="1:164" x14ac:dyDescent="0.25">
      <c r="A937" t="s">
        <v>3267</v>
      </c>
      <c r="B937" t="s">
        <v>766</v>
      </c>
      <c r="C937" s="1">
        <v>46112</v>
      </c>
      <c r="D937" t="s">
        <v>216</v>
      </c>
      <c r="E937" t="s">
        <v>217</v>
      </c>
      <c r="F937" t="s">
        <v>3312</v>
      </c>
      <c r="G937" t="s">
        <v>3268</v>
      </c>
      <c r="H937">
        <v>1841</v>
      </c>
      <c r="I937" t="s">
        <v>3268</v>
      </c>
      <c r="J937">
        <v>13</v>
      </c>
      <c r="K937" t="s">
        <v>4494</v>
      </c>
      <c r="L937" t="s">
        <v>271</v>
      </c>
      <c r="M937" t="s">
        <v>3269</v>
      </c>
      <c r="N937" t="s">
        <v>3270</v>
      </c>
      <c r="R937">
        <f>1</f>
        <v>1</v>
      </c>
      <c r="S937">
        <f>9.2</f>
        <v>9.1999999999999993</v>
      </c>
      <c r="T937">
        <f>8.2</f>
        <v>8.1999999999999993</v>
      </c>
      <c r="U937">
        <f>383</f>
        <v>383</v>
      </c>
      <c r="X937">
        <f>1</f>
        <v>1</v>
      </c>
      <c r="Y937">
        <f>2.69</f>
        <v>2.69</v>
      </c>
      <c r="Z937">
        <f>13</f>
        <v>13</v>
      </c>
      <c r="AA937" t="s">
        <v>1187</v>
      </c>
      <c r="AB937">
        <f>74</f>
        <v>74</v>
      </c>
      <c r="AC937">
        <f>0</f>
        <v>0</v>
      </c>
      <c r="AD937">
        <f>3</f>
        <v>3</v>
      </c>
      <c r="AE937" t="s">
        <v>1110</v>
      </c>
      <c r="AG937" t="s">
        <v>220</v>
      </c>
    </row>
    <row r="938" spans="1:164" x14ac:dyDescent="0.25">
      <c r="A938" t="s">
        <v>3271</v>
      </c>
      <c r="B938" t="s">
        <v>170</v>
      </c>
      <c r="C938" s="1">
        <v>46132</v>
      </c>
      <c r="D938" t="s">
        <v>222</v>
      </c>
      <c r="E938" t="s">
        <v>223</v>
      </c>
      <c r="F938" t="s">
        <v>296</v>
      </c>
      <c r="G938" t="s">
        <v>722</v>
      </c>
      <c r="H938">
        <v>1853</v>
      </c>
      <c r="I938" t="s">
        <v>3272</v>
      </c>
      <c r="J938">
        <v>36</v>
      </c>
      <c r="K938" t="s">
        <v>4492</v>
      </c>
      <c r="L938" t="s">
        <v>4973</v>
      </c>
      <c r="M938" t="s">
        <v>3273</v>
      </c>
      <c r="N938" t="s">
        <v>3274</v>
      </c>
      <c r="O938" t="s">
        <v>3275</v>
      </c>
      <c r="Q938" t="s">
        <v>3552</v>
      </c>
      <c r="R938">
        <f>1</f>
        <v>1</v>
      </c>
      <c r="S938">
        <f>8.5</f>
        <v>8.5</v>
      </c>
      <c r="T938">
        <f>7.7</f>
        <v>7.7</v>
      </c>
      <c r="U938">
        <f>495</f>
        <v>495</v>
      </c>
      <c r="V938">
        <f>0.29</f>
        <v>0.28999999999999998</v>
      </c>
      <c r="X938">
        <f>0</f>
        <v>0</v>
      </c>
      <c r="Y938">
        <f>0.67</f>
        <v>0.67</v>
      </c>
      <c r="Z938">
        <f>0</f>
        <v>0</v>
      </c>
      <c r="AA938">
        <f>82</f>
        <v>82</v>
      </c>
      <c r="AB938" t="s">
        <v>179</v>
      </c>
      <c r="AD938">
        <f>0</f>
        <v>0</v>
      </c>
      <c r="AE938">
        <f>0</f>
        <v>0</v>
      </c>
      <c r="AG938" t="s">
        <v>180</v>
      </c>
      <c r="AH938">
        <f>0.9</f>
        <v>0.9</v>
      </c>
      <c r="AK938" t="s">
        <v>181</v>
      </c>
      <c r="AL938" t="s">
        <v>182</v>
      </c>
      <c r="AM938">
        <f>8</f>
        <v>8</v>
      </c>
      <c r="AN938">
        <f>0.16</f>
        <v>0.16</v>
      </c>
      <c r="AO938">
        <f>4.1</f>
        <v>4.0999999999999996</v>
      </c>
      <c r="AP938">
        <f>2.5</f>
        <v>2.5</v>
      </c>
      <c r="AQ938" t="s">
        <v>180</v>
      </c>
    </row>
    <row r="939" spans="1:164" x14ac:dyDescent="0.25">
      <c r="A939" t="s">
        <v>3276</v>
      </c>
      <c r="B939" t="s">
        <v>170</v>
      </c>
      <c r="C939" s="1">
        <v>46122</v>
      </c>
      <c r="D939" t="s">
        <v>184</v>
      </c>
      <c r="E939" t="s">
        <v>252</v>
      </c>
      <c r="F939" t="s">
        <v>384</v>
      </c>
      <c r="G939" t="s">
        <v>3277</v>
      </c>
      <c r="H939">
        <v>1658</v>
      </c>
      <c r="I939" t="s">
        <v>3277</v>
      </c>
      <c r="J939">
        <v>16</v>
      </c>
      <c r="K939" t="s">
        <v>4492</v>
      </c>
      <c r="L939" t="s">
        <v>3589</v>
      </c>
      <c r="M939" t="s">
        <v>3462</v>
      </c>
      <c r="N939" t="s">
        <v>3278</v>
      </c>
      <c r="R939">
        <f>1</f>
        <v>1</v>
      </c>
      <c r="S939">
        <f>8.8</f>
        <v>8.8000000000000007</v>
      </c>
      <c r="T939">
        <f>7.8</f>
        <v>7.8</v>
      </c>
      <c r="U939">
        <f>563</f>
        <v>563</v>
      </c>
      <c r="V939">
        <f>0.1</f>
        <v>0.1</v>
      </c>
      <c r="X939">
        <f>0</f>
        <v>0</v>
      </c>
      <c r="Y939">
        <f>0.3</f>
        <v>0.3</v>
      </c>
      <c r="Z939">
        <f>0</f>
        <v>0</v>
      </c>
      <c r="AA939" t="s">
        <v>179</v>
      </c>
      <c r="AB939" t="s">
        <v>179</v>
      </c>
      <c r="AD939">
        <f>0</f>
        <v>0</v>
      </c>
      <c r="AE939">
        <f>0</f>
        <v>0</v>
      </c>
      <c r="AG939" t="s">
        <v>180</v>
      </c>
      <c r="FB939">
        <f>2.9</f>
        <v>2.9</v>
      </c>
      <c r="FC939" t="s">
        <v>220</v>
      </c>
      <c r="FD939">
        <f>1.8</f>
        <v>1.8</v>
      </c>
      <c r="FE939">
        <f>0.59</f>
        <v>0.59</v>
      </c>
      <c r="FH939">
        <f>5.3</f>
        <v>5.3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MPV 2026 jan-apr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Primož Tič</dc:creator>
  <cp:lastModifiedBy>Primož Tič</cp:lastModifiedBy>
  <dcterms:created xsi:type="dcterms:W3CDTF">2026-05-27T05:07:00Z</dcterms:created>
  <dcterms:modified xsi:type="dcterms:W3CDTF">2026-05-27T05:10:00Z</dcterms:modified>
</cp:coreProperties>
</file>