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tic1\Downloads\"/>
    </mc:Choice>
  </mc:AlternateContent>
  <bookViews>
    <workbookView xWindow="0" yWindow="0" windowWidth="18960" windowHeight="11460"/>
  </bookViews>
  <sheets>
    <sheet name="Preglednica_rezultatov(14)" sheetId="1" r:id="rId1"/>
  </sheets>
  <calcPr calcId="0"/>
</workbook>
</file>

<file path=xl/calcChain.xml><?xml version="1.0" encoding="utf-8"?>
<calcChain xmlns="http://schemas.openxmlformats.org/spreadsheetml/2006/main">
  <c r="R3" i="1" l="1"/>
  <c r="S3" i="1"/>
  <c r="T3" i="1"/>
  <c r="U3" i="1"/>
  <c r="X3" i="1"/>
  <c r="Y3" i="1"/>
  <c r="Z3" i="1"/>
  <c r="AD3" i="1"/>
  <c r="AE3" i="1"/>
  <c r="R4" i="1"/>
  <c r="S4" i="1"/>
  <c r="T4" i="1"/>
  <c r="U4" i="1"/>
  <c r="X4" i="1"/>
  <c r="Y4" i="1"/>
  <c r="Z4" i="1"/>
  <c r="AD4" i="1"/>
  <c r="AE4" i="1"/>
  <c r="R5" i="1"/>
  <c r="S5" i="1"/>
  <c r="T5" i="1"/>
  <c r="U5" i="1"/>
  <c r="X5" i="1"/>
  <c r="Y5" i="1"/>
  <c r="Z5" i="1"/>
  <c r="AD5" i="1"/>
  <c r="AE5" i="1"/>
  <c r="AI5" i="1"/>
  <c r="AN5" i="1"/>
  <c r="AO5" i="1"/>
  <c r="AP5" i="1"/>
  <c r="AQ5" i="1"/>
  <c r="AR5" i="1"/>
  <c r="AS5" i="1"/>
  <c r="AY5" i="1"/>
  <c r="BA5" i="1"/>
  <c r="BE5" i="1"/>
  <c r="BK5" i="1"/>
  <c r="EL5" i="1"/>
  <c r="EM5" i="1"/>
  <c r="EN5" i="1"/>
  <c r="EO5" i="1"/>
  <c r="ER5" i="1"/>
  <c r="R6" i="1"/>
  <c r="S6" i="1"/>
  <c r="T6" i="1"/>
  <c r="U6" i="1"/>
  <c r="X6" i="1"/>
  <c r="Y6" i="1"/>
  <c r="Z6" i="1"/>
  <c r="AD6" i="1"/>
  <c r="AE6" i="1"/>
  <c r="R7" i="1"/>
  <c r="S7" i="1"/>
  <c r="T7" i="1"/>
  <c r="U7" i="1"/>
  <c r="X7" i="1"/>
  <c r="Z7" i="1"/>
  <c r="AD7" i="1"/>
  <c r="AE7" i="1"/>
  <c r="R8" i="1"/>
  <c r="S8" i="1"/>
  <c r="T8" i="1"/>
  <c r="U8" i="1"/>
  <c r="X8" i="1"/>
  <c r="Z8" i="1"/>
  <c r="AD8" i="1"/>
  <c r="AE8" i="1"/>
  <c r="R9" i="1"/>
  <c r="S9" i="1"/>
  <c r="T9" i="1"/>
  <c r="U9" i="1"/>
  <c r="V9" i="1"/>
  <c r="X9" i="1"/>
  <c r="Y9" i="1"/>
  <c r="Z9" i="1"/>
  <c r="AA9" i="1"/>
  <c r="AB9" i="1"/>
  <c r="AC9" i="1"/>
  <c r="AD9" i="1"/>
  <c r="AE9" i="1"/>
  <c r="R10" i="1"/>
  <c r="S10" i="1"/>
  <c r="T10" i="1"/>
  <c r="U10" i="1"/>
  <c r="V10" i="1"/>
  <c r="X10" i="1"/>
  <c r="Y10" i="1"/>
  <c r="Z10" i="1"/>
  <c r="AA10" i="1"/>
  <c r="AB10" i="1"/>
  <c r="AC10" i="1"/>
  <c r="AD10" i="1"/>
  <c r="AE10" i="1"/>
  <c r="R11" i="1"/>
  <c r="S11" i="1"/>
  <c r="T11" i="1"/>
  <c r="U11" i="1"/>
  <c r="X11" i="1"/>
  <c r="Y11" i="1"/>
  <c r="Z11" i="1"/>
  <c r="AA11" i="1"/>
  <c r="AB11" i="1"/>
  <c r="AC11" i="1"/>
  <c r="AD11" i="1"/>
  <c r="AE11" i="1"/>
  <c r="R12" i="1"/>
  <c r="S12" i="1"/>
  <c r="T12" i="1"/>
  <c r="U12" i="1"/>
  <c r="V12" i="1"/>
  <c r="X12" i="1"/>
  <c r="Y12" i="1"/>
  <c r="Z12" i="1"/>
  <c r="AA12" i="1"/>
  <c r="AB12" i="1"/>
  <c r="AC12" i="1"/>
  <c r="AD12" i="1"/>
  <c r="AE12" i="1"/>
  <c r="R13" i="1"/>
  <c r="S13" i="1"/>
  <c r="T13" i="1"/>
  <c r="U13" i="1"/>
  <c r="V13" i="1"/>
  <c r="X13" i="1"/>
  <c r="Z13" i="1"/>
  <c r="AC13" i="1"/>
  <c r="AD13" i="1"/>
  <c r="AE13" i="1"/>
  <c r="AI13" i="1"/>
  <c r="AN13" i="1"/>
  <c r="AO13" i="1"/>
  <c r="AP13" i="1"/>
  <c r="AQ13" i="1"/>
  <c r="AR13" i="1"/>
  <c r="AS13" i="1"/>
  <c r="BA13" i="1"/>
  <c r="BB13" i="1"/>
  <c r="BD13" i="1"/>
  <c r="BE13" i="1"/>
  <c r="BG13" i="1"/>
  <c r="BH13" i="1"/>
  <c r="BK13" i="1"/>
  <c r="R14" i="1"/>
  <c r="S14" i="1"/>
  <c r="T14" i="1"/>
  <c r="U14" i="1"/>
  <c r="V14" i="1"/>
  <c r="X14" i="1"/>
  <c r="Y14" i="1"/>
  <c r="Z14" i="1"/>
  <c r="AA14" i="1"/>
  <c r="AB14" i="1"/>
  <c r="AC14" i="1"/>
  <c r="AD14" i="1"/>
  <c r="AE14" i="1"/>
  <c r="R15" i="1"/>
  <c r="S15" i="1"/>
  <c r="T15" i="1"/>
  <c r="U15" i="1"/>
  <c r="X15" i="1"/>
  <c r="Z15" i="1"/>
  <c r="AC15" i="1"/>
  <c r="AD15" i="1"/>
  <c r="AE15" i="1"/>
  <c r="AI15" i="1"/>
  <c r="AN15" i="1"/>
  <c r="AO15" i="1"/>
  <c r="AP15" i="1"/>
  <c r="AQ15" i="1"/>
  <c r="AS15" i="1"/>
  <c r="AY15" i="1"/>
  <c r="BA15" i="1"/>
  <c r="BB15" i="1"/>
  <c r="BE15" i="1"/>
  <c r="BG15" i="1"/>
  <c r="BH15" i="1"/>
  <c r="BK15" i="1"/>
  <c r="R16" i="1"/>
  <c r="S16" i="1"/>
  <c r="T16" i="1"/>
  <c r="U16" i="1"/>
  <c r="X16" i="1"/>
  <c r="Y16" i="1"/>
  <c r="Z16" i="1"/>
  <c r="AA16" i="1"/>
  <c r="AB16" i="1"/>
  <c r="AC16" i="1"/>
  <c r="AD16" i="1"/>
  <c r="AE16" i="1"/>
  <c r="R17" i="1"/>
  <c r="S17" i="1"/>
  <c r="T17" i="1"/>
  <c r="U17" i="1"/>
  <c r="V17" i="1"/>
  <c r="X17" i="1"/>
  <c r="Y17" i="1"/>
  <c r="Z17" i="1"/>
  <c r="AA17" i="1"/>
  <c r="AB17" i="1"/>
  <c r="AC17" i="1"/>
  <c r="AD17" i="1"/>
  <c r="AE17" i="1"/>
  <c r="R18" i="1"/>
  <c r="S18" i="1"/>
  <c r="T18" i="1"/>
  <c r="U18" i="1"/>
  <c r="V18" i="1"/>
  <c r="X18" i="1"/>
  <c r="Y18" i="1"/>
  <c r="Z18" i="1"/>
  <c r="AA18" i="1"/>
  <c r="AB18" i="1"/>
  <c r="AC18" i="1"/>
  <c r="AD18" i="1"/>
  <c r="AE18" i="1"/>
  <c r="R19" i="1"/>
  <c r="S19" i="1"/>
  <c r="T19" i="1"/>
  <c r="U19" i="1"/>
  <c r="V19" i="1"/>
  <c r="X19" i="1"/>
  <c r="Y19" i="1"/>
  <c r="Z19" i="1"/>
  <c r="AA19" i="1"/>
  <c r="AB19" i="1"/>
  <c r="AC19" i="1"/>
  <c r="AD19" i="1"/>
  <c r="AE19" i="1"/>
  <c r="AI19" i="1"/>
  <c r="AN19" i="1"/>
  <c r="AO19" i="1"/>
  <c r="AP19" i="1"/>
  <c r="AQ19" i="1"/>
  <c r="AS19" i="1"/>
  <c r="BA19" i="1"/>
  <c r="BB19" i="1"/>
  <c r="BE19" i="1"/>
  <c r="BK19" i="1"/>
  <c r="EO19" i="1"/>
  <c r="ER19" i="1"/>
  <c r="R20" i="1"/>
  <c r="S20" i="1"/>
  <c r="T20" i="1"/>
  <c r="U20" i="1"/>
  <c r="V20" i="1"/>
  <c r="X20" i="1"/>
  <c r="Y20" i="1"/>
  <c r="Z20" i="1"/>
  <c r="AA20" i="1"/>
  <c r="AB20" i="1"/>
  <c r="AC20" i="1"/>
  <c r="AD20" i="1"/>
  <c r="AE20" i="1"/>
  <c r="R21" i="1"/>
  <c r="S21" i="1"/>
  <c r="T21" i="1"/>
  <c r="U21" i="1"/>
  <c r="V21" i="1"/>
  <c r="X21" i="1"/>
  <c r="Z21" i="1"/>
  <c r="AA21" i="1"/>
  <c r="AB21" i="1"/>
  <c r="AC21" i="1"/>
  <c r="AD21" i="1"/>
  <c r="AE21" i="1"/>
  <c r="AN21" i="1"/>
  <c r="AO21" i="1"/>
  <c r="AP21" i="1"/>
  <c r="AQ21" i="1"/>
  <c r="AS21" i="1"/>
  <c r="BA21" i="1"/>
  <c r="BE21" i="1"/>
  <c r="BK21" i="1"/>
  <c r="R22" i="1"/>
  <c r="S22" i="1"/>
  <c r="T22" i="1"/>
  <c r="U22" i="1"/>
  <c r="V22" i="1"/>
  <c r="X22" i="1"/>
  <c r="Z22" i="1"/>
  <c r="AC22" i="1"/>
  <c r="AD22" i="1"/>
  <c r="AE22" i="1"/>
  <c r="R23" i="1"/>
  <c r="S23" i="1"/>
  <c r="T23" i="1"/>
  <c r="U23" i="1"/>
  <c r="V23" i="1"/>
  <c r="X23" i="1"/>
  <c r="Y23" i="1"/>
  <c r="Z23" i="1"/>
  <c r="AC23" i="1"/>
  <c r="AD23" i="1"/>
  <c r="AE23" i="1"/>
  <c r="AI23" i="1"/>
  <c r="AN23" i="1"/>
  <c r="AO23" i="1"/>
  <c r="AP23" i="1"/>
  <c r="AQ23" i="1"/>
  <c r="AS23" i="1"/>
  <c r="BE23" i="1"/>
  <c r="BK23" i="1"/>
  <c r="EL23" i="1"/>
  <c r="EN23" i="1"/>
  <c r="ER23" i="1"/>
  <c r="R24" i="1"/>
  <c r="S24" i="1"/>
  <c r="T24" i="1"/>
  <c r="U24" i="1"/>
  <c r="X24" i="1"/>
  <c r="Z24" i="1"/>
  <c r="AC24" i="1"/>
  <c r="AD24" i="1"/>
  <c r="AE24" i="1"/>
  <c r="AN24" i="1"/>
  <c r="AO24" i="1"/>
  <c r="AP24" i="1"/>
  <c r="AQ24" i="1"/>
  <c r="AS24" i="1"/>
  <c r="BE24" i="1"/>
  <c r="BK24" i="1"/>
  <c r="EL24" i="1"/>
  <c r="EN24" i="1"/>
  <c r="ER24" i="1"/>
  <c r="R25" i="1"/>
  <c r="S25" i="1"/>
  <c r="T25" i="1"/>
  <c r="U25" i="1"/>
  <c r="V25" i="1"/>
  <c r="X25" i="1"/>
  <c r="Z25" i="1"/>
  <c r="AC25" i="1"/>
  <c r="AD25" i="1"/>
  <c r="AE25" i="1"/>
  <c r="AN25" i="1"/>
  <c r="AO25" i="1"/>
  <c r="AP25" i="1"/>
  <c r="AQ25" i="1"/>
  <c r="AS25" i="1"/>
  <c r="BK25" i="1"/>
  <c r="EL25" i="1"/>
  <c r="EN25" i="1"/>
  <c r="ER25" i="1"/>
  <c r="R26" i="1"/>
  <c r="S26" i="1"/>
  <c r="T26" i="1"/>
  <c r="U26" i="1"/>
  <c r="V26" i="1"/>
  <c r="X26" i="1"/>
  <c r="Z26" i="1"/>
  <c r="AA26" i="1"/>
  <c r="AB26" i="1"/>
  <c r="AC26" i="1"/>
  <c r="AD26" i="1"/>
  <c r="AE26" i="1"/>
  <c r="R27" i="1"/>
  <c r="S27" i="1"/>
  <c r="T27" i="1"/>
  <c r="U27" i="1"/>
  <c r="V27" i="1"/>
  <c r="X27" i="1"/>
  <c r="Z27" i="1"/>
  <c r="AC27" i="1"/>
  <c r="AD27" i="1"/>
  <c r="AE27" i="1"/>
  <c r="R28" i="1"/>
  <c r="S28" i="1"/>
  <c r="T28" i="1"/>
  <c r="U28" i="1"/>
  <c r="V28" i="1"/>
  <c r="X28" i="1"/>
  <c r="Z28" i="1"/>
  <c r="AC28" i="1"/>
  <c r="AD28" i="1"/>
  <c r="AE28" i="1"/>
  <c r="R29" i="1"/>
  <c r="S29" i="1"/>
  <c r="T29" i="1"/>
  <c r="U29" i="1"/>
  <c r="V29" i="1"/>
  <c r="X29" i="1"/>
  <c r="Y29" i="1"/>
  <c r="Z29" i="1"/>
  <c r="AC29" i="1"/>
  <c r="AD29" i="1"/>
  <c r="AE29" i="1"/>
  <c r="R30" i="1"/>
  <c r="S30" i="1"/>
  <c r="T30" i="1"/>
  <c r="U30" i="1"/>
  <c r="V30" i="1"/>
  <c r="X30" i="1"/>
  <c r="Z30" i="1"/>
  <c r="AA30" i="1"/>
  <c r="AB30" i="1"/>
  <c r="AC30" i="1"/>
  <c r="AD30" i="1"/>
  <c r="AE30" i="1"/>
  <c r="BB30" i="1"/>
  <c r="R31" i="1"/>
  <c r="S31" i="1"/>
  <c r="T31" i="1"/>
  <c r="U31" i="1"/>
  <c r="V31" i="1"/>
  <c r="X31" i="1"/>
  <c r="Z31" i="1"/>
  <c r="AA31" i="1"/>
  <c r="AB31" i="1"/>
  <c r="AC31" i="1"/>
  <c r="AD31" i="1"/>
  <c r="AE31" i="1"/>
  <c r="BB31" i="1"/>
  <c r="R32" i="1"/>
  <c r="S32" i="1"/>
  <c r="T32" i="1"/>
  <c r="U32" i="1"/>
  <c r="X32" i="1"/>
  <c r="Z32" i="1"/>
  <c r="AD32" i="1"/>
  <c r="AE32" i="1"/>
  <c r="R33" i="1"/>
  <c r="S33" i="1"/>
  <c r="T33" i="1"/>
  <c r="U33" i="1"/>
  <c r="X33" i="1"/>
  <c r="Z33" i="1"/>
  <c r="AA33" i="1"/>
  <c r="AD33" i="1"/>
  <c r="AE33" i="1"/>
  <c r="AM33" i="1"/>
  <c r="AN33" i="1"/>
  <c r="AO33" i="1"/>
  <c r="AP33" i="1"/>
  <c r="AQ33" i="1"/>
  <c r="AR33" i="1"/>
  <c r="AS33" i="1"/>
  <c r="AY33" i="1"/>
  <c r="BA33" i="1"/>
  <c r="BB33" i="1"/>
  <c r="BD33" i="1"/>
  <c r="BE33" i="1"/>
  <c r="BK33" i="1"/>
  <c r="R34" i="1"/>
  <c r="S34" i="1"/>
  <c r="T34" i="1"/>
  <c r="U34" i="1"/>
  <c r="W34" i="1"/>
  <c r="X34" i="1"/>
  <c r="Y34" i="1"/>
  <c r="Z34" i="1"/>
  <c r="AC34" i="1"/>
  <c r="AD34" i="1"/>
  <c r="AE34" i="1"/>
  <c r="AI34" i="1"/>
  <c r="AN34" i="1"/>
  <c r="AO34" i="1"/>
  <c r="AP34" i="1"/>
  <c r="AQ34" i="1"/>
  <c r="AS34" i="1"/>
  <c r="BA34" i="1"/>
  <c r="BB34" i="1"/>
  <c r="BE34" i="1"/>
  <c r="BK34" i="1"/>
  <c r="R35" i="1"/>
  <c r="S35" i="1"/>
  <c r="T35" i="1"/>
  <c r="U35" i="1"/>
  <c r="W35" i="1"/>
  <c r="X35" i="1"/>
  <c r="Y35" i="1"/>
  <c r="Z35" i="1"/>
  <c r="AC35" i="1"/>
  <c r="AD35" i="1"/>
  <c r="AE35" i="1"/>
  <c r="R36" i="1"/>
  <c r="S36" i="1"/>
  <c r="T36" i="1"/>
  <c r="U36" i="1"/>
  <c r="V36" i="1"/>
  <c r="X36" i="1"/>
  <c r="Y36" i="1"/>
  <c r="Z36" i="1"/>
  <c r="AC36" i="1"/>
  <c r="AD36" i="1"/>
  <c r="AE36" i="1"/>
  <c r="R37" i="1"/>
  <c r="S37" i="1"/>
  <c r="T37" i="1"/>
  <c r="U37" i="1"/>
  <c r="X37" i="1"/>
  <c r="Z37" i="1"/>
  <c r="AC37" i="1"/>
  <c r="AD37" i="1"/>
  <c r="AE37" i="1"/>
  <c r="R38" i="1"/>
  <c r="S38" i="1"/>
  <c r="T38" i="1"/>
  <c r="U38" i="1"/>
  <c r="X38" i="1"/>
  <c r="Z38" i="1"/>
  <c r="AA38" i="1"/>
  <c r="AB38" i="1"/>
  <c r="AD38" i="1"/>
  <c r="AE38" i="1"/>
  <c r="AN38" i="1"/>
  <c r="AO38" i="1"/>
  <c r="AP38" i="1"/>
  <c r="AQ38" i="1"/>
  <c r="AS38" i="1"/>
  <c r="R39" i="1"/>
  <c r="S39" i="1"/>
  <c r="T39" i="1"/>
  <c r="U39" i="1"/>
  <c r="V39" i="1"/>
  <c r="X39" i="1"/>
  <c r="Z39" i="1"/>
  <c r="AA39" i="1"/>
  <c r="AB39" i="1"/>
  <c r="AD39" i="1"/>
  <c r="AE39" i="1"/>
  <c r="R40" i="1"/>
  <c r="S40" i="1"/>
  <c r="T40" i="1"/>
  <c r="U40" i="1"/>
  <c r="V40" i="1"/>
  <c r="X40" i="1"/>
  <c r="Y40" i="1"/>
  <c r="Z40" i="1"/>
  <c r="AD40" i="1"/>
  <c r="AE40" i="1"/>
  <c r="R41" i="1"/>
  <c r="S41" i="1"/>
  <c r="T41" i="1"/>
  <c r="U41" i="1"/>
  <c r="V41" i="1"/>
  <c r="X41" i="1"/>
  <c r="Y41" i="1"/>
  <c r="Z41" i="1"/>
  <c r="AD41" i="1"/>
  <c r="AE41" i="1"/>
  <c r="R42" i="1"/>
  <c r="S42" i="1"/>
  <c r="T42" i="1"/>
  <c r="U42" i="1"/>
  <c r="X42" i="1"/>
  <c r="Z42" i="1"/>
  <c r="AA42" i="1"/>
  <c r="AB42" i="1"/>
  <c r="AD42" i="1"/>
  <c r="AE42" i="1"/>
  <c r="AN42" i="1"/>
  <c r="AO42" i="1"/>
  <c r="AP42" i="1"/>
  <c r="AS42" i="1"/>
  <c r="R43" i="1"/>
  <c r="S43" i="1"/>
  <c r="T43" i="1"/>
  <c r="U43" i="1"/>
  <c r="X43" i="1"/>
  <c r="Z43" i="1"/>
  <c r="AA43" i="1"/>
  <c r="AB43" i="1"/>
  <c r="AD43" i="1"/>
  <c r="AE43" i="1"/>
  <c r="R44" i="1"/>
  <c r="S44" i="1"/>
  <c r="T44" i="1"/>
  <c r="U44" i="1"/>
  <c r="X44" i="1"/>
  <c r="Z44" i="1"/>
  <c r="AA44" i="1"/>
  <c r="AB44" i="1"/>
  <c r="AD44" i="1"/>
  <c r="AE44" i="1"/>
  <c r="R45" i="1"/>
  <c r="S45" i="1"/>
  <c r="T45" i="1"/>
  <c r="U45" i="1"/>
  <c r="X45" i="1"/>
  <c r="Z45" i="1"/>
  <c r="AC45" i="1"/>
  <c r="AD45" i="1"/>
  <c r="AE45" i="1"/>
  <c r="R46" i="1"/>
  <c r="S46" i="1"/>
  <c r="T46" i="1"/>
  <c r="U46" i="1"/>
  <c r="X46" i="1"/>
  <c r="Y46" i="1"/>
  <c r="Z46" i="1"/>
  <c r="AC46" i="1"/>
  <c r="AD46" i="1"/>
  <c r="AE46" i="1"/>
  <c r="R47" i="1"/>
  <c r="S47" i="1"/>
  <c r="T47" i="1"/>
  <c r="U47" i="1"/>
  <c r="V47" i="1"/>
  <c r="X47" i="1"/>
  <c r="Z47" i="1"/>
  <c r="AC47" i="1"/>
  <c r="AD47" i="1"/>
  <c r="AE47" i="1"/>
  <c r="R48" i="1"/>
  <c r="S48" i="1"/>
  <c r="T48" i="1"/>
  <c r="U48" i="1"/>
  <c r="X48" i="1"/>
  <c r="Z48" i="1"/>
  <c r="AA48" i="1"/>
  <c r="AB48" i="1"/>
  <c r="AC48" i="1"/>
  <c r="AD48" i="1"/>
  <c r="AE48" i="1"/>
  <c r="R49" i="1"/>
  <c r="S49" i="1"/>
  <c r="T49" i="1"/>
  <c r="U49" i="1"/>
  <c r="X49" i="1"/>
  <c r="Z49" i="1"/>
  <c r="AA49" i="1"/>
  <c r="AB49" i="1"/>
  <c r="AC49" i="1"/>
  <c r="AD49" i="1"/>
  <c r="AE49" i="1"/>
  <c r="R50" i="1"/>
  <c r="S50" i="1"/>
  <c r="T50" i="1"/>
  <c r="U50" i="1"/>
  <c r="X50" i="1"/>
  <c r="Y50" i="1"/>
  <c r="Z50" i="1"/>
  <c r="AA50" i="1"/>
  <c r="AB50" i="1"/>
  <c r="AC50" i="1"/>
  <c r="AD50" i="1"/>
  <c r="AE50" i="1"/>
  <c r="R51" i="1"/>
  <c r="S51" i="1"/>
  <c r="T51" i="1"/>
  <c r="U51" i="1"/>
  <c r="X51" i="1"/>
  <c r="Z51" i="1"/>
  <c r="AA51" i="1"/>
  <c r="AB51" i="1"/>
  <c r="AD51" i="1"/>
  <c r="AE51" i="1"/>
  <c r="AN51" i="1"/>
  <c r="AO51" i="1"/>
  <c r="AP51" i="1"/>
  <c r="AQ51" i="1"/>
  <c r="AS51" i="1"/>
  <c r="BA51" i="1"/>
  <c r="R52" i="1"/>
  <c r="S52" i="1"/>
  <c r="T52" i="1"/>
  <c r="U52" i="1"/>
  <c r="X52" i="1"/>
  <c r="Z52" i="1"/>
  <c r="AA52" i="1"/>
  <c r="AB52" i="1"/>
  <c r="AD52" i="1"/>
  <c r="AE52" i="1"/>
  <c r="R53" i="1"/>
  <c r="S53" i="1"/>
  <c r="T53" i="1"/>
  <c r="U53" i="1"/>
  <c r="X53" i="1"/>
  <c r="Z53" i="1"/>
  <c r="AA53" i="1"/>
  <c r="AB53" i="1"/>
  <c r="AD53" i="1"/>
  <c r="AE53" i="1"/>
  <c r="R54" i="1"/>
  <c r="S54" i="1"/>
  <c r="T54" i="1"/>
  <c r="U54" i="1"/>
  <c r="X54" i="1"/>
  <c r="Z54" i="1"/>
  <c r="AA54" i="1"/>
  <c r="AB54" i="1"/>
  <c r="AD54" i="1"/>
  <c r="AE54" i="1"/>
  <c r="R55" i="1"/>
  <c r="S55" i="1"/>
  <c r="T55" i="1"/>
  <c r="U55" i="1"/>
  <c r="V55" i="1"/>
  <c r="X55" i="1"/>
  <c r="Y55" i="1"/>
  <c r="Z55" i="1"/>
  <c r="AA55" i="1"/>
  <c r="AB55" i="1"/>
  <c r="AD55" i="1"/>
  <c r="AE55" i="1"/>
  <c r="R56" i="1"/>
  <c r="S56" i="1"/>
  <c r="T56" i="1"/>
  <c r="U56" i="1"/>
  <c r="X56" i="1"/>
  <c r="Y56" i="1"/>
  <c r="Z56" i="1"/>
  <c r="AA56" i="1"/>
  <c r="AB56" i="1"/>
  <c r="AD56" i="1"/>
  <c r="AE56" i="1"/>
  <c r="AN56" i="1"/>
  <c r="AO56" i="1"/>
  <c r="AP56" i="1"/>
  <c r="AQ56" i="1"/>
  <c r="AS56" i="1"/>
  <c r="AZ56" i="1"/>
  <c r="BB56" i="1"/>
  <c r="R57" i="1"/>
  <c r="S57" i="1"/>
  <c r="T57" i="1"/>
  <c r="U57" i="1"/>
  <c r="X57" i="1"/>
  <c r="Z57" i="1"/>
  <c r="AA57" i="1"/>
  <c r="AB57" i="1"/>
  <c r="AC57" i="1"/>
  <c r="AD57" i="1"/>
  <c r="AE57" i="1"/>
  <c r="R58" i="1"/>
  <c r="S58" i="1"/>
  <c r="T58" i="1"/>
  <c r="U58" i="1"/>
  <c r="V58" i="1"/>
  <c r="X58" i="1"/>
  <c r="Z58" i="1"/>
  <c r="AD58" i="1"/>
  <c r="AE58" i="1"/>
  <c r="R59" i="1"/>
  <c r="S59" i="1"/>
  <c r="T59" i="1"/>
  <c r="U59" i="1"/>
  <c r="X59" i="1"/>
  <c r="Z59" i="1"/>
  <c r="AD59" i="1"/>
  <c r="AE59" i="1"/>
  <c r="R60" i="1"/>
  <c r="S60" i="1"/>
  <c r="T60" i="1"/>
  <c r="U60" i="1"/>
  <c r="X60" i="1"/>
  <c r="Z60" i="1"/>
  <c r="AD60" i="1"/>
  <c r="AE60" i="1"/>
  <c r="R61" i="1"/>
  <c r="S61" i="1"/>
  <c r="T61" i="1"/>
  <c r="U61" i="1"/>
  <c r="V61" i="1"/>
  <c r="X61" i="1"/>
  <c r="Z61" i="1"/>
  <c r="AD61" i="1"/>
  <c r="AE61" i="1"/>
  <c r="R62" i="1"/>
  <c r="S62" i="1"/>
  <c r="T62" i="1"/>
  <c r="U62" i="1"/>
  <c r="V62" i="1"/>
  <c r="X62" i="1"/>
  <c r="Z62" i="1"/>
  <c r="AD62" i="1"/>
  <c r="AE62" i="1"/>
  <c r="AN62" i="1"/>
  <c r="AO62" i="1"/>
  <c r="AP62" i="1"/>
  <c r="AQ62" i="1"/>
  <c r="AS62" i="1"/>
  <c r="BA62" i="1"/>
  <c r="BE62" i="1"/>
  <c r="BK62" i="1"/>
  <c r="CR62" i="1"/>
  <c r="EL62" i="1"/>
  <c r="EM62" i="1"/>
  <c r="EN62" i="1"/>
  <c r="EO62" i="1"/>
  <c r="ER62" i="1"/>
  <c r="R63" i="1"/>
  <c r="S63" i="1"/>
  <c r="T63" i="1"/>
  <c r="U63" i="1"/>
  <c r="V63" i="1"/>
  <c r="X63" i="1"/>
  <c r="Y63" i="1"/>
  <c r="Z63" i="1"/>
  <c r="AD63" i="1"/>
  <c r="AE63" i="1"/>
  <c r="AN63" i="1"/>
  <c r="AO63" i="1"/>
  <c r="AP63" i="1"/>
  <c r="AQ63" i="1"/>
  <c r="AS63" i="1"/>
  <c r="BE63" i="1"/>
  <c r="BH63" i="1"/>
  <c r="BK63" i="1"/>
  <c r="R64" i="1"/>
  <c r="S64" i="1"/>
  <c r="T64" i="1"/>
  <c r="U64" i="1"/>
  <c r="V64" i="1"/>
  <c r="X64" i="1"/>
  <c r="Z64" i="1"/>
  <c r="AD64" i="1"/>
  <c r="AE64" i="1"/>
  <c r="R65" i="1"/>
  <c r="S65" i="1"/>
  <c r="T65" i="1"/>
  <c r="U65" i="1"/>
  <c r="V65" i="1"/>
  <c r="X65" i="1"/>
  <c r="Z65" i="1"/>
  <c r="AD65" i="1"/>
  <c r="AE65" i="1"/>
  <c r="R66" i="1"/>
  <c r="S66" i="1"/>
  <c r="T66" i="1"/>
  <c r="U66" i="1"/>
  <c r="V66" i="1"/>
  <c r="X66" i="1"/>
  <c r="Y66" i="1"/>
  <c r="Z66" i="1"/>
  <c r="AD66" i="1"/>
  <c r="AE66" i="1"/>
  <c r="R67" i="1"/>
  <c r="S67" i="1"/>
  <c r="T67" i="1"/>
  <c r="U67" i="1"/>
  <c r="V67" i="1"/>
  <c r="X67" i="1"/>
  <c r="Y67" i="1"/>
  <c r="Z67" i="1"/>
  <c r="AC67" i="1"/>
  <c r="AD67" i="1"/>
  <c r="AE67" i="1"/>
  <c r="AI67" i="1"/>
  <c r="AN67" i="1"/>
  <c r="AO67" i="1"/>
  <c r="AP67" i="1"/>
  <c r="AQ67" i="1"/>
  <c r="AS67" i="1"/>
  <c r="BA67" i="1"/>
  <c r="BB67" i="1"/>
  <c r="BD67" i="1"/>
  <c r="BE67" i="1"/>
  <c r="BG67" i="1"/>
  <c r="BK67" i="1"/>
  <c r="EL67" i="1"/>
  <c r="EN67" i="1"/>
  <c r="EO67" i="1"/>
  <c r="ER67" i="1"/>
  <c r="R68" i="1"/>
  <c r="S68" i="1"/>
  <c r="T68" i="1"/>
  <c r="U68" i="1"/>
  <c r="V68" i="1"/>
  <c r="X68" i="1"/>
  <c r="Z68" i="1"/>
  <c r="AC68" i="1"/>
  <c r="AD68" i="1"/>
  <c r="AE68" i="1"/>
  <c r="R69" i="1"/>
  <c r="S69" i="1"/>
  <c r="T69" i="1"/>
  <c r="U69" i="1"/>
  <c r="X69" i="1"/>
  <c r="Z69" i="1"/>
  <c r="AD69" i="1"/>
  <c r="AE69" i="1"/>
  <c r="R70" i="1"/>
  <c r="S70" i="1"/>
  <c r="T70" i="1"/>
  <c r="U70" i="1"/>
  <c r="X70" i="1"/>
  <c r="Z70" i="1"/>
  <c r="AA70" i="1"/>
  <c r="AB70" i="1"/>
  <c r="AD70" i="1"/>
  <c r="AE70" i="1"/>
  <c r="R71" i="1"/>
  <c r="S71" i="1"/>
  <c r="T71" i="1"/>
  <c r="U71" i="1"/>
  <c r="X71" i="1"/>
  <c r="Y71" i="1"/>
  <c r="Z71" i="1"/>
  <c r="AA71" i="1"/>
  <c r="AB71" i="1"/>
  <c r="AD71" i="1"/>
  <c r="AE71" i="1"/>
  <c r="R72" i="1"/>
  <c r="S72" i="1"/>
  <c r="T72" i="1"/>
  <c r="U72" i="1"/>
  <c r="V72" i="1"/>
  <c r="X72" i="1"/>
  <c r="Z72" i="1"/>
  <c r="AA72" i="1"/>
  <c r="AB72" i="1"/>
  <c r="AC72" i="1"/>
  <c r="AD72" i="1"/>
  <c r="AE72" i="1"/>
  <c r="AI72" i="1"/>
  <c r="AN72" i="1"/>
  <c r="AO72" i="1"/>
  <c r="AP72" i="1"/>
  <c r="AQ72" i="1"/>
  <c r="AS72" i="1"/>
  <c r="BA72" i="1"/>
  <c r="BB72" i="1"/>
  <c r="BD72" i="1"/>
  <c r="BE72" i="1"/>
  <c r="BF72" i="1"/>
  <c r="BK72" i="1"/>
  <c r="EL72" i="1"/>
  <c r="EN72" i="1"/>
  <c r="ER72" i="1"/>
  <c r="R73" i="1"/>
  <c r="S73" i="1"/>
  <c r="T73" i="1"/>
  <c r="U73" i="1"/>
  <c r="X73" i="1"/>
  <c r="Z73" i="1"/>
  <c r="AC73" i="1"/>
  <c r="AD73" i="1"/>
  <c r="AE73" i="1"/>
  <c r="R74" i="1"/>
  <c r="S74" i="1"/>
  <c r="T74" i="1"/>
  <c r="U74" i="1"/>
  <c r="X74" i="1"/>
  <c r="Z74" i="1"/>
  <c r="AD74" i="1"/>
  <c r="AE74" i="1"/>
  <c r="R75" i="1"/>
  <c r="S75" i="1"/>
  <c r="T75" i="1"/>
  <c r="U75" i="1"/>
  <c r="X75" i="1"/>
  <c r="Z75" i="1"/>
  <c r="AD75" i="1"/>
  <c r="AE75" i="1"/>
  <c r="R76" i="1"/>
  <c r="S76" i="1"/>
  <c r="T76" i="1"/>
  <c r="U76" i="1"/>
  <c r="X76" i="1"/>
  <c r="Z76" i="1"/>
  <c r="AD76" i="1"/>
  <c r="AE76" i="1"/>
  <c r="R77" i="1"/>
  <c r="S77" i="1"/>
  <c r="T77" i="1"/>
  <c r="U77" i="1"/>
  <c r="X77" i="1"/>
  <c r="Z77" i="1"/>
  <c r="AD77" i="1"/>
  <c r="AE77" i="1"/>
  <c r="R78" i="1"/>
  <c r="S78" i="1"/>
  <c r="T78" i="1"/>
  <c r="U78" i="1"/>
  <c r="X78" i="1"/>
  <c r="Z78" i="1"/>
  <c r="AD78" i="1"/>
  <c r="AE78" i="1"/>
  <c r="R79" i="1"/>
  <c r="S79" i="1"/>
  <c r="T79" i="1"/>
  <c r="U79" i="1"/>
  <c r="X79" i="1"/>
  <c r="Z79" i="1"/>
  <c r="AD79" i="1"/>
  <c r="AE79" i="1"/>
  <c r="R80" i="1"/>
  <c r="S80" i="1"/>
  <c r="T80" i="1"/>
  <c r="U80" i="1"/>
  <c r="V80" i="1"/>
  <c r="X80" i="1"/>
  <c r="Z80" i="1"/>
  <c r="AD80" i="1"/>
  <c r="AE80" i="1"/>
  <c r="R81" i="1"/>
  <c r="S81" i="1"/>
  <c r="T81" i="1"/>
  <c r="U81" i="1"/>
  <c r="X81" i="1"/>
  <c r="Z81" i="1"/>
  <c r="AD81" i="1"/>
  <c r="AE81" i="1"/>
  <c r="AN81" i="1"/>
  <c r="AO81" i="1"/>
  <c r="AP81" i="1"/>
  <c r="AQ81" i="1"/>
  <c r="AS81" i="1"/>
  <c r="BA81" i="1"/>
  <c r="BE81" i="1"/>
  <c r="BK81" i="1"/>
  <c r="CI81" i="1"/>
  <c r="EL81" i="1"/>
  <c r="EM81" i="1"/>
  <c r="EN81" i="1"/>
  <c r="EO81" i="1"/>
  <c r="ER81" i="1"/>
  <c r="R82" i="1"/>
  <c r="S82" i="1"/>
  <c r="T82" i="1"/>
  <c r="U82" i="1"/>
  <c r="V82" i="1"/>
  <c r="X82" i="1"/>
  <c r="Z82" i="1"/>
  <c r="AD82" i="1"/>
  <c r="AE82" i="1"/>
  <c r="R83" i="1"/>
  <c r="S83" i="1"/>
  <c r="T83" i="1"/>
  <c r="U83" i="1"/>
  <c r="V83" i="1"/>
  <c r="X83" i="1"/>
  <c r="Z83" i="1"/>
  <c r="AD83" i="1"/>
  <c r="AE83" i="1"/>
  <c r="AN83" i="1"/>
  <c r="AO83" i="1"/>
  <c r="AP83" i="1"/>
  <c r="AQ83" i="1"/>
  <c r="AR83" i="1"/>
  <c r="AS83" i="1"/>
  <c r="BA83" i="1"/>
  <c r="BE83" i="1"/>
  <c r="BG83" i="1"/>
  <c r="BH83" i="1"/>
  <c r="BK83" i="1"/>
  <c r="EL83" i="1"/>
  <c r="EM83" i="1"/>
  <c r="EN83" i="1"/>
  <c r="EO83" i="1"/>
  <c r="ER83" i="1"/>
  <c r="R84" i="1"/>
  <c r="S84" i="1"/>
  <c r="T84" i="1"/>
  <c r="U84" i="1"/>
  <c r="V84" i="1"/>
  <c r="X84" i="1"/>
  <c r="Y84" i="1"/>
  <c r="Z84" i="1"/>
  <c r="AA84" i="1"/>
  <c r="AB84" i="1"/>
  <c r="AC84" i="1"/>
  <c r="AD84" i="1"/>
  <c r="AE84" i="1"/>
  <c r="AN84" i="1"/>
  <c r="AO84" i="1"/>
  <c r="AS84" i="1"/>
  <c r="BB84" i="1"/>
  <c r="BC84" i="1"/>
  <c r="BE84" i="1"/>
  <c r="EL84" i="1"/>
  <c r="ER84" i="1"/>
  <c r="R85" i="1"/>
  <c r="S85" i="1"/>
  <c r="T85" i="1"/>
  <c r="U85" i="1"/>
  <c r="V85" i="1"/>
  <c r="X85" i="1"/>
  <c r="Y85" i="1"/>
  <c r="Z85" i="1"/>
  <c r="AA85" i="1"/>
  <c r="AB85" i="1"/>
  <c r="AC85" i="1"/>
  <c r="AD85" i="1"/>
  <c r="AE85" i="1"/>
  <c r="R86" i="1"/>
  <c r="S86" i="1"/>
  <c r="T86" i="1"/>
  <c r="U86" i="1"/>
  <c r="X86" i="1"/>
  <c r="Z86" i="1"/>
  <c r="AD86" i="1"/>
  <c r="AE86" i="1"/>
  <c r="R87" i="1"/>
  <c r="S87" i="1"/>
  <c r="T87" i="1"/>
  <c r="U87" i="1"/>
  <c r="X87" i="1"/>
  <c r="Z87" i="1"/>
  <c r="AD87" i="1"/>
  <c r="AE87" i="1"/>
  <c r="R88" i="1"/>
  <c r="S88" i="1"/>
  <c r="T88" i="1"/>
  <c r="U88" i="1"/>
  <c r="X88" i="1"/>
  <c r="Z88" i="1"/>
  <c r="AD88" i="1"/>
  <c r="AE88" i="1"/>
  <c r="R89" i="1"/>
  <c r="S89" i="1"/>
  <c r="T89" i="1"/>
  <c r="U89" i="1"/>
  <c r="V89" i="1"/>
  <c r="X89" i="1"/>
  <c r="Z89" i="1"/>
  <c r="AD89" i="1"/>
  <c r="AE89" i="1"/>
  <c r="R90" i="1"/>
  <c r="S90" i="1"/>
  <c r="T90" i="1"/>
  <c r="U90" i="1"/>
  <c r="V90" i="1"/>
  <c r="X90" i="1"/>
  <c r="Z90" i="1"/>
  <c r="AD90" i="1"/>
  <c r="AE90" i="1"/>
  <c r="R91" i="1"/>
  <c r="S91" i="1"/>
  <c r="T91" i="1"/>
  <c r="U91" i="1"/>
  <c r="V91" i="1"/>
  <c r="X91" i="1"/>
  <c r="Z91" i="1"/>
  <c r="AD91" i="1"/>
  <c r="AE91" i="1"/>
  <c r="R92" i="1"/>
  <c r="S92" i="1"/>
  <c r="T92" i="1"/>
  <c r="U92" i="1"/>
  <c r="V92" i="1"/>
  <c r="X92" i="1"/>
  <c r="Y92" i="1"/>
  <c r="Z92" i="1"/>
  <c r="AA92" i="1"/>
  <c r="AB92" i="1"/>
  <c r="AC92" i="1"/>
  <c r="AD92" i="1"/>
  <c r="AE92" i="1"/>
  <c r="BB92" i="1"/>
  <c r="R93" i="1"/>
  <c r="S93" i="1"/>
  <c r="T93" i="1"/>
  <c r="U93" i="1"/>
  <c r="V93" i="1"/>
  <c r="X93" i="1"/>
  <c r="Z93" i="1"/>
  <c r="AC93" i="1"/>
  <c r="AD93" i="1"/>
  <c r="AE93" i="1"/>
  <c r="R94" i="1"/>
  <c r="S94" i="1"/>
  <c r="T94" i="1"/>
  <c r="U94" i="1"/>
  <c r="X94" i="1"/>
  <c r="Y94" i="1"/>
  <c r="Z94" i="1"/>
  <c r="AA94" i="1"/>
  <c r="AB94" i="1"/>
  <c r="AC94" i="1"/>
  <c r="AD94" i="1"/>
  <c r="AE94" i="1"/>
  <c r="AI94" i="1"/>
  <c r="AN94" i="1"/>
  <c r="AO94" i="1"/>
  <c r="AP94" i="1"/>
  <c r="AQ94" i="1"/>
  <c r="AS94" i="1"/>
  <c r="AY94" i="1"/>
  <c r="BA94" i="1"/>
  <c r="BB94" i="1"/>
  <c r="BE94" i="1"/>
  <c r="BK94" i="1"/>
  <c r="EL94" i="1"/>
  <c r="EN94" i="1"/>
  <c r="EO94" i="1"/>
  <c r="ER94" i="1"/>
  <c r="R95" i="1"/>
  <c r="S95" i="1"/>
  <c r="T95" i="1"/>
  <c r="U95" i="1"/>
  <c r="V95" i="1"/>
  <c r="X95" i="1"/>
  <c r="Y95" i="1"/>
  <c r="Z95" i="1"/>
  <c r="AA95" i="1"/>
  <c r="AB95" i="1"/>
  <c r="AC95" i="1"/>
  <c r="AD95" i="1"/>
  <c r="AE95" i="1"/>
  <c r="BB95" i="1"/>
  <c r="R96" i="1"/>
  <c r="S96" i="1"/>
  <c r="T96" i="1"/>
  <c r="U96" i="1"/>
  <c r="V96" i="1"/>
  <c r="X96" i="1"/>
  <c r="Y96" i="1"/>
  <c r="Z96" i="1"/>
  <c r="AA96" i="1"/>
  <c r="AB96" i="1"/>
  <c r="AD96" i="1"/>
  <c r="AE96" i="1"/>
  <c r="R97" i="1"/>
  <c r="S97" i="1"/>
  <c r="T97" i="1"/>
  <c r="U97" i="1"/>
  <c r="V97" i="1"/>
  <c r="X97" i="1"/>
  <c r="Y97" i="1"/>
  <c r="Z97" i="1"/>
  <c r="AA97" i="1"/>
  <c r="AB97" i="1"/>
  <c r="AC97" i="1"/>
  <c r="AD97" i="1"/>
  <c r="AE97" i="1"/>
  <c r="R98" i="1"/>
  <c r="S98" i="1"/>
  <c r="T98" i="1"/>
  <c r="U98" i="1"/>
  <c r="X98" i="1"/>
  <c r="Z98" i="1"/>
  <c r="AA98" i="1"/>
  <c r="AB98" i="1"/>
  <c r="AD98" i="1"/>
  <c r="AE98" i="1"/>
  <c r="R99" i="1"/>
  <c r="S99" i="1"/>
  <c r="T99" i="1"/>
  <c r="U99" i="1"/>
  <c r="X99" i="1"/>
  <c r="Y99" i="1"/>
  <c r="Z99" i="1"/>
  <c r="AA99" i="1"/>
  <c r="AB99" i="1"/>
  <c r="AD99" i="1"/>
  <c r="AE99" i="1"/>
  <c r="R100" i="1"/>
  <c r="S100" i="1"/>
  <c r="T100" i="1"/>
  <c r="U100" i="1"/>
  <c r="V100" i="1"/>
  <c r="X100" i="1"/>
  <c r="Y100" i="1"/>
  <c r="Z100" i="1"/>
  <c r="AA100" i="1"/>
  <c r="AB100" i="1"/>
  <c r="AC100" i="1"/>
  <c r="AD100" i="1"/>
  <c r="AE100" i="1"/>
  <c r="R101" i="1"/>
  <c r="S101" i="1"/>
  <c r="T101" i="1"/>
  <c r="U101" i="1"/>
  <c r="V101" i="1"/>
  <c r="X101" i="1"/>
  <c r="Z101" i="1"/>
  <c r="AD101" i="1"/>
  <c r="AE101" i="1"/>
  <c r="R102" i="1"/>
  <c r="S102" i="1"/>
  <c r="T102" i="1"/>
  <c r="U102" i="1"/>
  <c r="X102" i="1"/>
  <c r="Z102" i="1"/>
  <c r="AC102" i="1"/>
  <c r="AD102" i="1"/>
  <c r="AE102" i="1"/>
  <c r="R103" i="1"/>
  <c r="S103" i="1"/>
  <c r="T103" i="1"/>
  <c r="U103" i="1"/>
  <c r="X103" i="1"/>
  <c r="Y103" i="1"/>
  <c r="Z103" i="1"/>
  <c r="AC103" i="1"/>
  <c r="AD103" i="1"/>
  <c r="AE103" i="1"/>
  <c r="R104" i="1"/>
  <c r="S104" i="1"/>
  <c r="T104" i="1"/>
  <c r="U104" i="1"/>
  <c r="X104" i="1"/>
  <c r="Y104" i="1"/>
  <c r="Z104" i="1"/>
  <c r="AC104" i="1"/>
  <c r="AD104" i="1"/>
  <c r="AE104" i="1"/>
  <c r="R105" i="1"/>
  <c r="S105" i="1"/>
  <c r="T105" i="1"/>
  <c r="U105" i="1"/>
  <c r="V105" i="1"/>
  <c r="X105" i="1"/>
  <c r="Z105" i="1"/>
  <c r="AD105" i="1"/>
  <c r="AE105" i="1"/>
  <c r="R106" i="1"/>
  <c r="S106" i="1"/>
  <c r="T106" i="1"/>
  <c r="U106" i="1"/>
  <c r="V106" i="1"/>
  <c r="X106" i="1"/>
  <c r="Y106" i="1"/>
  <c r="Z106" i="1"/>
  <c r="AA106" i="1"/>
  <c r="AB106" i="1"/>
  <c r="AC106" i="1"/>
  <c r="AD106" i="1"/>
  <c r="AE106" i="1"/>
  <c r="R107" i="1"/>
  <c r="S107" i="1"/>
  <c r="T107" i="1"/>
  <c r="U107" i="1"/>
  <c r="X107" i="1"/>
  <c r="Y107" i="1"/>
  <c r="Z107" i="1"/>
  <c r="AD107" i="1"/>
  <c r="AE107" i="1"/>
  <c r="AI107" i="1"/>
  <c r="AN107" i="1"/>
  <c r="AO107" i="1"/>
  <c r="AP107" i="1"/>
  <c r="AQ107" i="1"/>
  <c r="AS107" i="1"/>
  <c r="BA107" i="1"/>
  <c r="BE107" i="1"/>
  <c r="BK107" i="1"/>
  <c r="EL107" i="1"/>
  <c r="EM107" i="1"/>
  <c r="EN107" i="1"/>
  <c r="EO107" i="1"/>
  <c r="ER107" i="1"/>
  <c r="R108" i="1"/>
  <c r="S108" i="1"/>
  <c r="T108" i="1"/>
  <c r="U108" i="1"/>
  <c r="X108" i="1"/>
  <c r="Y108" i="1"/>
  <c r="Z108" i="1"/>
  <c r="AA108" i="1"/>
  <c r="AB108" i="1"/>
  <c r="AC108" i="1"/>
  <c r="AD108" i="1"/>
  <c r="AE108" i="1"/>
  <c r="R109" i="1"/>
  <c r="S109" i="1"/>
  <c r="T109" i="1"/>
  <c r="U109" i="1"/>
  <c r="V109" i="1"/>
  <c r="X109" i="1"/>
  <c r="Y109" i="1"/>
  <c r="Z109" i="1"/>
  <c r="AD109" i="1"/>
  <c r="AE109" i="1"/>
  <c r="R110" i="1"/>
  <c r="S110" i="1"/>
  <c r="T110" i="1"/>
  <c r="U110" i="1"/>
  <c r="V110" i="1"/>
  <c r="X110" i="1"/>
  <c r="Z110" i="1"/>
  <c r="AB110" i="1"/>
  <c r="AC110" i="1"/>
  <c r="AD110" i="1"/>
  <c r="AE110" i="1"/>
  <c r="R111" i="1"/>
  <c r="S111" i="1"/>
  <c r="T111" i="1"/>
  <c r="U111" i="1"/>
  <c r="X111" i="1"/>
  <c r="Z111" i="1"/>
  <c r="AC111" i="1"/>
  <c r="AD111" i="1"/>
  <c r="AE111" i="1"/>
  <c r="R112" i="1"/>
  <c r="S112" i="1"/>
  <c r="T112" i="1"/>
  <c r="U112" i="1"/>
  <c r="V112" i="1"/>
  <c r="X112" i="1"/>
  <c r="Z112" i="1"/>
  <c r="AC112" i="1"/>
  <c r="AD112" i="1"/>
  <c r="AE112" i="1"/>
  <c r="R113" i="1"/>
  <c r="S113" i="1"/>
  <c r="T113" i="1"/>
  <c r="U113" i="1"/>
  <c r="X113" i="1"/>
  <c r="Z113" i="1"/>
  <c r="AD113" i="1"/>
  <c r="AE113" i="1"/>
  <c r="R114" i="1"/>
  <c r="S114" i="1"/>
  <c r="T114" i="1"/>
  <c r="U114" i="1"/>
  <c r="X114" i="1"/>
  <c r="Z114" i="1"/>
  <c r="AD114" i="1"/>
  <c r="AE114" i="1"/>
  <c r="AN114" i="1"/>
  <c r="AO114" i="1"/>
  <c r="AP114" i="1"/>
  <c r="AQ114" i="1"/>
  <c r="AS114" i="1"/>
  <c r="BA114" i="1"/>
  <c r="BE114" i="1"/>
  <c r="BK114" i="1"/>
  <c r="R115" i="1"/>
  <c r="S115" i="1"/>
  <c r="T115" i="1"/>
  <c r="U115" i="1"/>
  <c r="X115" i="1"/>
  <c r="Z115" i="1"/>
  <c r="AD115" i="1"/>
  <c r="AE115" i="1"/>
  <c r="R116" i="1"/>
  <c r="S116" i="1"/>
  <c r="T116" i="1"/>
  <c r="U116" i="1"/>
  <c r="X116" i="1"/>
  <c r="Z116" i="1"/>
  <c r="AD116" i="1"/>
  <c r="AE116" i="1"/>
  <c r="R117" i="1"/>
  <c r="S117" i="1"/>
  <c r="T117" i="1"/>
  <c r="U117" i="1"/>
  <c r="X117" i="1"/>
  <c r="Z117" i="1"/>
  <c r="AD117" i="1"/>
  <c r="AE117" i="1"/>
  <c r="R118" i="1"/>
  <c r="S118" i="1"/>
  <c r="T118" i="1"/>
  <c r="U118" i="1"/>
  <c r="X118" i="1"/>
  <c r="Z118" i="1"/>
  <c r="AD118" i="1"/>
  <c r="AE118" i="1"/>
  <c r="R119" i="1"/>
  <c r="S119" i="1"/>
  <c r="T119" i="1"/>
  <c r="U119" i="1"/>
  <c r="X119" i="1"/>
  <c r="Z119" i="1"/>
  <c r="AA119" i="1"/>
  <c r="AD119" i="1"/>
  <c r="AE119" i="1"/>
  <c r="R120" i="1"/>
  <c r="S120" i="1"/>
  <c r="T120" i="1"/>
  <c r="U120" i="1"/>
  <c r="X120" i="1"/>
  <c r="Y120" i="1"/>
  <c r="Z120" i="1"/>
  <c r="AD120" i="1"/>
  <c r="AE120" i="1"/>
  <c r="R121" i="1"/>
  <c r="S121" i="1"/>
  <c r="T121" i="1"/>
  <c r="U121" i="1"/>
  <c r="X121" i="1"/>
  <c r="Z121" i="1"/>
  <c r="AA121" i="1"/>
  <c r="AB121" i="1"/>
  <c r="AD121" i="1"/>
  <c r="AE121" i="1"/>
  <c r="R122" i="1"/>
  <c r="S122" i="1"/>
  <c r="T122" i="1"/>
  <c r="U122" i="1"/>
  <c r="X122" i="1"/>
  <c r="Z122" i="1"/>
  <c r="AD122" i="1"/>
  <c r="AE122" i="1"/>
  <c r="R123" i="1"/>
  <c r="S123" i="1"/>
  <c r="T123" i="1"/>
  <c r="U123" i="1"/>
  <c r="X123" i="1"/>
  <c r="Z123" i="1"/>
  <c r="AD123" i="1"/>
  <c r="AE123" i="1"/>
  <c r="R124" i="1"/>
  <c r="S124" i="1"/>
  <c r="T124" i="1"/>
  <c r="U124" i="1"/>
  <c r="X124" i="1"/>
  <c r="Z124" i="1"/>
  <c r="AD124" i="1"/>
  <c r="AE124" i="1"/>
  <c r="R125" i="1"/>
  <c r="S125" i="1"/>
  <c r="T125" i="1"/>
  <c r="U125" i="1"/>
  <c r="X125" i="1"/>
  <c r="Z125" i="1"/>
  <c r="AD125" i="1"/>
  <c r="AE125" i="1"/>
  <c r="AN125" i="1"/>
  <c r="AO125" i="1"/>
  <c r="AP125" i="1"/>
  <c r="AQ125" i="1"/>
  <c r="AS125" i="1"/>
  <c r="BA125" i="1"/>
  <c r="BE125" i="1"/>
  <c r="BK125" i="1"/>
  <c r="R126" i="1"/>
  <c r="S126" i="1"/>
  <c r="T126" i="1"/>
  <c r="U126" i="1"/>
  <c r="X126" i="1"/>
  <c r="Z126" i="1"/>
  <c r="AD126" i="1"/>
  <c r="AE126" i="1"/>
  <c r="AN126" i="1"/>
  <c r="AO126" i="1"/>
  <c r="AP126" i="1"/>
  <c r="AQ126" i="1"/>
  <c r="AS126" i="1"/>
  <c r="BA126" i="1"/>
  <c r="BE126" i="1"/>
  <c r="BK126" i="1"/>
  <c r="R127" i="1"/>
  <c r="S127" i="1"/>
  <c r="T127" i="1"/>
  <c r="U127" i="1"/>
  <c r="X127" i="1"/>
  <c r="Z127" i="1"/>
  <c r="AD127" i="1"/>
  <c r="AE127" i="1"/>
  <c r="R128" i="1"/>
  <c r="S128" i="1"/>
  <c r="T128" i="1"/>
  <c r="U128" i="1"/>
  <c r="X128" i="1"/>
  <c r="Z128" i="1"/>
  <c r="AD128" i="1"/>
  <c r="AE128" i="1"/>
  <c r="R129" i="1"/>
  <c r="S129" i="1"/>
  <c r="T129" i="1"/>
  <c r="U129" i="1"/>
  <c r="V129" i="1"/>
  <c r="X129" i="1"/>
  <c r="Z129" i="1"/>
  <c r="AD129" i="1"/>
  <c r="AE129" i="1"/>
  <c r="R130" i="1"/>
  <c r="S130" i="1"/>
  <c r="T130" i="1"/>
  <c r="U130" i="1"/>
  <c r="X130" i="1"/>
  <c r="Z130" i="1"/>
  <c r="AD130" i="1"/>
  <c r="AE130" i="1"/>
  <c r="R131" i="1"/>
  <c r="S131" i="1"/>
  <c r="T131" i="1"/>
  <c r="U131" i="1"/>
  <c r="X131" i="1"/>
  <c r="Z131" i="1"/>
  <c r="AD131" i="1"/>
  <c r="AE131" i="1"/>
  <c r="AN131" i="1"/>
  <c r="AO131" i="1"/>
  <c r="AP131" i="1"/>
  <c r="AQ131" i="1"/>
  <c r="AS131" i="1"/>
  <c r="BA131" i="1"/>
  <c r="BE131" i="1"/>
  <c r="BG131" i="1"/>
  <c r="BK131" i="1"/>
  <c r="R132" i="1"/>
  <c r="S132" i="1"/>
  <c r="T132" i="1"/>
  <c r="U132" i="1"/>
  <c r="X132" i="1"/>
  <c r="Z132" i="1"/>
  <c r="AD132" i="1"/>
  <c r="AE132" i="1"/>
  <c r="R133" i="1"/>
  <c r="S133" i="1"/>
  <c r="T133" i="1"/>
  <c r="U133" i="1"/>
  <c r="X133" i="1"/>
  <c r="Y133" i="1"/>
  <c r="Z133" i="1"/>
  <c r="AD133" i="1"/>
  <c r="AE133" i="1"/>
  <c r="R134" i="1"/>
  <c r="S134" i="1"/>
  <c r="T134" i="1"/>
  <c r="U134" i="1"/>
  <c r="V134" i="1"/>
  <c r="X134" i="1"/>
  <c r="Y134" i="1"/>
  <c r="Z134" i="1"/>
  <c r="AD134" i="1"/>
  <c r="AE134" i="1"/>
  <c r="R135" i="1"/>
  <c r="S135" i="1"/>
  <c r="T135" i="1"/>
  <c r="U135" i="1"/>
  <c r="X135" i="1"/>
  <c r="Y135" i="1"/>
  <c r="Z135" i="1"/>
  <c r="AD135" i="1"/>
  <c r="AE135" i="1"/>
  <c r="R136" i="1"/>
  <c r="S136" i="1"/>
  <c r="T136" i="1"/>
  <c r="U136" i="1"/>
  <c r="V136" i="1"/>
  <c r="X136" i="1"/>
  <c r="Z136" i="1"/>
  <c r="AD136" i="1"/>
  <c r="AE136" i="1"/>
  <c r="R137" i="1"/>
  <c r="S137" i="1"/>
  <c r="T137" i="1"/>
  <c r="U137" i="1"/>
  <c r="X137" i="1"/>
  <c r="Z137" i="1"/>
  <c r="AD137" i="1"/>
  <c r="AE137" i="1"/>
  <c r="AI137" i="1"/>
  <c r="AN137" i="1"/>
  <c r="AO137" i="1"/>
  <c r="AP137" i="1"/>
  <c r="AQ137" i="1"/>
  <c r="AS137" i="1"/>
  <c r="BE137" i="1"/>
  <c r="BK137" i="1"/>
  <c r="EL137" i="1"/>
  <c r="EN137" i="1"/>
  <c r="EO137" i="1"/>
  <c r="ER137" i="1"/>
  <c r="R138" i="1"/>
  <c r="S138" i="1"/>
  <c r="T138" i="1"/>
  <c r="U138" i="1"/>
  <c r="X138" i="1"/>
  <c r="Y138" i="1"/>
  <c r="Z138" i="1"/>
  <c r="AD138" i="1"/>
  <c r="AE138" i="1"/>
  <c r="R139" i="1"/>
  <c r="S139" i="1"/>
  <c r="T139" i="1"/>
  <c r="U139" i="1"/>
  <c r="V139" i="1"/>
  <c r="X139" i="1"/>
  <c r="Y139" i="1"/>
  <c r="Z139" i="1"/>
  <c r="AD139" i="1"/>
  <c r="AE139" i="1"/>
  <c r="R140" i="1"/>
  <c r="S140" i="1"/>
  <c r="T140" i="1"/>
  <c r="U140" i="1"/>
  <c r="X140" i="1"/>
  <c r="Y140" i="1"/>
  <c r="Z140" i="1"/>
  <c r="AD140" i="1"/>
  <c r="AE140" i="1"/>
  <c r="R141" i="1"/>
  <c r="S141" i="1"/>
  <c r="T141" i="1"/>
  <c r="U141" i="1"/>
  <c r="X141" i="1"/>
  <c r="Y141" i="1"/>
  <c r="Z141" i="1"/>
  <c r="AC141" i="1"/>
  <c r="AD141" i="1"/>
  <c r="AE141" i="1"/>
  <c r="R142" i="1"/>
  <c r="S142" i="1"/>
  <c r="T142" i="1"/>
  <c r="U142" i="1"/>
  <c r="X142" i="1"/>
  <c r="Y142" i="1"/>
  <c r="Z142" i="1"/>
  <c r="AD142" i="1"/>
  <c r="AE142" i="1"/>
  <c r="AN142" i="1"/>
  <c r="AO142" i="1"/>
  <c r="AP142" i="1"/>
  <c r="AQ142" i="1"/>
  <c r="AS142" i="1"/>
  <c r="AY142" i="1"/>
  <c r="AZ142" i="1"/>
  <c r="BA142" i="1"/>
  <c r="BE142" i="1"/>
  <c r="BK142" i="1"/>
  <c r="CF142" i="1"/>
  <c r="EL142" i="1"/>
  <c r="EM142" i="1"/>
  <c r="EN142" i="1"/>
  <c r="EO142" i="1"/>
  <c r="ER142" i="1"/>
  <c r="R143" i="1"/>
  <c r="S143" i="1"/>
  <c r="T143" i="1"/>
  <c r="U143" i="1"/>
  <c r="X143" i="1"/>
  <c r="Y143" i="1"/>
  <c r="Z143" i="1"/>
  <c r="AD143" i="1"/>
  <c r="AE143" i="1"/>
  <c r="R144" i="1"/>
  <c r="S144" i="1"/>
  <c r="T144" i="1"/>
  <c r="U144" i="1"/>
  <c r="X144" i="1"/>
  <c r="Y144" i="1"/>
  <c r="Z144" i="1"/>
  <c r="AA144" i="1"/>
  <c r="AB144" i="1"/>
  <c r="AD144" i="1"/>
  <c r="AE144" i="1"/>
  <c r="AN144" i="1"/>
  <c r="AO144" i="1"/>
  <c r="AP144" i="1"/>
  <c r="AQ144" i="1"/>
  <c r="AS144" i="1"/>
  <c r="AY144" i="1"/>
  <c r="BE144" i="1"/>
  <c r="BK144" i="1"/>
  <c r="EL144" i="1"/>
  <c r="EM144" i="1"/>
  <c r="EN144" i="1"/>
  <c r="EO144" i="1"/>
  <c r="ER144" i="1"/>
  <c r="R145" i="1"/>
  <c r="S145" i="1"/>
  <c r="T145" i="1"/>
  <c r="U145" i="1"/>
  <c r="V145" i="1"/>
  <c r="X145" i="1"/>
  <c r="Y145" i="1"/>
  <c r="Z145" i="1"/>
  <c r="AA145" i="1"/>
  <c r="AB145" i="1"/>
  <c r="AC145" i="1"/>
  <c r="AD145" i="1"/>
  <c r="AE145" i="1"/>
  <c r="R146" i="1"/>
  <c r="S146" i="1"/>
  <c r="T146" i="1"/>
  <c r="U146" i="1"/>
  <c r="V146" i="1"/>
  <c r="X146" i="1"/>
  <c r="Y146" i="1"/>
  <c r="Z146" i="1"/>
  <c r="AA146" i="1"/>
  <c r="AB146" i="1"/>
  <c r="AC146" i="1"/>
  <c r="AD146" i="1"/>
  <c r="AE146" i="1"/>
  <c r="R147" i="1"/>
  <c r="S147" i="1"/>
  <c r="T147" i="1"/>
  <c r="U147" i="1"/>
  <c r="V147" i="1"/>
  <c r="X147" i="1"/>
  <c r="Y147" i="1"/>
  <c r="Z147" i="1"/>
  <c r="AA147" i="1"/>
  <c r="AB147" i="1"/>
  <c r="AC147" i="1"/>
  <c r="AD147" i="1"/>
  <c r="AE147" i="1"/>
  <c r="R148" i="1"/>
  <c r="S148" i="1"/>
  <c r="T148" i="1"/>
  <c r="U148" i="1"/>
  <c r="W148" i="1"/>
  <c r="X148" i="1"/>
  <c r="Z148" i="1"/>
  <c r="AC148" i="1"/>
  <c r="AD148" i="1"/>
  <c r="AE148" i="1"/>
  <c r="AI148" i="1"/>
  <c r="AN148" i="1"/>
  <c r="AO148" i="1"/>
  <c r="AP148" i="1"/>
  <c r="AQ148" i="1"/>
  <c r="AS148" i="1"/>
  <c r="BE148" i="1"/>
  <c r="BH148" i="1"/>
  <c r="BK148" i="1"/>
  <c r="R149" i="1"/>
  <c r="S149" i="1"/>
  <c r="T149" i="1"/>
  <c r="U149" i="1"/>
  <c r="X149" i="1"/>
  <c r="Z149" i="1"/>
  <c r="AC149" i="1"/>
  <c r="AD149" i="1"/>
  <c r="AE149" i="1"/>
  <c r="AI149" i="1"/>
  <c r="AN149" i="1"/>
  <c r="AO149" i="1"/>
  <c r="AP149" i="1"/>
  <c r="AQ149" i="1"/>
  <c r="AS149" i="1"/>
  <c r="BE149" i="1"/>
  <c r="BH149" i="1"/>
  <c r="BK149" i="1"/>
  <c r="EL149" i="1"/>
  <c r="EM149" i="1"/>
  <c r="EN149" i="1"/>
  <c r="EO149" i="1"/>
  <c r="ER149" i="1"/>
  <c r="R150" i="1"/>
  <c r="S150" i="1"/>
  <c r="T150" i="1"/>
  <c r="U150" i="1"/>
  <c r="V150" i="1"/>
  <c r="X150" i="1"/>
  <c r="Z150" i="1"/>
  <c r="AC150" i="1"/>
  <c r="AD150" i="1"/>
  <c r="AE150" i="1"/>
  <c r="AN150" i="1"/>
  <c r="AO150" i="1"/>
  <c r="AP150" i="1"/>
  <c r="AQ150" i="1"/>
  <c r="AS150" i="1"/>
  <c r="BE150" i="1"/>
  <c r="BK150" i="1"/>
  <c r="EL150" i="1"/>
  <c r="EN150" i="1"/>
  <c r="EO150" i="1"/>
  <c r="ER150" i="1"/>
  <c r="R151" i="1"/>
  <c r="S151" i="1"/>
  <c r="T151" i="1"/>
  <c r="U151" i="1"/>
  <c r="V151" i="1"/>
  <c r="X151" i="1"/>
  <c r="Y151" i="1"/>
  <c r="Z151" i="1"/>
  <c r="AC151" i="1"/>
  <c r="AD151" i="1"/>
  <c r="AE151" i="1"/>
  <c r="R152" i="1"/>
  <c r="S152" i="1"/>
  <c r="T152" i="1"/>
  <c r="U152" i="1"/>
  <c r="X152" i="1"/>
  <c r="Z152" i="1"/>
  <c r="AD152" i="1"/>
  <c r="AE152" i="1"/>
  <c r="R153" i="1"/>
  <c r="S153" i="1"/>
  <c r="T153" i="1"/>
  <c r="U153" i="1"/>
  <c r="V153" i="1"/>
  <c r="X153" i="1"/>
  <c r="Z153" i="1"/>
  <c r="AB153" i="1"/>
  <c r="AC153" i="1"/>
  <c r="AD153" i="1"/>
  <c r="AE153" i="1"/>
  <c r="R154" i="1"/>
  <c r="S154" i="1"/>
  <c r="T154" i="1"/>
  <c r="U154" i="1"/>
  <c r="V154" i="1"/>
  <c r="X154" i="1"/>
  <c r="Z154" i="1"/>
  <c r="AC154" i="1"/>
  <c r="AD154" i="1"/>
  <c r="AE154" i="1"/>
  <c r="R155" i="1"/>
  <c r="S155" i="1"/>
  <c r="T155" i="1"/>
  <c r="U155" i="1"/>
  <c r="X155" i="1"/>
  <c r="Y155" i="1"/>
  <c r="Z155" i="1"/>
  <c r="AC155" i="1"/>
  <c r="AD155" i="1"/>
  <c r="AE155" i="1"/>
  <c r="AI155" i="1"/>
  <c r="AN155" i="1"/>
  <c r="AO155" i="1"/>
  <c r="AP155" i="1"/>
  <c r="AQ155" i="1"/>
  <c r="AS155" i="1"/>
  <c r="AY155" i="1"/>
  <c r="AZ155" i="1"/>
  <c r="BA155" i="1"/>
  <c r="BB155" i="1"/>
  <c r="BC155" i="1"/>
  <c r="BD155" i="1"/>
  <c r="BE155" i="1"/>
  <c r="BH155" i="1"/>
  <c r="BK155" i="1"/>
  <c r="EM155" i="1"/>
  <c r="EN155" i="1"/>
  <c r="EO155" i="1"/>
  <c r="ER155" i="1"/>
  <c r="R156" i="1"/>
  <c r="S156" i="1"/>
  <c r="T156" i="1"/>
  <c r="U156" i="1"/>
  <c r="X156" i="1"/>
  <c r="Y156" i="1"/>
  <c r="Z156" i="1"/>
  <c r="AA156" i="1"/>
  <c r="AB156" i="1"/>
  <c r="AC156" i="1"/>
  <c r="AD156" i="1"/>
  <c r="AE156" i="1"/>
  <c r="R157" i="1"/>
  <c r="S157" i="1"/>
  <c r="T157" i="1"/>
  <c r="U157" i="1"/>
  <c r="X157" i="1"/>
  <c r="Y157" i="1"/>
  <c r="Z157" i="1"/>
  <c r="AC157" i="1"/>
  <c r="AD157" i="1"/>
  <c r="AE157" i="1"/>
  <c r="AI157" i="1"/>
  <c r="AN157" i="1"/>
  <c r="AO157" i="1"/>
  <c r="AP157" i="1"/>
  <c r="AQ157" i="1"/>
  <c r="AS157" i="1"/>
  <c r="AY157" i="1"/>
  <c r="BA157" i="1"/>
  <c r="BB157" i="1"/>
  <c r="BC157" i="1"/>
  <c r="BD157" i="1"/>
  <c r="BE157" i="1"/>
  <c r="BH157" i="1"/>
  <c r="BK157" i="1"/>
  <c r="EL157" i="1"/>
  <c r="EM157" i="1"/>
  <c r="EN157" i="1"/>
  <c r="EO157" i="1"/>
  <c r="ER157" i="1"/>
  <c r="R158" i="1"/>
  <c r="S158" i="1"/>
  <c r="T158" i="1"/>
  <c r="U158" i="1"/>
  <c r="V158" i="1"/>
  <c r="X158" i="1"/>
  <c r="Y158" i="1"/>
  <c r="Z158" i="1"/>
  <c r="AC158" i="1"/>
  <c r="AD158" i="1"/>
  <c r="AE158" i="1"/>
  <c r="R159" i="1"/>
  <c r="S159" i="1"/>
  <c r="T159" i="1"/>
  <c r="U159" i="1"/>
  <c r="V159" i="1"/>
  <c r="X159" i="1"/>
  <c r="Z159" i="1"/>
  <c r="AA159" i="1"/>
  <c r="AB159" i="1"/>
  <c r="AC159" i="1"/>
  <c r="AD159" i="1"/>
  <c r="AE159" i="1"/>
  <c r="R160" i="1"/>
  <c r="S160" i="1"/>
  <c r="T160" i="1"/>
  <c r="U160" i="1"/>
  <c r="X160" i="1"/>
  <c r="Y160" i="1"/>
  <c r="Z160" i="1"/>
  <c r="AD160" i="1"/>
  <c r="AE160" i="1"/>
  <c r="AN160" i="1"/>
  <c r="AO160" i="1"/>
  <c r="AP160" i="1"/>
  <c r="AQ160" i="1"/>
  <c r="AS160" i="1"/>
  <c r="AY160" i="1"/>
  <c r="AZ160" i="1"/>
  <c r="BE160" i="1"/>
  <c r="BF160" i="1"/>
  <c r="BH160" i="1"/>
  <c r="BK160" i="1"/>
  <c r="EL160" i="1"/>
  <c r="EN160" i="1"/>
  <c r="EO160" i="1"/>
  <c r="ER160" i="1"/>
  <c r="R161" i="1"/>
  <c r="S161" i="1"/>
  <c r="T161" i="1"/>
  <c r="U161" i="1"/>
  <c r="X161" i="1"/>
  <c r="Z161" i="1"/>
  <c r="AA161" i="1"/>
  <c r="AB161" i="1"/>
  <c r="AD161" i="1"/>
  <c r="AE161" i="1"/>
  <c r="R162" i="1"/>
  <c r="S162" i="1"/>
  <c r="T162" i="1"/>
  <c r="U162" i="1"/>
  <c r="V162" i="1"/>
  <c r="X162" i="1"/>
  <c r="Y162" i="1"/>
  <c r="Z162" i="1"/>
  <c r="AD162" i="1"/>
  <c r="AE162" i="1"/>
  <c r="AI162" i="1"/>
  <c r="AM162" i="1"/>
  <c r="AN162" i="1"/>
  <c r="AO162" i="1"/>
  <c r="AP162" i="1"/>
  <c r="AQ162" i="1"/>
  <c r="AR162" i="1"/>
  <c r="AS162" i="1"/>
  <c r="BA162" i="1"/>
  <c r="BB162" i="1"/>
  <c r="BD162" i="1"/>
  <c r="BE162" i="1"/>
  <c r="BH162" i="1"/>
  <c r="BK162" i="1"/>
  <c r="EN162" i="1"/>
  <c r="EO162" i="1"/>
  <c r="ER162" i="1"/>
  <c r="R163" i="1"/>
  <c r="S163" i="1"/>
  <c r="T163" i="1"/>
  <c r="U163" i="1"/>
  <c r="X163" i="1"/>
  <c r="Y163" i="1"/>
  <c r="Z163" i="1"/>
  <c r="AD163" i="1"/>
  <c r="AE163" i="1"/>
  <c r="AI163" i="1"/>
  <c r="AN163" i="1"/>
  <c r="AO163" i="1"/>
  <c r="AP163" i="1"/>
  <c r="AQ163" i="1"/>
  <c r="AS163" i="1"/>
  <c r="AY163" i="1"/>
  <c r="BA163" i="1"/>
  <c r="BB163" i="1"/>
  <c r="BD163" i="1"/>
  <c r="BE163" i="1"/>
  <c r="BH163" i="1"/>
  <c r="BK163" i="1"/>
  <c r="EL163" i="1"/>
  <c r="EN163" i="1"/>
  <c r="ER163" i="1"/>
  <c r="R164" i="1"/>
  <c r="S164" i="1"/>
  <c r="T164" i="1"/>
  <c r="U164" i="1"/>
  <c r="V164" i="1"/>
  <c r="X164" i="1"/>
  <c r="Y164" i="1"/>
  <c r="Z164" i="1"/>
  <c r="AC164" i="1"/>
  <c r="AD164" i="1"/>
  <c r="AE164" i="1"/>
  <c r="R165" i="1"/>
  <c r="S165" i="1"/>
  <c r="T165" i="1"/>
  <c r="U165" i="1"/>
  <c r="X165" i="1"/>
  <c r="Y165" i="1"/>
  <c r="Z165" i="1"/>
  <c r="AC165" i="1"/>
  <c r="AD165" i="1"/>
  <c r="AE165" i="1"/>
  <c r="AI165" i="1"/>
  <c r="AN165" i="1"/>
  <c r="AO165" i="1"/>
  <c r="AP165" i="1"/>
  <c r="AQ165" i="1"/>
  <c r="AS165" i="1"/>
  <c r="AY165" i="1"/>
  <c r="BA165" i="1"/>
  <c r="BB165" i="1"/>
  <c r="BE165" i="1"/>
  <c r="BK165" i="1"/>
  <c r="EL165" i="1"/>
  <c r="EN165" i="1"/>
  <c r="ER165" i="1"/>
  <c r="R166" i="1"/>
  <c r="S166" i="1"/>
  <c r="T166" i="1"/>
  <c r="U166" i="1"/>
  <c r="V166" i="1"/>
  <c r="X166" i="1"/>
  <c r="Z166" i="1"/>
  <c r="AD166" i="1"/>
  <c r="AE166" i="1"/>
  <c r="R167" i="1"/>
  <c r="S167" i="1"/>
  <c r="T167" i="1"/>
  <c r="U167" i="1"/>
  <c r="W167" i="1"/>
  <c r="X167" i="1"/>
  <c r="Y167" i="1"/>
  <c r="Z167" i="1"/>
  <c r="AC167" i="1"/>
  <c r="AD167" i="1"/>
  <c r="AE167" i="1"/>
  <c r="AN167" i="1"/>
  <c r="AO167" i="1"/>
  <c r="AP167" i="1"/>
  <c r="AQ167" i="1"/>
  <c r="AR167" i="1"/>
  <c r="AS167" i="1"/>
  <c r="BA167" i="1"/>
  <c r="BB167" i="1"/>
  <c r="BD167" i="1"/>
  <c r="BE167" i="1"/>
  <c r="BK167" i="1"/>
  <c r="R168" i="1"/>
  <c r="S168" i="1"/>
  <c r="T168" i="1"/>
  <c r="U168" i="1"/>
  <c r="V168" i="1"/>
  <c r="X168" i="1"/>
  <c r="Z168" i="1"/>
  <c r="AD168" i="1"/>
  <c r="AE168" i="1"/>
  <c r="R169" i="1"/>
  <c r="S169" i="1"/>
  <c r="T169" i="1"/>
  <c r="U169" i="1"/>
  <c r="V169" i="1"/>
  <c r="X169" i="1"/>
  <c r="Y169" i="1"/>
  <c r="Z169" i="1"/>
  <c r="AA169" i="1"/>
  <c r="AB169" i="1"/>
  <c r="AC169" i="1"/>
  <c r="AD169" i="1"/>
  <c r="AE169" i="1"/>
  <c r="BB169" i="1"/>
  <c r="R170" i="1"/>
  <c r="S170" i="1"/>
  <c r="T170" i="1"/>
  <c r="U170" i="1"/>
  <c r="V170" i="1"/>
  <c r="X170" i="1"/>
  <c r="Y170" i="1"/>
  <c r="Z170" i="1"/>
  <c r="AA170" i="1"/>
  <c r="AB170" i="1"/>
  <c r="AC170" i="1"/>
  <c r="AD170" i="1"/>
  <c r="AE170" i="1"/>
  <c r="R171" i="1"/>
  <c r="S171" i="1"/>
  <c r="T171" i="1"/>
  <c r="U171" i="1"/>
  <c r="V171" i="1"/>
  <c r="X171" i="1"/>
  <c r="Z171" i="1"/>
  <c r="AC171" i="1"/>
  <c r="AD171" i="1"/>
  <c r="AE171" i="1"/>
  <c r="R172" i="1"/>
  <c r="S172" i="1"/>
  <c r="T172" i="1"/>
  <c r="U172" i="1"/>
  <c r="X172" i="1"/>
  <c r="Z172" i="1"/>
  <c r="AA172" i="1"/>
  <c r="AB172" i="1"/>
  <c r="AD172" i="1"/>
  <c r="AE172" i="1"/>
  <c r="AN172" i="1"/>
  <c r="AO172" i="1"/>
  <c r="AP172" i="1"/>
  <c r="AQ172" i="1"/>
  <c r="AS172" i="1"/>
  <c r="BB172" i="1"/>
  <c r="R173" i="1"/>
  <c r="S173" i="1"/>
  <c r="T173" i="1"/>
  <c r="U173" i="1"/>
  <c r="V173" i="1"/>
  <c r="X173" i="1"/>
  <c r="Y173" i="1"/>
  <c r="Z173" i="1"/>
  <c r="AA173" i="1"/>
  <c r="AB173" i="1"/>
  <c r="AD173" i="1"/>
  <c r="AE173" i="1"/>
  <c r="R174" i="1"/>
  <c r="S174" i="1"/>
  <c r="T174" i="1"/>
  <c r="U174" i="1"/>
  <c r="X174" i="1"/>
  <c r="Y174" i="1"/>
  <c r="Z174" i="1"/>
  <c r="AA174" i="1"/>
  <c r="AB174" i="1"/>
  <c r="AC174" i="1"/>
  <c r="AD174" i="1"/>
  <c r="AE174" i="1"/>
  <c r="R175" i="1"/>
  <c r="S175" i="1"/>
  <c r="T175" i="1"/>
  <c r="U175" i="1"/>
  <c r="X175" i="1"/>
  <c r="Z175" i="1"/>
  <c r="AA175" i="1"/>
  <c r="AB175" i="1"/>
  <c r="AD175" i="1"/>
  <c r="AE175" i="1"/>
  <c r="R176" i="1"/>
  <c r="S176" i="1"/>
  <c r="T176" i="1"/>
  <c r="U176" i="1"/>
  <c r="X176" i="1"/>
  <c r="Z176" i="1"/>
  <c r="AA176" i="1"/>
  <c r="AB176" i="1"/>
  <c r="AD176" i="1"/>
  <c r="AE176" i="1"/>
  <c r="AN176" i="1"/>
  <c r="AO176" i="1"/>
  <c r="AP176" i="1"/>
  <c r="AS176" i="1"/>
  <c r="AZ176" i="1"/>
  <c r="R177" i="1"/>
  <c r="S177" i="1"/>
  <c r="T177" i="1"/>
  <c r="U177" i="1"/>
  <c r="X177" i="1"/>
  <c r="Z177" i="1"/>
  <c r="AA177" i="1"/>
  <c r="AB177" i="1"/>
  <c r="AD177" i="1"/>
  <c r="AE177" i="1"/>
  <c r="R178" i="1"/>
  <c r="S178" i="1"/>
  <c r="T178" i="1"/>
  <c r="U178" i="1"/>
  <c r="X178" i="1"/>
  <c r="Z178" i="1"/>
  <c r="AA178" i="1"/>
  <c r="AB178" i="1"/>
  <c r="AC178" i="1"/>
  <c r="AD178" i="1"/>
  <c r="AE178" i="1"/>
  <c r="R179" i="1"/>
  <c r="S179" i="1"/>
  <c r="T179" i="1"/>
  <c r="U179" i="1"/>
  <c r="X179" i="1"/>
  <c r="Z179" i="1"/>
  <c r="AA179" i="1"/>
  <c r="AB179" i="1"/>
  <c r="AC179" i="1"/>
  <c r="AD179" i="1"/>
  <c r="AE179" i="1"/>
  <c r="R180" i="1"/>
  <c r="S180" i="1"/>
  <c r="T180" i="1"/>
  <c r="U180" i="1"/>
  <c r="X180" i="1"/>
  <c r="Z180" i="1"/>
  <c r="AD180" i="1"/>
  <c r="AE180" i="1"/>
  <c r="R181" i="1"/>
  <c r="S181" i="1"/>
  <c r="T181" i="1"/>
  <c r="U181" i="1"/>
  <c r="X181" i="1"/>
  <c r="Z181" i="1"/>
  <c r="AA181" i="1"/>
  <c r="AB181" i="1"/>
  <c r="AD181" i="1"/>
  <c r="AE181" i="1"/>
  <c r="AI181" i="1"/>
  <c r="AN181" i="1"/>
  <c r="AO181" i="1"/>
  <c r="AP181" i="1"/>
  <c r="AQ181" i="1"/>
  <c r="AS181" i="1"/>
  <c r="R182" i="1"/>
  <c r="S182" i="1"/>
  <c r="T182" i="1"/>
  <c r="U182" i="1"/>
  <c r="X182" i="1"/>
  <c r="Z182" i="1"/>
  <c r="AA182" i="1"/>
  <c r="AB182" i="1"/>
  <c r="AD182" i="1"/>
  <c r="AE182" i="1"/>
  <c r="AN182" i="1"/>
  <c r="AO182" i="1"/>
  <c r="AP182" i="1"/>
  <c r="AQ182" i="1"/>
  <c r="AS182" i="1"/>
  <c r="R183" i="1"/>
  <c r="S183" i="1"/>
  <c r="T183" i="1"/>
  <c r="U183" i="1"/>
  <c r="X183" i="1"/>
  <c r="Z183" i="1"/>
  <c r="AA183" i="1"/>
  <c r="AB183" i="1"/>
  <c r="AD183" i="1"/>
  <c r="AE183" i="1"/>
  <c r="R184" i="1"/>
  <c r="S184" i="1"/>
  <c r="T184" i="1"/>
  <c r="U184" i="1"/>
  <c r="X184" i="1"/>
  <c r="Z184" i="1"/>
  <c r="AA184" i="1"/>
  <c r="AB184" i="1"/>
  <c r="AD184" i="1"/>
  <c r="AE184" i="1"/>
  <c r="AN184" i="1"/>
  <c r="AO184" i="1"/>
  <c r="AP184" i="1"/>
  <c r="AS184" i="1"/>
  <c r="R185" i="1"/>
  <c r="S185" i="1"/>
  <c r="T185" i="1"/>
  <c r="U185" i="1"/>
  <c r="X185" i="1"/>
  <c r="Y185" i="1"/>
  <c r="Z185" i="1"/>
  <c r="AB185" i="1"/>
  <c r="AD185" i="1"/>
  <c r="AE185" i="1"/>
  <c r="R186" i="1"/>
  <c r="S186" i="1"/>
  <c r="T186" i="1"/>
  <c r="U186" i="1"/>
  <c r="V186" i="1"/>
  <c r="X186" i="1"/>
  <c r="Y186" i="1"/>
  <c r="Z186" i="1"/>
  <c r="AD186" i="1"/>
  <c r="AE186" i="1"/>
  <c r="R187" i="1"/>
  <c r="S187" i="1"/>
  <c r="T187" i="1"/>
  <c r="U187" i="1"/>
  <c r="X187" i="1"/>
  <c r="Y187" i="1"/>
  <c r="Z187" i="1"/>
  <c r="AD187" i="1"/>
  <c r="AE187" i="1"/>
  <c r="R188" i="1"/>
  <c r="S188" i="1"/>
  <c r="T188" i="1"/>
  <c r="U188" i="1"/>
  <c r="V188" i="1"/>
  <c r="X188" i="1"/>
  <c r="Y188" i="1"/>
  <c r="Z188" i="1"/>
  <c r="AA188" i="1"/>
  <c r="AB188" i="1"/>
  <c r="AC188" i="1"/>
  <c r="AD188" i="1"/>
  <c r="AE188" i="1"/>
  <c r="R189" i="1"/>
  <c r="S189" i="1"/>
  <c r="T189" i="1"/>
  <c r="U189" i="1"/>
  <c r="X189" i="1"/>
  <c r="Y189" i="1"/>
  <c r="Z189" i="1"/>
  <c r="AD189" i="1"/>
  <c r="AE189" i="1"/>
  <c r="R190" i="1"/>
  <c r="S190" i="1"/>
  <c r="T190" i="1"/>
  <c r="U190" i="1"/>
  <c r="X190" i="1"/>
  <c r="Y190" i="1"/>
  <c r="Z190" i="1"/>
  <c r="AA190" i="1"/>
  <c r="AB190" i="1"/>
  <c r="AC190" i="1"/>
  <c r="AD190" i="1"/>
  <c r="AE190" i="1"/>
  <c r="AI190" i="1"/>
  <c r="AN190" i="1"/>
  <c r="AO190" i="1"/>
  <c r="AP190" i="1"/>
  <c r="AQ190" i="1"/>
  <c r="AS190" i="1"/>
  <c r="AY190" i="1"/>
  <c r="BA190" i="1"/>
  <c r="BB190" i="1"/>
  <c r="BC190" i="1"/>
  <c r="BE190" i="1"/>
  <c r="BK190" i="1"/>
  <c r="EL190" i="1"/>
  <c r="EN190" i="1"/>
  <c r="EO190" i="1"/>
  <c r="ER190" i="1"/>
  <c r="R191" i="1"/>
  <c r="S191" i="1"/>
  <c r="T191" i="1"/>
  <c r="U191" i="1"/>
  <c r="X191" i="1"/>
  <c r="Z191" i="1"/>
  <c r="AA191" i="1"/>
  <c r="AB191" i="1"/>
  <c r="AD191" i="1"/>
  <c r="AE191" i="1"/>
  <c r="AN191" i="1"/>
  <c r="AO191" i="1"/>
  <c r="AP191" i="1"/>
  <c r="AS191" i="1"/>
  <c r="R192" i="1"/>
  <c r="S192" i="1"/>
  <c r="T192" i="1"/>
  <c r="U192" i="1"/>
  <c r="X192" i="1"/>
  <c r="Z192" i="1"/>
  <c r="AA192" i="1"/>
  <c r="AB192" i="1"/>
  <c r="AD192" i="1"/>
  <c r="AE192" i="1"/>
  <c r="R193" i="1"/>
  <c r="S193" i="1"/>
  <c r="T193" i="1"/>
  <c r="U193" i="1"/>
  <c r="X193" i="1"/>
  <c r="Z193" i="1"/>
  <c r="AA193" i="1"/>
  <c r="AB193" i="1"/>
  <c r="AD193" i="1"/>
  <c r="AE193" i="1"/>
  <c r="AN193" i="1"/>
  <c r="AO193" i="1"/>
  <c r="AP193" i="1"/>
  <c r="AQ193" i="1"/>
  <c r="AS193" i="1"/>
  <c r="R194" i="1"/>
  <c r="S194" i="1"/>
  <c r="T194" i="1"/>
  <c r="U194" i="1"/>
  <c r="X194" i="1"/>
  <c r="Z194" i="1"/>
  <c r="AA194" i="1"/>
  <c r="AB194" i="1"/>
  <c r="AC194" i="1"/>
  <c r="AD194" i="1"/>
  <c r="AE194" i="1"/>
  <c r="R195" i="1"/>
  <c r="S195" i="1"/>
  <c r="T195" i="1"/>
  <c r="U195" i="1"/>
  <c r="V195" i="1"/>
  <c r="X195" i="1"/>
  <c r="Z195" i="1"/>
  <c r="AA195" i="1"/>
  <c r="AB195" i="1"/>
  <c r="AD195" i="1"/>
  <c r="AE195" i="1"/>
  <c r="R196" i="1"/>
  <c r="S196" i="1"/>
  <c r="T196" i="1"/>
  <c r="U196" i="1"/>
  <c r="X196" i="1"/>
  <c r="Y196" i="1"/>
  <c r="Z196" i="1"/>
  <c r="AD196" i="1"/>
  <c r="AE196" i="1"/>
  <c r="R197" i="1"/>
  <c r="S197" i="1"/>
  <c r="T197" i="1"/>
  <c r="U197" i="1"/>
  <c r="V197" i="1"/>
  <c r="X197" i="1"/>
  <c r="Z197" i="1"/>
  <c r="AD197" i="1"/>
  <c r="AE197" i="1"/>
  <c r="R198" i="1"/>
  <c r="S198" i="1"/>
  <c r="T198" i="1"/>
  <c r="U198" i="1"/>
  <c r="V198" i="1"/>
  <c r="X198" i="1"/>
  <c r="Z198" i="1"/>
  <c r="AC198" i="1"/>
  <c r="AD198" i="1"/>
  <c r="AE198" i="1"/>
  <c r="R199" i="1"/>
  <c r="S199" i="1"/>
  <c r="T199" i="1"/>
  <c r="U199" i="1"/>
  <c r="V199" i="1"/>
  <c r="X199" i="1"/>
  <c r="Z199" i="1"/>
  <c r="AD199" i="1"/>
  <c r="AE199" i="1"/>
  <c r="R200" i="1"/>
  <c r="S200" i="1"/>
  <c r="T200" i="1"/>
  <c r="U200" i="1"/>
  <c r="X200" i="1"/>
  <c r="Z200" i="1"/>
  <c r="AD200" i="1"/>
  <c r="AE200" i="1"/>
  <c r="R201" i="1"/>
  <c r="S201" i="1"/>
  <c r="T201" i="1"/>
  <c r="U201" i="1"/>
  <c r="V201" i="1"/>
  <c r="X201" i="1"/>
  <c r="Z201" i="1"/>
  <c r="AD201" i="1"/>
  <c r="AE201" i="1"/>
  <c r="R202" i="1"/>
  <c r="S202" i="1"/>
  <c r="T202" i="1"/>
  <c r="U202" i="1"/>
  <c r="V202" i="1"/>
  <c r="X202" i="1"/>
  <c r="Y202" i="1"/>
  <c r="Z202" i="1"/>
  <c r="AD202" i="1"/>
  <c r="AE202" i="1"/>
  <c r="AN202" i="1"/>
  <c r="AO202" i="1"/>
  <c r="AP202" i="1"/>
  <c r="AQ202" i="1"/>
  <c r="AS202" i="1"/>
  <c r="BE202" i="1"/>
  <c r="BH202" i="1"/>
  <c r="BK202" i="1"/>
  <c r="EL202" i="1"/>
  <c r="EN202" i="1"/>
  <c r="EO202" i="1"/>
  <c r="ER202" i="1"/>
  <c r="R203" i="1"/>
  <c r="S203" i="1"/>
  <c r="T203" i="1"/>
  <c r="U203" i="1"/>
  <c r="V203" i="1"/>
  <c r="X203" i="1"/>
  <c r="Z203" i="1"/>
  <c r="AD203" i="1"/>
  <c r="AE203" i="1"/>
  <c r="R204" i="1"/>
  <c r="S204" i="1"/>
  <c r="T204" i="1"/>
  <c r="U204" i="1"/>
  <c r="V204" i="1"/>
  <c r="X204" i="1"/>
  <c r="Y204" i="1"/>
  <c r="Z204" i="1"/>
  <c r="AB204" i="1"/>
  <c r="AD204" i="1"/>
  <c r="AE204" i="1"/>
  <c r="R205" i="1"/>
  <c r="S205" i="1"/>
  <c r="T205" i="1"/>
  <c r="U205" i="1"/>
  <c r="X205" i="1"/>
  <c r="Z205" i="1"/>
  <c r="AD205" i="1"/>
  <c r="AE205" i="1"/>
  <c r="R206" i="1"/>
  <c r="S206" i="1"/>
  <c r="T206" i="1"/>
  <c r="U206" i="1"/>
  <c r="V206" i="1"/>
  <c r="X206" i="1"/>
  <c r="Z206" i="1"/>
  <c r="AD206" i="1"/>
  <c r="AE206" i="1"/>
  <c r="R207" i="1"/>
  <c r="S207" i="1"/>
  <c r="T207" i="1"/>
  <c r="U207" i="1"/>
  <c r="V207" i="1"/>
  <c r="X207" i="1"/>
  <c r="Z207" i="1"/>
  <c r="AD207" i="1"/>
  <c r="AE207" i="1"/>
  <c r="R208" i="1"/>
  <c r="S208" i="1"/>
  <c r="T208" i="1"/>
  <c r="U208" i="1"/>
  <c r="X208" i="1"/>
  <c r="Z208" i="1"/>
  <c r="AD208" i="1"/>
  <c r="AE208" i="1"/>
  <c r="AN208" i="1"/>
  <c r="AO208" i="1"/>
  <c r="AP208" i="1"/>
  <c r="AQ208" i="1"/>
  <c r="AS208" i="1"/>
  <c r="BE208" i="1"/>
  <c r="BK208" i="1"/>
  <c r="EL208" i="1"/>
  <c r="EN208" i="1"/>
  <c r="EO208" i="1"/>
  <c r="ER208" i="1"/>
  <c r="R209" i="1"/>
  <c r="S209" i="1"/>
  <c r="T209" i="1"/>
  <c r="U209" i="1"/>
  <c r="X209" i="1"/>
  <c r="Y209" i="1"/>
  <c r="Z209" i="1"/>
  <c r="AC209" i="1"/>
  <c r="AD209" i="1"/>
  <c r="AE209" i="1"/>
  <c r="AN209" i="1"/>
  <c r="AO209" i="1"/>
  <c r="AP209" i="1"/>
  <c r="AQ209" i="1"/>
  <c r="AS209" i="1"/>
  <c r="BB209" i="1"/>
  <c r="BE209" i="1"/>
  <c r="BF209" i="1"/>
  <c r="BK209" i="1"/>
  <c r="EL209" i="1"/>
  <c r="EN209" i="1"/>
  <c r="EO209" i="1"/>
  <c r="ER209" i="1"/>
  <c r="R210" i="1"/>
  <c r="S210" i="1"/>
  <c r="T210" i="1"/>
  <c r="U210" i="1"/>
  <c r="X210" i="1"/>
  <c r="Y210" i="1"/>
  <c r="Z210" i="1"/>
  <c r="AA210" i="1"/>
  <c r="AB210" i="1"/>
  <c r="AC210" i="1"/>
  <c r="AD210" i="1"/>
  <c r="AE210" i="1"/>
  <c r="AI210" i="1"/>
  <c r="AN210" i="1"/>
  <c r="AO210" i="1"/>
  <c r="AP210" i="1"/>
  <c r="AQ210" i="1"/>
  <c r="AS210" i="1"/>
  <c r="BA210" i="1"/>
  <c r="BB210" i="1"/>
  <c r="BC210" i="1"/>
  <c r="BE210" i="1"/>
  <c r="BK210" i="1"/>
  <c r="EL210" i="1"/>
  <c r="EN210" i="1"/>
  <c r="ER210" i="1"/>
  <c r="R211" i="1"/>
  <c r="S211" i="1"/>
  <c r="T211" i="1"/>
  <c r="U211" i="1"/>
  <c r="V211" i="1"/>
  <c r="X211" i="1"/>
  <c r="Z211" i="1"/>
  <c r="AC211" i="1"/>
  <c r="AD211" i="1"/>
  <c r="AE211" i="1"/>
  <c r="R212" i="1"/>
  <c r="S212" i="1"/>
  <c r="T212" i="1"/>
  <c r="U212" i="1"/>
  <c r="V212" i="1"/>
  <c r="X212" i="1"/>
  <c r="Z212" i="1"/>
  <c r="AD212" i="1"/>
  <c r="AE212" i="1"/>
  <c r="R213" i="1"/>
  <c r="S213" i="1"/>
  <c r="T213" i="1"/>
  <c r="U213" i="1"/>
  <c r="V213" i="1"/>
  <c r="X213" i="1"/>
  <c r="Z213" i="1"/>
  <c r="AC213" i="1"/>
  <c r="AD213" i="1"/>
  <c r="AE213" i="1"/>
  <c r="R214" i="1"/>
  <c r="S214" i="1"/>
  <c r="T214" i="1"/>
  <c r="U214" i="1"/>
  <c r="V214" i="1"/>
  <c r="X214" i="1"/>
  <c r="Y214" i="1"/>
  <c r="Z214" i="1"/>
  <c r="AA214" i="1"/>
  <c r="AB214" i="1"/>
  <c r="AD214" i="1"/>
  <c r="AE214" i="1"/>
  <c r="AI214" i="1"/>
  <c r="AN214" i="1"/>
  <c r="AO214" i="1"/>
  <c r="AP214" i="1"/>
  <c r="AQ214" i="1"/>
  <c r="AS214" i="1"/>
  <c r="BB214" i="1"/>
  <c r="BC214" i="1"/>
  <c r="BE214" i="1"/>
  <c r="BJ214" i="1"/>
  <c r="BK214" i="1"/>
  <c r="R215" i="1"/>
  <c r="S215" i="1"/>
  <c r="T215" i="1"/>
  <c r="U215" i="1"/>
  <c r="V215" i="1"/>
  <c r="X215" i="1"/>
  <c r="Z215" i="1"/>
  <c r="AC215" i="1"/>
  <c r="AD215" i="1"/>
  <c r="AE215" i="1"/>
  <c r="R216" i="1"/>
  <c r="S216" i="1"/>
  <c r="T216" i="1"/>
  <c r="U216" i="1"/>
  <c r="X216" i="1"/>
  <c r="Z216" i="1"/>
  <c r="AD216" i="1"/>
  <c r="AE216" i="1"/>
  <c r="AN216" i="1"/>
  <c r="AO216" i="1"/>
  <c r="AP216" i="1"/>
  <c r="AQ216" i="1"/>
  <c r="AS216" i="1"/>
  <c r="BA216" i="1"/>
  <c r="BE216" i="1"/>
  <c r="BK216" i="1"/>
  <c r="CI216" i="1"/>
  <c r="EL216" i="1"/>
  <c r="EM216" i="1"/>
  <c r="EN216" i="1"/>
  <c r="EO216" i="1"/>
  <c r="ER216" i="1"/>
  <c r="R217" i="1"/>
  <c r="S217" i="1"/>
  <c r="T217" i="1"/>
  <c r="U217" i="1"/>
  <c r="V217" i="1"/>
  <c r="X217" i="1"/>
  <c r="Y217" i="1"/>
  <c r="Z217" i="1"/>
  <c r="AA217" i="1"/>
  <c r="AB217" i="1"/>
  <c r="AC217" i="1"/>
  <c r="AD217" i="1"/>
  <c r="AE217" i="1"/>
  <c r="R218" i="1"/>
  <c r="S218" i="1"/>
  <c r="T218" i="1"/>
  <c r="U218" i="1"/>
  <c r="X218" i="1"/>
  <c r="Y218" i="1"/>
  <c r="Z218" i="1"/>
  <c r="AA218" i="1"/>
  <c r="AB218" i="1"/>
  <c r="AD218" i="1"/>
  <c r="AE218" i="1"/>
  <c r="R219" i="1"/>
  <c r="S219" i="1"/>
  <c r="T219" i="1"/>
  <c r="U219" i="1"/>
  <c r="V219" i="1"/>
  <c r="X219" i="1"/>
  <c r="Z219" i="1"/>
  <c r="AD219" i="1"/>
  <c r="AE219" i="1"/>
  <c r="R220" i="1"/>
  <c r="S220" i="1"/>
  <c r="T220" i="1"/>
  <c r="U220" i="1"/>
  <c r="V220" i="1"/>
  <c r="X220" i="1"/>
  <c r="Y220" i="1"/>
  <c r="Z220" i="1"/>
  <c r="AA220" i="1"/>
  <c r="AB220" i="1"/>
  <c r="AC220" i="1"/>
  <c r="AD220" i="1"/>
  <c r="AE220" i="1"/>
  <c r="R221" i="1"/>
  <c r="S221" i="1"/>
  <c r="T221" i="1"/>
  <c r="U221" i="1"/>
  <c r="X221" i="1"/>
  <c r="Y221" i="1"/>
  <c r="Z221" i="1"/>
  <c r="AA221" i="1"/>
  <c r="AB221" i="1"/>
  <c r="AC221" i="1"/>
  <c r="AD221" i="1"/>
  <c r="AE221" i="1"/>
  <c r="R222" i="1"/>
  <c r="S222" i="1"/>
  <c r="T222" i="1"/>
  <c r="U222" i="1"/>
  <c r="V222" i="1"/>
  <c r="X222" i="1"/>
  <c r="Z222" i="1"/>
  <c r="AD222" i="1"/>
  <c r="AE222" i="1"/>
  <c r="R223" i="1"/>
  <c r="S223" i="1"/>
  <c r="T223" i="1"/>
  <c r="U223" i="1"/>
  <c r="X223" i="1"/>
  <c r="Z223" i="1"/>
  <c r="AA223" i="1"/>
  <c r="AB223" i="1"/>
  <c r="AD223" i="1"/>
  <c r="AE223" i="1"/>
  <c r="AN223" i="1"/>
  <c r="AO223" i="1"/>
  <c r="AP223" i="1"/>
  <c r="AQ223" i="1"/>
  <c r="AS223" i="1"/>
  <c r="R224" i="1"/>
  <c r="S224" i="1"/>
  <c r="T224" i="1"/>
  <c r="U224" i="1"/>
  <c r="X224" i="1"/>
  <c r="Y224" i="1"/>
  <c r="Z224" i="1"/>
  <c r="AA224" i="1"/>
  <c r="AB224" i="1"/>
  <c r="AD224" i="1"/>
  <c r="AE224" i="1"/>
  <c r="R225" i="1"/>
  <c r="S225" i="1"/>
  <c r="T225" i="1"/>
  <c r="U225" i="1"/>
  <c r="V225" i="1"/>
  <c r="X225" i="1"/>
  <c r="Y225" i="1"/>
  <c r="Z225" i="1"/>
  <c r="AA225" i="1"/>
  <c r="AB225" i="1"/>
  <c r="AC225" i="1"/>
  <c r="AD225" i="1"/>
  <c r="AE225" i="1"/>
  <c r="R226" i="1"/>
  <c r="S226" i="1"/>
  <c r="T226" i="1"/>
  <c r="U226" i="1"/>
  <c r="W226" i="1"/>
  <c r="X226" i="1"/>
  <c r="Z226" i="1"/>
  <c r="AC226" i="1"/>
  <c r="AD226" i="1"/>
  <c r="AE226" i="1"/>
  <c r="R227" i="1"/>
  <c r="S227" i="1"/>
  <c r="T227" i="1"/>
  <c r="U227" i="1"/>
  <c r="V227" i="1"/>
  <c r="X227" i="1"/>
  <c r="Z227" i="1"/>
  <c r="AD227" i="1"/>
  <c r="AE227" i="1"/>
  <c r="AN227" i="1"/>
  <c r="AO227" i="1"/>
  <c r="AP227" i="1"/>
  <c r="AQ227" i="1"/>
  <c r="AS227" i="1"/>
  <c r="BE227" i="1"/>
  <c r="BK227" i="1"/>
  <c r="R228" i="1"/>
  <c r="S228" i="1"/>
  <c r="T228" i="1"/>
  <c r="U228" i="1"/>
  <c r="V228" i="1"/>
  <c r="X228" i="1"/>
  <c r="Y228" i="1"/>
  <c r="Z228" i="1"/>
  <c r="AC228" i="1"/>
  <c r="AD228" i="1"/>
  <c r="AE228" i="1"/>
  <c r="R229" i="1"/>
  <c r="S229" i="1"/>
  <c r="T229" i="1"/>
  <c r="U229" i="1"/>
  <c r="X229" i="1"/>
  <c r="Z229" i="1"/>
  <c r="AC229" i="1"/>
  <c r="AD229" i="1"/>
  <c r="AE229" i="1"/>
  <c r="R230" i="1"/>
  <c r="S230" i="1"/>
  <c r="T230" i="1"/>
  <c r="U230" i="1"/>
  <c r="X230" i="1"/>
  <c r="Y230" i="1"/>
  <c r="Z230" i="1"/>
  <c r="AC230" i="1"/>
  <c r="AD230" i="1"/>
  <c r="AE230" i="1"/>
  <c r="R231" i="1"/>
  <c r="S231" i="1"/>
  <c r="T231" i="1"/>
  <c r="U231" i="1"/>
  <c r="X231" i="1"/>
  <c r="Y231" i="1"/>
  <c r="Z231" i="1"/>
  <c r="AD231" i="1"/>
  <c r="AE231" i="1"/>
  <c r="R232" i="1"/>
  <c r="S232" i="1"/>
  <c r="T232" i="1"/>
  <c r="U232" i="1"/>
  <c r="X232" i="1"/>
  <c r="Y232" i="1"/>
  <c r="Z232" i="1"/>
  <c r="AA232" i="1"/>
  <c r="AD232" i="1"/>
  <c r="AE232" i="1"/>
  <c r="R233" i="1"/>
  <c r="S233" i="1"/>
  <c r="T233" i="1"/>
  <c r="U233" i="1"/>
  <c r="X233" i="1"/>
  <c r="Z233" i="1"/>
  <c r="AA233" i="1"/>
  <c r="AB233" i="1"/>
  <c r="AD233" i="1"/>
  <c r="AE233" i="1"/>
  <c r="R234" i="1"/>
  <c r="S234" i="1"/>
  <c r="T234" i="1"/>
  <c r="U234" i="1"/>
  <c r="X234" i="1"/>
  <c r="Y234" i="1"/>
  <c r="Z234" i="1"/>
  <c r="AD234" i="1"/>
  <c r="AE234" i="1"/>
  <c r="R235" i="1"/>
  <c r="S235" i="1"/>
  <c r="T235" i="1"/>
  <c r="U235" i="1"/>
  <c r="X235" i="1"/>
  <c r="Z235" i="1"/>
  <c r="AD235" i="1"/>
  <c r="AE235" i="1"/>
  <c r="R236" i="1"/>
  <c r="S236" i="1"/>
  <c r="T236" i="1"/>
  <c r="U236" i="1"/>
  <c r="X236" i="1"/>
  <c r="Y236" i="1"/>
  <c r="Z236" i="1"/>
  <c r="AD236" i="1"/>
  <c r="AE236" i="1"/>
  <c r="R237" i="1"/>
  <c r="S237" i="1"/>
  <c r="T237" i="1"/>
  <c r="U237" i="1"/>
  <c r="W237" i="1"/>
  <c r="X237" i="1"/>
  <c r="Z237" i="1"/>
  <c r="AC237" i="1"/>
  <c r="AD237" i="1"/>
  <c r="AE237" i="1"/>
  <c r="R238" i="1"/>
  <c r="S238" i="1"/>
  <c r="T238" i="1"/>
  <c r="U238" i="1"/>
  <c r="X238" i="1"/>
  <c r="Y238" i="1"/>
  <c r="Z238" i="1"/>
  <c r="AC238" i="1"/>
  <c r="AD238" i="1"/>
  <c r="AE238" i="1"/>
  <c r="R239" i="1"/>
  <c r="S239" i="1"/>
  <c r="T239" i="1"/>
  <c r="U239" i="1"/>
  <c r="X239" i="1"/>
  <c r="Y239" i="1"/>
  <c r="Z239" i="1"/>
  <c r="AD239" i="1"/>
  <c r="AE239" i="1"/>
  <c r="R240" i="1"/>
  <c r="S240" i="1"/>
  <c r="T240" i="1"/>
  <c r="U240" i="1"/>
  <c r="X240" i="1"/>
  <c r="Z240" i="1"/>
  <c r="AB240" i="1"/>
  <c r="AD240" i="1"/>
  <c r="AE240" i="1"/>
  <c r="R241" i="1"/>
  <c r="S241" i="1"/>
  <c r="T241" i="1"/>
  <c r="U241" i="1"/>
  <c r="V241" i="1"/>
  <c r="X241" i="1"/>
  <c r="Z241" i="1"/>
  <c r="AD241" i="1"/>
  <c r="AE241" i="1"/>
  <c r="R242" i="1"/>
  <c r="S242" i="1"/>
  <c r="T242" i="1"/>
  <c r="U242" i="1"/>
  <c r="V242" i="1"/>
  <c r="X242" i="1"/>
  <c r="Z242" i="1"/>
  <c r="AA242" i="1"/>
  <c r="AB242" i="1"/>
  <c r="AC242" i="1"/>
  <c r="AD242" i="1"/>
  <c r="AE242" i="1"/>
  <c r="BB242" i="1"/>
  <c r="R243" i="1"/>
  <c r="S243" i="1"/>
  <c r="T243" i="1"/>
  <c r="U243" i="1"/>
  <c r="V243" i="1"/>
  <c r="X243" i="1"/>
  <c r="Z243" i="1"/>
  <c r="AA243" i="1"/>
  <c r="AB243" i="1"/>
  <c r="AD243" i="1"/>
  <c r="AE243" i="1"/>
  <c r="AN243" i="1"/>
  <c r="AO243" i="1"/>
  <c r="AP243" i="1"/>
  <c r="AQ243" i="1"/>
  <c r="AS243" i="1"/>
  <c r="BE243" i="1"/>
  <c r="BF243" i="1"/>
  <c r="BH243" i="1"/>
  <c r="BK243" i="1"/>
  <c r="EL243" i="1"/>
  <c r="EN243" i="1"/>
  <c r="EO243" i="1"/>
  <c r="ER243" i="1"/>
  <c r="R244" i="1"/>
  <c r="S244" i="1"/>
  <c r="T244" i="1"/>
  <c r="U244" i="1"/>
  <c r="V244" i="1"/>
  <c r="X244" i="1"/>
  <c r="Y244" i="1"/>
  <c r="Z244" i="1"/>
  <c r="AD244" i="1"/>
  <c r="AE244" i="1"/>
  <c r="R245" i="1"/>
  <c r="S245" i="1"/>
  <c r="T245" i="1"/>
  <c r="U245" i="1"/>
  <c r="X245" i="1"/>
  <c r="Z245" i="1"/>
  <c r="AA245" i="1"/>
  <c r="AB245" i="1"/>
  <c r="AD245" i="1"/>
  <c r="AE245" i="1"/>
  <c r="AN245" i="1"/>
  <c r="AO245" i="1"/>
  <c r="AP245" i="1"/>
  <c r="AS245" i="1"/>
  <c r="R246" i="1"/>
  <c r="S246" i="1"/>
  <c r="T246" i="1"/>
  <c r="U246" i="1"/>
  <c r="X246" i="1"/>
  <c r="Z246" i="1"/>
  <c r="AC246" i="1"/>
  <c r="AD246" i="1"/>
  <c r="AE246" i="1"/>
  <c r="AI246" i="1"/>
  <c r="AN246" i="1"/>
  <c r="AO246" i="1"/>
  <c r="AP246" i="1"/>
  <c r="AQ246" i="1"/>
  <c r="AS246" i="1"/>
  <c r="AY246" i="1"/>
  <c r="BA246" i="1"/>
  <c r="BB246" i="1"/>
  <c r="BE246" i="1"/>
  <c r="BF246" i="1"/>
  <c r="BK246" i="1"/>
  <c r="EL246" i="1"/>
  <c r="EN246" i="1"/>
  <c r="EO246" i="1"/>
  <c r="ER246" i="1"/>
  <c r="R247" i="1"/>
  <c r="S247" i="1"/>
  <c r="T247" i="1"/>
  <c r="U247" i="1"/>
  <c r="V247" i="1"/>
  <c r="X247" i="1"/>
  <c r="Y247" i="1"/>
  <c r="Z247" i="1"/>
  <c r="AA247" i="1"/>
  <c r="AB247" i="1"/>
  <c r="AC247" i="1"/>
  <c r="AD247" i="1"/>
  <c r="AE247" i="1"/>
  <c r="R248" i="1"/>
  <c r="S248" i="1"/>
  <c r="T248" i="1"/>
  <c r="U248" i="1"/>
  <c r="X248" i="1"/>
  <c r="Y248" i="1"/>
  <c r="Z248" i="1"/>
  <c r="AA248" i="1"/>
  <c r="AB248" i="1"/>
  <c r="AD248" i="1"/>
  <c r="AE248" i="1"/>
  <c r="R249" i="1"/>
  <c r="S249" i="1"/>
  <c r="T249" i="1"/>
  <c r="U249" i="1"/>
  <c r="V249" i="1"/>
  <c r="X249" i="1"/>
  <c r="Z249" i="1"/>
  <c r="AC249" i="1"/>
  <c r="AD249" i="1"/>
  <c r="AE249" i="1"/>
  <c r="R250" i="1"/>
  <c r="S250" i="1"/>
  <c r="T250" i="1"/>
  <c r="U250" i="1"/>
  <c r="V250" i="1"/>
  <c r="X250" i="1"/>
  <c r="Z250" i="1"/>
  <c r="AD250" i="1"/>
  <c r="AE250" i="1"/>
  <c r="R251" i="1"/>
  <c r="S251" i="1"/>
  <c r="T251" i="1"/>
  <c r="U251" i="1"/>
  <c r="V251" i="1"/>
  <c r="X251" i="1"/>
  <c r="Y251" i="1"/>
  <c r="Z251" i="1"/>
  <c r="AA251" i="1"/>
  <c r="AB251" i="1"/>
  <c r="AD251" i="1"/>
  <c r="AE251" i="1"/>
  <c r="R252" i="1"/>
  <c r="S252" i="1"/>
  <c r="T252" i="1"/>
  <c r="U252" i="1"/>
  <c r="V252" i="1"/>
  <c r="X252" i="1"/>
  <c r="Y252" i="1"/>
  <c r="Z252" i="1"/>
  <c r="AA252" i="1"/>
  <c r="AB252" i="1"/>
  <c r="AC252" i="1"/>
  <c r="AD252" i="1"/>
  <c r="AE252" i="1"/>
  <c r="R253" i="1"/>
  <c r="S253" i="1"/>
  <c r="T253" i="1"/>
  <c r="U253" i="1"/>
  <c r="X253" i="1"/>
  <c r="Y253" i="1"/>
  <c r="Z253" i="1"/>
  <c r="AA253" i="1"/>
  <c r="AB253" i="1"/>
  <c r="AD253" i="1"/>
  <c r="AE253" i="1"/>
  <c r="R254" i="1"/>
  <c r="S254" i="1"/>
  <c r="T254" i="1"/>
  <c r="U254" i="1"/>
  <c r="X254" i="1"/>
  <c r="Z254" i="1"/>
  <c r="AA254" i="1"/>
  <c r="AB254" i="1"/>
  <c r="AC254" i="1"/>
  <c r="AD254" i="1"/>
  <c r="AE254" i="1"/>
  <c r="BB254" i="1"/>
  <c r="R255" i="1"/>
  <c r="S255" i="1"/>
  <c r="T255" i="1"/>
  <c r="U255" i="1"/>
  <c r="X255" i="1"/>
  <c r="Z255" i="1"/>
  <c r="AD255" i="1"/>
  <c r="AE255" i="1"/>
  <c r="R256" i="1"/>
  <c r="S256" i="1"/>
  <c r="T256" i="1"/>
  <c r="U256" i="1"/>
  <c r="X256" i="1"/>
  <c r="Y256" i="1"/>
  <c r="Z256" i="1"/>
  <c r="AD256" i="1"/>
  <c r="AE256" i="1"/>
  <c r="R257" i="1"/>
  <c r="S257" i="1"/>
  <c r="T257" i="1"/>
  <c r="U257" i="1"/>
  <c r="X257" i="1"/>
  <c r="Z257" i="1"/>
  <c r="AD257" i="1"/>
  <c r="AE257" i="1"/>
  <c r="AI257" i="1"/>
  <c r="AN257" i="1"/>
  <c r="AO257" i="1"/>
  <c r="AP257" i="1"/>
  <c r="AQ257" i="1"/>
  <c r="AR257" i="1"/>
  <c r="AS257" i="1"/>
  <c r="BA257" i="1"/>
  <c r="BB257" i="1"/>
  <c r="BC257" i="1"/>
  <c r="BD257" i="1"/>
  <c r="BE257" i="1"/>
  <c r="BG257" i="1"/>
  <c r="BK257" i="1"/>
  <c r="R258" i="1"/>
  <c r="S258" i="1"/>
  <c r="T258" i="1"/>
  <c r="U258" i="1"/>
  <c r="X258" i="1"/>
  <c r="Y258" i="1"/>
  <c r="Z258" i="1"/>
  <c r="AA258" i="1"/>
  <c r="AB258" i="1"/>
  <c r="AD258" i="1"/>
  <c r="AE258" i="1"/>
  <c r="AI258" i="1"/>
  <c r="AN258" i="1"/>
  <c r="AO258" i="1"/>
  <c r="AP258" i="1"/>
  <c r="AQ258" i="1"/>
  <c r="AS258" i="1"/>
  <c r="AY258" i="1"/>
  <c r="AZ258" i="1"/>
  <c r="BA258" i="1"/>
  <c r="BB258" i="1"/>
  <c r="BE258" i="1"/>
  <c r="BH258" i="1"/>
  <c r="BK258" i="1"/>
  <c r="CF258" i="1"/>
  <c r="EL258" i="1"/>
  <c r="EM258" i="1"/>
  <c r="EN258" i="1"/>
  <c r="EO258" i="1"/>
  <c r="ER258" i="1"/>
  <c r="R259" i="1"/>
  <c r="S259" i="1"/>
  <c r="T259" i="1"/>
  <c r="U259" i="1"/>
  <c r="V259" i="1"/>
  <c r="X259" i="1"/>
  <c r="Z259" i="1"/>
  <c r="AD259" i="1"/>
  <c r="AE259" i="1"/>
  <c r="R260" i="1"/>
  <c r="S260" i="1"/>
  <c r="T260" i="1"/>
  <c r="U260" i="1"/>
  <c r="X260" i="1"/>
  <c r="Y260" i="1"/>
  <c r="Z260" i="1"/>
  <c r="AD260" i="1"/>
  <c r="AE260" i="1"/>
  <c r="R261" i="1"/>
  <c r="S261" i="1"/>
  <c r="T261" i="1"/>
  <c r="U261" i="1"/>
  <c r="X261" i="1"/>
  <c r="Y261" i="1"/>
  <c r="Z261" i="1"/>
  <c r="AD261" i="1"/>
  <c r="AE261" i="1"/>
  <c r="R262" i="1"/>
  <c r="S262" i="1"/>
  <c r="T262" i="1"/>
  <c r="U262" i="1"/>
  <c r="X262" i="1"/>
  <c r="Z262" i="1"/>
  <c r="AA262" i="1"/>
  <c r="AB262" i="1"/>
  <c r="AD262" i="1"/>
  <c r="AE262" i="1"/>
  <c r="R263" i="1"/>
  <c r="S263" i="1"/>
  <c r="T263" i="1"/>
  <c r="U263" i="1"/>
  <c r="X263" i="1"/>
  <c r="Z263" i="1"/>
  <c r="AA263" i="1"/>
  <c r="AB263" i="1"/>
  <c r="AD263" i="1"/>
  <c r="AE263" i="1"/>
  <c r="R264" i="1"/>
  <c r="S264" i="1"/>
  <c r="T264" i="1"/>
  <c r="U264" i="1"/>
  <c r="X264" i="1"/>
  <c r="Y264" i="1"/>
  <c r="Z264" i="1"/>
  <c r="AA264" i="1"/>
  <c r="AB264" i="1"/>
  <c r="AD264" i="1"/>
  <c r="AE264" i="1"/>
  <c r="R265" i="1"/>
  <c r="S265" i="1"/>
  <c r="T265" i="1"/>
  <c r="U265" i="1"/>
  <c r="X265" i="1"/>
  <c r="Z265" i="1"/>
  <c r="AD265" i="1"/>
  <c r="AE265" i="1"/>
  <c r="R266" i="1"/>
  <c r="S266" i="1"/>
  <c r="T266" i="1"/>
  <c r="U266" i="1"/>
  <c r="X266" i="1"/>
  <c r="Z266" i="1"/>
  <c r="AD266" i="1"/>
  <c r="AE266" i="1"/>
  <c r="R267" i="1"/>
  <c r="S267" i="1"/>
  <c r="T267" i="1"/>
  <c r="U267" i="1"/>
  <c r="X267" i="1"/>
  <c r="Z267" i="1"/>
  <c r="AD267" i="1"/>
  <c r="AE267" i="1"/>
  <c r="R268" i="1"/>
  <c r="S268" i="1"/>
  <c r="T268" i="1"/>
  <c r="U268" i="1"/>
  <c r="X268" i="1"/>
  <c r="Z268" i="1"/>
  <c r="AD268" i="1"/>
  <c r="AE268" i="1"/>
  <c r="R269" i="1"/>
  <c r="S269" i="1"/>
  <c r="T269" i="1"/>
  <c r="U269" i="1"/>
  <c r="X269" i="1"/>
  <c r="Z269" i="1"/>
  <c r="AD269" i="1"/>
  <c r="AE269" i="1"/>
  <c r="R270" i="1"/>
  <c r="S270" i="1"/>
  <c r="T270" i="1"/>
  <c r="U270" i="1"/>
  <c r="X270" i="1"/>
  <c r="Z270" i="1"/>
  <c r="AD270" i="1"/>
  <c r="AE270" i="1"/>
  <c r="R271" i="1"/>
  <c r="S271" i="1"/>
  <c r="T271" i="1"/>
  <c r="U271" i="1"/>
  <c r="X271" i="1"/>
  <c r="Z271" i="1"/>
  <c r="AD271" i="1"/>
  <c r="AE271" i="1"/>
  <c r="AN271" i="1"/>
  <c r="AO271" i="1"/>
  <c r="AP271" i="1"/>
  <c r="AQ271" i="1"/>
  <c r="R272" i="1"/>
  <c r="S272" i="1"/>
  <c r="T272" i="1"/>
  <c r="U272" i="1"/>
  <c r="X272" i="1"/>
  <c r="Z272" i="1"/>
  <c r="AD272" i="1"/>
  <c r="AE272" i="1"/>
  <c r="R273" i="1"/>
  <c r="S273" i="1"/>
  <c r="T273" i="1"/>
  <c r="U273" i="1"/>
  <c r="X273" i="1"/>
  <c r="Z273" i="1"/>
  <c r="AD273" i="1"/>
  <c r="AE273" i="1"/>
  <c r="R274" i="1"/>
  <c r="S274" i="1"/>
  <c r="T274" i="1"/>
  <c r="U274" i="1"/>
  <c r="X274" i="1"/>
  <c r="Z274" i="1"/>
  <c r="AB274" i="1"/>
  <c r="AD274" i="1"/>
  <c r="AE274" i="1"/>
  <c r="R275" i="1"/>
  <c r="S275" i="1"/>
  <c r="T275" i="1"/>
  <c r="U275" i="1"/>
  <c r="X275" i="1"/>
  <c r="Z275" i="1"/>
  <c r="AD275" i="1"/>
  <c r="AE275" i="1"/>
  <c r="R276" i="1"/>
  <c r="S276" i="1"/>
  <c r="T276" i="1"/>
  <c r="U276" i="1"/>
  <c r="X276" i="1"/>
  <c r="Z276" i="1"/>
  <c r="AD276" i="1"/>
  <c r="AE276" i="1"/>
  <c r="R277" i="1"/>
  <c r="S277" i="1"/>
  <c r="T277" i="1"/>
  <c r="U277" i="1"/>
  <c r="X277" i="1"/>
  <c r="Z277" i="1"/>
  <c r="AD277" i="1"/>
  <c r="AE277" i="1"/>
  <c r="R278" i="1"/>
  <c r="S278" i="1"/>
  <c r="T278" i="1"/>
  <c r="U278" i="1"/>
  <c r="X278" i="1"/>
  <c r="Z278" i="1"/>
  <c r="AD278" i="1"/>
  <c r="AE278" i="1"/>
  <c r="R279" i="1"/>
  <c r="S279" i="1"/>
  <c r="T279" i="1"/>
  <c r="U279" i="1"/>
  <c r="X279" i="1"/>
  <c r="Z279" i="1"/>
  <c r="AD279" i="1"/>
  <c r="AE279" i="1"/>
  <c r="R280" i="1"/>
  <c r="S280" i="1"/>
  <c r="T280" i="1"/>
  <c r="U280" i="1"/>
  <c r="X280" i="1"/>
  <c r="Z280" i="1"/>
  <c r="AD280" i="1"/>
  <c r="AE280" i="1"/>
  <c r="R281" i="1"/>
  <c r="S281" i="1"/>
  <c r="T281" i="1"/>
  <c r="U281" i="1"/>
  <c r="X281" i="1"/>
  <c r="Z281" i="1"/>
  <c r="AD281" i="1"/>
  <c r="AE281" i="1"/>
  <c r="R282" i="1"/>
  <c r="S282" i="1"/>
  <c r="T282" i="1"/>
  <c r="U282" i="1"/>
  <c r="V282" i="1"/>
  <c r="X282" i="1"/>
  <c r="Z282" i="1"/>
  <c r="AC282" i="1"/>
  <c r="AD282" i="1"/>
  <c r="AE282" i="1"/>
  <c r="R283" i="1"/>
  <c r="S283" i="1"/>
  <c r="T283" i="1"/>
  <c r="U283" i="1"/>
  <c r="V283" i="1"/>
  <c r="X283" i="1"/>
  <c r="Y283" i="1"/>
  <c r="Z283" i="1"/>
  <c r="AC283" i="1"/>
  <c r="AD283" i="1"/>
  <c r="AE283" i="1"/>
  <c r="R284" i="1"/>
  <c r="S284" i="1"/>
  <c r="T284" i="1"/>
  <c r="U284" i="1"/>
  <c r="X284" i="1"/>
  <c r="Y284" i="1"/>
  <c r="Z284" i="1"/>
  <c r="AD284" i="1"/>
  <c r="AE284" i="1"/>
  <c r="R285" i="1"/>
  <c r="S285" i="1"/>
  <c r="T285" i="1"/>
  <c r="U285" i="1"/>
  <c r="X285" i="1"/>
  <c r="Y285" i="1"/>
  <c r="Z285" i="1"/>
  <c r="AC285" i="1"/>
  <c r="AD285" i="1"/>
  <c r="AE285" i="1"/>
  <c r="R286" i="1"/>
  <c r="S286" i="1"/>
  <c r="T286" i="1"/>
  <c r="U286" i="1"/>
  <c r="V286" i="1"/>
  <c r="X286" i="1"/>
  <c r="Z286" i="1"/>
  <c r="AC286" i="1"/>
  <c r="AD286" i="1"/>
  <c r="AE286" i="1"/>
  <c r="R287" i="1"/>
  <c r="S287" i="1"/>
  <c r="T287" i="1"/>
  <c r="U287" i="1"/>
  <c r="X287" i="1"/>
  <c r="Y287" i="1"/>
  <c r="Z287" i="1"/>
  <c r="AD287" i="1"/>
  <c r="AE287" i="1"/>
  <c r="R288" i="1"/>
  <c r="S288" i="1"/>
  <c r="T288" i="1"/>
  <c r="U288" i="1"/>
  <c r="V288" i="1"/>
  <c r="X288" i="1"/>
  <c r="Y288" i="1"/>
  <c r="Z288" i="1"/>
  <c r="AC288" i="1"/>
  <c r="AD288" i="1"/>
  <c r="AE288" i="1"/>
  <c r="R289" i="1"/>
  <c r="S289" i="1"/>
  <c r="T289" i="1"/>
  <c r="U289" i="1"/>
  <c r="X289" i="1"/>
  <c r="Y289" i="1"/>
  <c r="Z289" i="1"/>
  <c r="AD289" i="1"/>
  <c r="AE289" i="1"/>
  <c r="AN289" i="1"/>
  <c r="AO289" i="1"/>
  <c r="AP289" i="1"/>
  <c r="AQ289" i="1"/>
  <c r="AS289" i="1"/>
  <c r="BE289" i="1"/>
  <c r="BK289" i="1"/>
  <c r="EL289" i="1"/>
  <c r="EN289" i="1"/>
  <c r="EO289" i="1"/>
  <c r="ER289" i="1"/>
  <c r="R290" i="1"/>
  <c r="S290" i="1"/>
  <c r="T290" i="1"/>
  <c r="U290" i="1"/>
  <c r="X290" i="1"/>
  <c r="Y290" i="1"/>
  <c r="Z290" i="1"/>
  <c r="AD290" i="1"/>
  <c r="AE290" i="1"/>
  <c r="R291" i="1"/>
  <c r="S291" i="1"/>
  <c r="T291" i="1"/>
  <c r="U291" i="1"/>
  <c r="X291" i="1"/>
  <c r="Y291" i="1"/>
  <c r="Z291" i="1"/>
  <c r="AD291" i="1"/>
  <c r="AE291" i="1"/>
  <c r="AI291" i="1"/>
  <c r="AN291" i="1"/>
  <c r="AO291" i="1"/>
  <c r="AP291" i="1"/>
  <c r="AQ291" i="1"/>
  <c r="AS291" i="1"/>
  <c r="AY291" i="1"/>
  <c r="BA291" i="1"/>
  <c r="BE291" i="1"/>
  <c r="BK291" i="1"/>
  <c r="EL291" i="1"/>
  <c r="EN291" i="1"/>
  <c r="EO291" i="1"/>
  <c r="ER291" i="1"/>
  <c r="R292" i="1"/>
  <c r="S292" i="1"/>
  <c r="T292" i="1"/>
  <c r="U292" i="1"/>
  <c r="X292" i="1"/>
  <c r="Y292" i="1"/>
  <c r="Z292" i="1"/>
  <c r="AD292" i="1"/>
  <c r="AE292" i="1"/>
  <c r="R293" i="1"/>
  <c r="S293" i="1"/>
  <c r="T293" i="1"/>
  <c r="U293" i="1"/>
  <c r="V293" i="1"/>
  <c r="X293" i="1"/>
  <c r="Y293" i="1"/>
  <c r="Z293" i="1"/>
  <c r="AA293" i="1"/>
  <c r="AB293" i="1"/>
  <c r="AC293" i="1"/>
  <c r="AD293" i="1"/>
  <c r="AE293" i="1"/>
  <c r="R294" i="1"/>
  <c r="S294" i="1"/>
  <c r="T294" i="1"/>
  <c r="U294" i="1"/>
  <c r="X294" i="1"/>
  <c r="Z294" i="1"/>
  <c r="AD294" i="1"/>
  <c r="AE294" i="1"/>
  <c r="AN294" i="1"/>
  <c r="AO294" i="1"/>
  <c r="AP294" i="1"/>
  <c r="AQ294" i="1"/>
  <c r="AS294" i="1"/>
  <c r="BE294" i="1"/>
  <c r="BK294" i="1"/>
  <c r="EL294" i="1"/>
  <c r="EN294" i="1"/>
  <c r="EO294" i="1"/>
  <c r="ER294" i="1"/>
  <c r="R295" i="1"/>
  <c r="S295" i="1"/>
  <c r="T295" i="1"/>
  <c r="U295" i="1"/>
  <c r="W295" i="1"/>
  <c r="X295" i="1"/>
  <c r="Z295" i="1"/>
  <c r="AD295" i="1"/>
  <c r="AE295" i="1"/>
  <c r="R296" i="1"/>
  <c r="S296" i="1"/>
  <c r="T296" i="1"/>
  <c r="U296" i="1"/>
  <c r="X296" i="1"/>
  <c r="Z296" i="1"/>
  <c r="AD296" i="1"/>
  <c r="AE296" i="1"/>
  <c r="AN296" i="1"/>
  <c r="AO296" i="1"/>
  <c r="AP296" i="1"/>
  <c r="AQ296" i="1"/>
  <c r="AS296" i="1"/>
  <c r="BE296" i="1"/>
  <c r="BH296" i="1"/>
  <c r="BK296" i="1"/>
  <c r="EL296" i="1"/>
  <c r="EM296" i="1"/>
  <c r="EN296" i="1"/>
  <c r="EO296" i="1"/>
  <c r="ER296" i="1"/>
  <c r="R297" i="1"/>
  <c r="S297" i="1"/>
  <c r="T297" i="1"/>
  <c r="U297" i="1"/>
  <c r="V297" i="1"/>
  <c r="X297" i="1"/>
  <c r="Z297" i="1"/>
  <c r="AB297" i="1"/>
  <c r="AC297" i="1"/>
  <c r="AD297" i="1"/>
  <c r="AE297" i="1"/>
  <c r="R298" i="1"/>
  <c r="S298" i="1"/>
  <c r="T298" i="1"/>
  <c r="U298" i="1"/>
  <c r="V298" i="1"/>
  <c r="X298" i="1"/>
  <c r="Z298" i="1"/>
  <c r="AD298" i="1"/>
  <c r="AE298" i="1"/>
  <c r="AI298" i="1"/>
  <c r="AN298" i="1"/>
  <c r="AO298" i="1"/>
  <c r="AP298" i="1"/>
  <c r="AQ298" i="1"/>
  <c r="AS298" i="1"/>
  <c r="BE298" i="1"/>
  <c r="BK298" i="1"/>
  <c r="CI298" i="1"/>
  <c r="CR298" i="1"/>
  <c r="EL298" i="1"/>
  <c r="EN298" i="1"/>
  <c r="EO298" i="1"/>
  <c r="ER298" i="1"/>
  <c r="R299" i="1"/>
  <c r="S299" i="1"/>
  <c r="T299" i="1"/>
  <c r="U299" i="1"/>
  <c r="V299" i="1"/>
  <c r="X299" i="1"/>
  <c r="Y299" i="1"/>
  <c r="Z299" i="1"/>
  <c r="AA299" i="1"/>
  <c r="AB299" i="1"/>
  <c r="AC299" i="1"/>
  <c r="AD299" i="1"/>
  <c r="AE299" i="1"/>
  <c r="AI299" i="1"/>
  <c r="AL299" i="1"/>
  <c r="AN299" i="1"/>
  <c r="AO299" i="1"/>
  <c r="AP299" i="1"/>
  <c r="AQ299" i="1"/>
  <c r="R300" i="1"/>
  <c r="S300" i="1"/>
  <c r="T300" i="1"/>
  <c r="U300" i="1"/>
  <c r="V300" i="1"/>
  <c r="X300" i="1"/>
  <c r="Z300" i="1"/>
  <c r="AC300" i="1"/>
  <c r="AD300" i="1"/>
  <c r="AE300" i="1"/>
  <c r="R301" i="1"/>
  <c r="S301" i="1"/>
  <c r="T301" i="1"/>
  <c r="U301" i="1"/>
  <c r="V301" i="1"/>
  <c r="X301" i="1"/>
  <c r="Z301" i="1"/>
  <c r="AA301" i="1"/>
  <c r="AB301" i="1"/>
  <c r="AD301" i="1"/>
  <c r="AE301" i="1"/>
  <c r="R302" i="1"/>
  <c r="S302" i="1"/>
  <c r="T302" i="1"/>
  <c r="U302" i="1"/>
  <c r="X302" i="1"/>
  <c r="Y302" i="1"/>
  <c r="Z302" i="1"/>
  <c r="AA302" i="1"/>
  <c r="AB302" i="1"/>
  <c r="AC302" i="1"/>
  <c r="AD302" i="1"/>
  <c r="AE302" i="1"/>
  <c r="R303" i="1"/>
  <c r="S303" i="1"/>
  <c r="T303" i="1"/>
  <c r="U303" i="1"/>
  <c r="X303" i="1"/>
  <c r="Y303" i="1"/>
  <c r="Z303" i="1"/>
  <c r="AC303" i="1"/>
  <c r="AD303" i="1"/>
  <c r="AE303" i="1"/>
  <c r="AN303" i="1"/>
  <c r="AO303" i="1"/>
  <c r="AP303" i="1"/>
  <c r="AQ303" i="1"/>
  <c r="AR303" i="1"/>
  <c r="R304" i="1"/>
  <c r="S304" i="1"/>
  <c r="T304" i="1"/>
  <c r="U304" i="1"/>
  <c r="X304" i="1"/>
  <c r="Y304" i="1"/>
  <c r="Z304" i="1"/>
  <c r="AB304" i="1"/>
  <c r="AC304" i="1"/>
  <c r="AD304" i="1"/>
  <c r="AE304" i="1"/>
  <c r="R305" i="1"/>
  <c r="S305" i="1"/>
  <c r="T305" i="1"/>
  <c r="U305" i="1"/>
  <c r="X305" i="1"/>
  <c r="Y305" i="1"/>
  <c r="Z305" i="1"/>
  <c r="AA305" i="1"/>
  <c r="AB305" i="1"/>
  <c r="AC305" i="1"/>
  <c r="AD305" i="1"/>
  <c r="AE305" i="1"/>
  <c r="R306" i="1"/>
  <c r="S306" i="1"/>
  <c r="T306" i="1"/>
  <c r="U306" i="1"/>
  <c r="V306" i="1"/>
  <c r="X306" i="1"/>
  <c r="Y306" i="1"/>
  <c r="Z306" i="1"/>
  <c r="AA306" i="1"/>
  <c r="AB306" i="1"/>
  <c r="AC306" i="1"/>
  <c r="AD306" i="1"/>
  <c r="AE306" i="1"/>
  <c r="BI306" i="1"/>
  <c r="R307" i="1"/>
  <c r="S307" i="1"/>
  <c r="T307" i="1"/>
  <c r="U307" i="1"/>
  <c r="X307" i="1"/>
  <c r="Y307" i="1"/>
  <c r="Z307" i="1"/>
  <c r="AA307" i="1"/>
  <c r="AB307" i="1"/>
  <c r="AC307" i="1"/>
  <c r="AD307" i="1"/>
  <c r="AE307" i="1"/>
  <c r="R308" i="1"/>
  <c r="S308" i="1"/>
  <c r="T308" i="1"/>
  <c r="U308" i="1"/>
  <c r="V308" i="1"/>
  <c r="X308" i="1"/>
  <c r="Z308" i="1"/>
  <c r="AA308" i="1"/>
  <c r="AB308" i="1"/>
  <c r="AC308" i="1"/>
  <c r="AD308" i="1"/>
  <c r="AE308" i="1"/>
  <c r="BB308" i="1"/>
  <c r="R309" i="1"/>
  <c r="S309" i="1"/>
  <c r="T309" i="1"/>
  <c r="U309" i="1"/>
  <c r="X309" i="1"/>
  <c r="Y309" i="1"/>
  <c r="Z309" i="1"/>
  <c r="AA309" i="1"/>
  <c r="AB309" i="1"/>
  <c r="AC309" i="1"/>
  <c r="AD309" i="1"/>
  <c r="AE309" i="1"/>
  <c r="R310" i="1"/>
  <c r="S310" i="1"/>
  <c r="T310" i="1"/>
  <c r="U310" i="1"/>
  <c r="X310" i="1"/>
  <c r="Z310" i="1"/>
  <c r="AA310" i="1"/>
  <c r="AB310" i="1"/>
  <c r="AC310" i="1"/>
  <c r="AD310" i="1"/>
  <c r="AE310" i="1"/>
  <c r="AN310" i="1"/>
  <c r="AO310" i="1"/>
  <c r="AP310" i="1"/>
  <c r="AQ310" i="1"/>
  <c r="AS310" i="1"/>
  <c r="R311" i="1"/>
  <c r="S311" i="1"/>
  <c r="T311" i="1"/>
  <c r="U311" i="1"/>
  <c r="V311" i="1"/>
  <c r="X311" i="1"/>
  <c r="Y311" i="1"/>
  <c r="Z311" i="1"/>
  <c r="AD311" i="1"/>
  <c r="AE311" i="1"/>
  <c r="AN311" i="1"/>
  <c r="AO311" i="1"/>
  <c r="AP311" i="1"/>
  <c r="AQ311" i="1"/>
  <c r="AS311" i="1"/>
  <c r="BE311" i="1"/>
  <c r="BF311" i="1"/>
  <c r="BK311" i="1"/>
  <c r="EL311" i="1"/>
  <c r="EN311" i="1"/>
  <c r="EO311" i="1"/>
  <c r="ER311" i="1"/>
  <c r="R312" i="1"/>
  <c r="S312" i="1"/>
  <c r="T312" i="1"/>
  <c r="U312" i="1"/>
  <c r="X312" i="1"/>
  <c r="Y312" i="1"/>
  <c r="Z312" i="1"/>
  <c r="AD312" i="1"/>
  <c r="AE312" i="1"/>
  <c r="AI312" i="1"/>
  <c r="AN312" i="1"/>
  <c r="AO312" i="1"/>
  <c r="AP312" i="1"/>
  <c r="AQ312" i="1"/>
  <c r="AS312" i="1"/>
  <c r="BA312" i="1"/>
  <c r="BB312" i="1"/>
  <c r="BD312" i="1"/>
  <c r="BE312" i="1"/>
  <c r="BK312" i="1"/>
  <c r="EL312" i="1"/>
  <c r="EN312" i="1"/>
  <c r="EO312" i="1"/>
  <c r="ER312" i="1"/>
  <c r="R313" i="1"/>
  <c r="S313" i="1"/>
  <c r="T313" i="1"/>
  <c r="U313" i="1"/>
  <c r="V313" i="1"/>
  <c r="X313" i="1"/>
  <c r="Y313" i="1"/>
  <c r="Z313" i="1"/>
  <c r="AC313" i="1"/>
  <c r="AD313" i="1"/>
  <c r="AE313" i="1"/>
  <c r="R314" i="1"/>
  <c r="S314" i="1"/>
  <c r="T314" i="1"/>
  <c r="U314" i="1"/>
  <c r="V314" i="1"/>
  <c r="X314" i="1"/>
  <c r="Y314" i="1"/>
  <c r="Z314" i="1"/>
  <c r="AB314" i="1"/>
  <c r="AD314" i="1"/>
  <c r="AE314" i="1"/>
  <c r="R315" i="1"/>
  <c r="S315" i="1"/>
  <c r="T315" i="1"/>
  <c r="U315" i="1"/>
  <c r="V315" i="1"/>
  <c r="X315" i="1"/>
  <c r="Y315" i="1"/>
  <c r="Z315" i="1"/>
  <c r="AC315" i="1"/>
  <c r="AD315" i="1"/>
  <c r="AE315" i="1"/>
  <c r="R316" i="1"/>
  <c r="S316" i="1"/>
  <c r="T316" i="1"/>
  <c r="U316" i="1"/>
  <c r="V316" i="1"/>
  <c r="X316" i="1"/>
  <c r="Y316" i="1"/>
  <c r="Z316" i="1"/>
  <c r="AD316" i="1"/>
  <c r="AE316" i="1"/>
  <c r="R317" i="1"/>
  <c r="S317" i="1"/>
  <c r="T317" i="1"/>
  <c r="U317" i="1"/>
  <c r="V317" i="1"/>
  <c r="X317" i="1"/>
  <c r="Z317" i="1"/>
  <c r="AC317" i="1"/>
  <c r="AD317" i="1"/>
  <c r="AE317" i="1"/>
  <c r="R318" i="1"/>
  <c r="S318" i="1"/>
  <c r="T318" i="1"/>
  <c r="U318" i="1"/>
  <c r="X318" i="1"/>
  <c r="Y318" i="1"/>
  <c r="Z318" i="1"/>
  <c r="AD318" i="1"/>
  <c r="AE318" i="1"/>
  <c r="BI318" i="1"/>
  <c r="R319" i="1"/>
  <c r="S319" i="1"/>
  <c r="T319" i="1"/>
  <c r="U319" i="1"/>
  <c r="X319" i="1"/>
  <c r="Z319" i="1"/>
  <c r="AC319" i="1"/>
  <c r="AD319" i="1"/>
  <c r="AE319" i="1"/>
  <c r="R320" i="1"/>
  <c r="S320" i="1"/>
  <c r="T320" i="1"/>
  <c r="U320" i="1"/>
  <c r="X320" i="1"/>
  <c r="Y320" i="1"/>
  <c r="Z320" i="1"/>
  <c r="AA320" i="1"/>
  <c r="AB320" i="1"/>
  <c r="AC320" i="1"/>
  <c r="AD320" i="1"/>
  <c r="AE320" i="1"/>
  <c r="AI320" i="1"/>
  <c r="AN320" i="1"/>
  <c r="AO320" i="1"/>
  <c r="AP320" i="1"/>
  <c r="AQ320" i="1"/>
  <c r="R321" i="1"/>
  <c r="S321" i="1"/>
  <c r="T321" i="1"/>
  <c r="U321" i="1"/>
  <c r="X321" i="1"/>
  <c r="Y321" i="1"/>
  <c r="Z321" i="1"/>
  <c r="AA321" i="1"/>
  <c r="AB321" i="1"/>
  <c r="AC321" i="1"/>
  <c r="AD321" i="1"/>
  <c r="AE321" i="1"/>
  <c r="R322" i="1"/>
  <c r="S322" i="1"/>
  <c r="T322" i="1"/>
  <c r="U322" i="1"/>
  <c r="V322" i="1"/>
  <c r="X322" i="1"/>
  <c r="Z322" i="1"/>
  <c r="AD322" i="1"/>
  <c r="AE322" i="1"/>
  <c r="AN322" i="1"/>
  <c r="AO322" i="1"/>
  <c r="AP322" i="1"/>
  <c r="AQ322" i="1"/>
  <c r="AS322" i="1"/>
  <c r="BE322" i="1"/>
  <c r="BK322" i="1"/>
  <c r="EL322" i="1"/>
  <c r="EN322" i="1"/>
  <c r="ER322" i="1"/>
  <c r="R323" i="1"/>
  <c r="S323" i="1"/>
  <c r="T323" i="1"/>
  <c r="U323" i="1"/>
  <c r="V323" i="1"/>
  <c r="X323" i="1"/>
  <c r="Y323" i="1"/>
  <c r="Z323" i="1"/>
  <c r="AD323" i="1"/>
  <c r="AE323" i="1"/>
  <c r="R324" i="1"/>
  <c r="S324" i="1"/>
  <c r="T324" i="1"/>
  <c r="U324" i="1"/>
  <c r="X324" i="1"/>
  <c r="Y324" i="1"/>
  <c r="Z324" i="1"/>
  <c r="AD324" i="1"/>
  <c r="AE324" i="1"/>
  <c r="AN324" i="1"/>
  <c r="AO324" i="1"/>
  <c r="AP324" i="1"/>
  <c r="AQ324" i="1"/>
  <c r="AR324" i="1"/>
  <c r="AS324" i="1"/>
  <c r="BC324" i="1"/>
  <c r="BE324" i="1"/>
  <c r="BK324" i="1"/>
  <c r="R325" i="1"/>
  <c r="S325" i="1"/>
  <c r="T325" i="1"/>
  <c r="U325" i="1"/>
  <c r="X325" i="1"/>
  <c r="Z325" i="1"/>
  <c r="AC325" i="1"/>
  <c r="AD325" i="1"/>
  <c r="AE325" i="1"/>
  <c r="AI325" i="1"/>
  <c r="AN325" i="1"/>
  <c r="AO325" i="1"/>
  <c r="AP325" i="1"/>
  <c r="AQ325" i="1"/>
  <c r="AS325" i="1"/>
  <c r="BA325" i="1"/>
  <c r="BB325" i="1"/>
  <c r="BD325" i="1"/>
  <c r="BE325" i="1"/>
  <c r="BK325" i="1"/>
  <c r="EL325" i="1"/>
  <c r="EN325" i="1"/>
  <c r="ER325" i="1"/>
  <c r="R326" i="1"/>
  <c r="S326" i="1"/>
  <c r="T326" i="1"/>
  <c r="U326" i="1"/>
  <c r="X326" i="1"/>
  <c r="Y326" i="1"/>
  <c r="Z326" i="1"/>
  <c r="AA326" i="1"/>
  <c r="AB326" i="1"/>
  <c r="AC326" i="1"/>
  <c r="AD326" i="1"/>
  <c r="AE326" i="1"/>
  <c r="AN326" i="1"/>
  <c r="AO326" i="1"/>
  <c r="AP326" i="1"/>
  <c r="R327" i="1"/>
  <c r="S327" i="1"/>
  <c r="T327" i="1"/>
  <c r="U327" i="1"/>
  <c r="V327" i="1"/>
  <c r="X327" i="1"/>
  <c r="Y327" i="1"/>
  <c r="Z327" i="1"/>
  <c r="AA327" i="1"/>
  <c r="AB327" i="1"/>
  <c r="AC327" i="1"/>
  <c r="AD327" i="1"/>
  <c r="AE327" i="1"/>
  <c r="R328" i="1"/>
  <c r="S328" i="1"/>
  <c r="T328" i="1"/>
  <c r="U328" i="1"/>
  <c r="V328" i="1"/>
  <c r="X328" i="1"/>
  <c r="Z328" i="1"/>
  <c r="AC328" i="1"/>
  <c r="AD328" i="1"/>
  <c r="AE328" i="1"/>
  <c r="R329" i="1"/>
  <c r="S329" i="1"/>
  <c r="T329" i="1"/>
  <c r="U329" i="1"/>
  <c r="V329" i="1"/>
  <c r="X329" i="1"/>
  <c r="Y329" i="1"/>
  <c r="Z329" i="1"/>
  <c r="AB329" i="1"/>
  <c r="AC329" i="1"/>
  <c r="AD329" i="1"/>
  <c r="AE329" i="1"/>
  <c r="R330" i="1"/>
  <c r="S330" i="1"/>
  <c r="T330" i="1"/>
  <c r="U330" i="1"/>
  <c r="X330" i="1"/>
  <c r="Z330" i="1"/>
  <c r="AA330" i="1"/>
  <c r="AB330" i="1"/>
  <c r="AD330" i="1"/>
  <c r="AE330" i="1"/>
  <c r="AN330" i="1"/>
  <c r="AO330" i="1"/>
  <c r="AP330" i="1"/>
  <c r="AQ330" i="1"/>
  <c r="AS330" i="1"/>
  <c r="R331" i="1"/>
  <c r="S331" i="1"/>
  <c r="T331" i="1"/>
  <c r="U331" i="1"/>
  <c r="X331" i="1"/>
  <c r="Z331" i="1"/>
  <c r="AA331" i="1"/>
  <c r="AB331" i="1"/>
  <c r="AD331" i="1"/>
  <c r="AE331" i="1"/>
  <c r="R332" i="1"/>
  <c r="S332" i="1"/>
  <c r="T332" i="1"/>
  <c r="U332" i="1"/>
  <c r="X332" i="1"/>
  <c r="Z332" i="1"/>
  <c r="AA332" i="1"/>
  <c r="AB332" i="1"/>
  <c r="AD332" i="1"/>
  <c r="AE332" i="1"/>
  <c r="AN332" i="1"/>
  <c r="AO332" i="1"/>
  <c r="AP332" i="1"/>
  <c r="AQ332" i="1"/>
  <c r="AS332" i="1"/>
  <c r="R333" i="1"/>
  <c r="S333" i="1"/>
  <c r="T333" i="1"/>
  <c r="U333" i="1"/>
  <c r="X333" i="1"/>
  <c r="Y333" i="1"/>
  <c r="Z333" i="1"/>
  <c r="AA333" i="1"/>
  <c r="AB333" i="1"/>
  <c r="AD333" i="1"/>
  <c r="AE333" i="1"/>
  <c r="R334" i="1"/>
  <c r="S334" i="1"/>
  <c r="T334" i="1"/>
  <c r="U334" i="1"/>
  <c r="X334" i="1"/>
  <c r="Y334" i="1"/>
  <c r="Z334" i="1"/>
  <c r="AA334" i="1"/>
  <c r="AB334" i="1"/>
  <c r="AD334" i="1"/>
  <c r="AE334" i="1"/>
  <c r="AS334" i="1"/>
  <c r="R335" i="1"/>
  <c r="S335" i="1"/>
  <c r="T335" i="1"/>
  <c r="U335" i="1"/>
  <c r="V335" i="1"/>
  <c r="X335" i="1"/>
  <c r="Y335" i="1"/>
  <c r="Z335" i="1"/>
  <c r="AC335" i="1"/>
  <c r="AD335" i="1"/>
  <c r="AE335" i="1"/>
  <c r="R336" i="1"/>
  <c r="S336" i="1"/>
  <c r="T336" i="1"/>
  <c r="U336" i="1"/>
  <c r="X336" i="1"/>
  <c r="Y336" i="1"/>
  <c r="Z336" i="1"/>
  <c r="AA336" i="1"/>
  <c r="AB336" i="1"/>
  <c r="AC336" i="1"/>
  <c r="AD336" i="1"/>
  <c r="AE336" i="1"/>
  <c r="R337" i="1"/>
  <c r="S337" i="1"/>
  <c r="T337" i="1"/>
  <c r="U337" i="1"/>
  <c r="X337" i="1"/>
  <c r="Z337" i="1"/>
  <c r="AA337" i="1"/>
  <c r="AB337" i="1"/>
  <c r="AC337" i="1"/>
  <c r="AD337" i="1"/>
  <c r="AE337" i="1"/>
  <c r="R338" i="1"/>
  <c r="S338" i="1"/>
  <c r="T338" i="1"/>
  <c r="U338" i="1"/>
  <c r="V338" i="1"/>
  <c r="X338" i="1"/>
  <c r="Z338" i="1"/>
  <c r="AC338" i="1"/>
  <c r="AD338" i="1"/>
  <c r="AE338" i="1"/>
  <c r="R339" i="1"/>
  <c r="S339" i="1"/>
  <c r="T339" i="1"/>
  <c r="U339" i="1"/>
  <c r="X339" i="1"/>
  <c r="Z339" i="1"/>
  <c r="AC339" i="1"/>
  <c r="AD339" i="1"/>
  <c r="AE339" i="1"/>
  <c r="AN339" i="1"/>
  <c r="AO339" i="1"/>
  <c r="AP339" i="1"/>
  <c r="AQ339" i="1"/>
  <c r="AS339" i="1"/>
  <c r="BE339" i="1"/>
  <c r="BF339" i="1"/>
  <c r="BK339" i="1"/>
  <c r="R340" i="1"/>
  <c r="S340" i="1"/>
  <c r="T340" i="1"/>
  <c r="U340" i="1"/>
  <c r="V340" i="1"/>
  <c r="X340" i="1"/>
  <c r="Z340" i="1"/>
  <c r="AD340" i="1"/>
  <c r="AE340" i="1"/>
  <c r="R341" i="1"/>
  <c r="S341" i="1"/>
  <c r="T341" i="1"/>
  <c r="U341" i="1"/>
  <c r="X341" i="1"/>
  <c r="Z341" i="1"/>
  <c r="AA341" i="1"/>
  <c r="AB341" i="1"/>
  <c r="AD341" i="1"/>
  <c r="AE341" i="1"/>
  <c r="R342" i="1"/>
  <c r="S342" i="1"/>
  <c r="T342" i="1"/>
  <c r="U342" i="1"/>
  <c r="X342" i="1"/>
  <c r="Z342" i="1"/>
  <c r="AD342" i="1"/>
  <c r="AE342" i="1"/>
  <c r="AN342" i="1"/>
  <c r="AO342" i="1"/>
  <c r="AP342" i="1"/>
  <c r="AQ342" i="1"/>
  <c r="AS342" i="1"/>
  <c r="BE342" i="1"/>
  <c r="BH342" i="1"/>
  <c r="BK342" i="1"/>
  <c r="R343" i="1"/>
  <c r="S343" i="1"/>
  <c r="T343" i="1"/>
  <c r="U343" i="1"/>
  <c r="V343" i="1"/>
  <c r="X343" i="1"/>
  <c r="Y343" i="1"/>
  <c r="Z343" i="1"/>
  <c r="AA343" i="1"/>
  <c r="AB343" i="1"/>
  <c r="AD343" i="1"/>
  <c r="AE343" i="1"/>
  <c r="R344" i="1"/>
  <c r="S344" i="1"/>
  <c r="T344" i="1"/>
  <c r="U344" i="1"/>
  <c r="X344" i="1"/>
  <c r="Z344" i="1"/>
  <c r="AA344" i="1"/>
  <c r="AB344" i="1"/>
  <c r="AD344" i="1"/>
  <c r="AE344" i="1"/>
  <c r="R345" i="1"/>
  <c r="S345" i="1"/>
  <c r="T345" i="1"/>
  <c r="U345" i="1"/>
  <c r="X345" i="1"/>
  <c r="Z345" i="1"/>
  <c r="AC345" i="1"/>
  <c r="AD345" i="1"/>
  <c r="AE345" i="1"/>
  <c r="R346" i="1"/>
  <c r="S346" i="1"/>
  <c r="T346" i="1"/>
  <c r="U346" i="1"/>
  <c r="X346" i="1"/>
  <c r="Z346" i="1"/>
  <c r="AC346" i="1"/>
  <c r="AD346" i="1"/>
  <c r="AE346" i="1"/>
  <c r="R347" i="1"/>
  <c r="S347" i="1"/>
  <c r="T347" i="1"/>
  <c r="U347" i="1"/>
  <c r="V347" i="1"/>
  <c r="X347" i="1"/>
  <c r="Y347" i="1"/>
  <c r="Z347" i="1"/>
  <c r="AC347" i="1"/>
  <c r="AD347" i="1"/>
  <c r="AE347" i="1"/>
  <c r="R348" i="1"/>
  <c r="S348" i="1"/>
  <c r="T348" i="1"/>
  <c r="U348" i="1"/>
  <c r="X348" i="1"/>
  <c r="Y348" i="1"/>
  <c r="Z348" i="1"/>
  <c r="AB348" i="1"/>
  <c r="AD348" i="1"/>
  <c r="AE348" i="1"/>
  <c r="AN348" i="1"/>
  <c r="AO348" i="1"/>
  <c r="AP348" i="1"/>
  <c r="AQ348" i="1"/>
  <c r="R349" i="1"/>
  <c r="S349" i="1"/>
  <c r="T349" i="1"/>
  <c r="U349" i="1"/>
  <c r="X349" i="1"/>
  <c r="Z349" i="1"/>
  <c r="AC349" i="1"/>
  <c r="AD349" i="1"/>
  <c r="AE349" i="1"/>
  <c r="R350" i="1"/>
  <c r="S350" i="1"/>
  <c r="T350" i="1"/>
  <c r="U350" i="1"/>
  <c r="V350" i="1"/>
  <c r="X350" i="1"/>
  <c r="Z350" i="1"/>
  <c r="AC350" i="1"/>
  <c r="AD350" i="1"/>
  <c r="AE350" i="1"/>
  <c r="R351" i="1"/>
  <c r="S351" i="1"/>
  <c r="T351" i="1"/>
  <c r="U351" i="1"/>
  <c r="X351" i="1"/>
  <c r="Y351" i="1"/>
  <c r="Z351" i="1"/>
  <c r="AA351" i="1"/>
  <c r="AB351" i="1"/>
  <c r="AD351" i="1"/>
  <c r="AE351" i="1"/>
  <c r="R352" i="1"/>
  <c r="S352" i="1"/>
  <c r="T352" i="1"/>
  <c r="U352" i="1"/>
  <c r="X352" i="1"/>
  <c r="Z352" i="1"/>
  <c r="AA352" i="1"/>
  <c r="AB352" i="1"/>
  <c r="AD352" i="1"/>
  <c r="AE352" i="1"/>
  <c r="AN352" i="1"/>
  <c r="AO352" i="1"/>
  <c r="AP352" i="1"/>
  <c r="AS352" i="1"/>
  <c r="R353" i="1"/>
  <c r="S353" i="1"/>
  <c r="T353" i="1"/>
  <c r="U353" i="1"/>
  <c r="V353" i="1"/>
  <c r="X353" i="1"/>
  <c r="Y353" i="1"/>
  <c r="Z353" i="1"/>
  <c r="AA353" i="1"/>
  <c r="AB353" i="1"/>
  <c r="AD353" i="1"/>
  <c r="AE353" i="1"/>
  <c r="R354" i="1"/>
  <c r="S354" i="1"/>
  <c r="T354" i="1"/>
  <c r="U354" i="1"/>
  <c r="V354" i="1"/>
  <c r="X354" i="1"/>
  <c r="Z354" i="1"/>
  <c r="AA354" i="1"/>
  <c r="AB354" i="1"/>
  <c r="AD354" i="1"/>
  <c r="AE354" i="1"/>
  <c r="R355" i="1"/>
  <c r="S355" i="1"/>
  <c r="T355" i="1"/>
  <c r="U355" i="1"/>
  <c r="X355" i="1"/>
  <c r="Z355" i="1"/>
  <c r="AD355" i="1"/>
  <c r="AE355" i="1"/>
  <c r="R356" i="1"/>
  <c r="S356" i="1"/>
  <c r="T356" i="1"/>
  <c r="U356" i="1"/>
  <c r="X356" i="1"/>
  <c r="Z356" i="1"/>
  <c r="AD356" i="1"/>
  <c r="AE356" i="1"/>
  <c r="R357" i="1"/>
  <c r="S357" i="1"/>
  <c r="T357" i="1"/>
  <c r="U357" i="1"/>
  <c r="V357" i="1"/>
  <c r="X357" i="1"/>
  <c r="Z357" i="1"/>
  <c r="AD357" i="1"/>
  <c r="AE357" i="1"/>
  <c r="R358" i="1"/>
  <c r="S358" i="1"/>
  <c r="T358" i="1"/>
  <c r="U358" i="1"/>
  <c r="V358" i="1"/>
  <c r="X358" i="1"/>
  <c r="Z358" i="1"/>
  <c r="AD358" i="1"/>
  <c r="AE358" i="1"/>
  <c r="R359" i="1"/>
  <c r="S359" i="1"/>
  <c r="T359" i="1"/>
  <c r="U359" i="1"/>
  <c r="X359" i="1"/>
  <c r="Z359" i="1"/>
  <c r="AD359" i="1"/>
  <c r="AE359" i="1"/>
  <c r="AN359" i="1"/>
  <c r="AO359" i="1"/>
  <c r="AP359" i="1"/>
  <c r="AQ359" i="1"/>
  <c r="AS359" i="1"/>
  <c r="BE359" i="1"/>
  <c r="BK359" i="1"/>
  <c r="EL359" i="1"/>
  <c r="EM359" i="1"/>
  <c r="EN359" i="1"/>
  <c r="EO359" i="1"/>
  <c r="ER359" i="1"/>
  <c r="R360" i="1"/>
  <c r="S360" i="1"/>
  <c r="T360" i="1"/>
  <c r="U360" i="1"/>
  <c r="V360" i="1"/>
  <c r="X360" i="1"/>
  <c r="Z360" i="1"/>
  <c r="AC360" i="1"/>
  <c r="AD360" i="1"/>
  <c r="AE360" i="1"/>
  <c r="R361" i="1"/>
  <c r="S361" i="1"/>
  <c r="T361" i="1"/>
  <c r="U361" i="1"/>
  <c r="X361" i="1"/>
  <c r="Y361" i="1"/>
  <c r="Z361" i="1"/>
  <c r="AD361" i="1"/>
  <c r="AE361" i="1"/>
  <c r="AN361" i="1"/>
  <c r="AO361" i="1"/>
  <c r="AP361" i="1"/>
  <c r="AQ361" i="1"/>
  <c r="AR361" i="1"/>
  <c r="AS361" i="1"/>
  <c r="AY361" i="1"/>
  <c r="BA361" i="1"/>
  <c r="BE361" i="1"/>
  <c r="BH361" i="1"/>
  <c r="BK361" i="1"/>
  <c r="EM361" i="1"/>
  <c r="EN361" i="1"/>
  <c r="EO361" i="1"/>
  <c r="ER361" i="1"/>
  <c r="R362" i="1"/>
  <c r="S362" i="1"/>
  <c r="T362" i="1"/>
  <c r="U362" i="1"/>
  <c r="X362" i="1"/>
  <c r="Y362" i="1"/>
  <c r="Z362" i="1"/>
  <c r="AC362" i="1"/>
  <c r="AD362" i="1"/>
  <c r="AE362" i="1"/>
  <c r="AI362" i="1"/>
  <c r="AM362" i="1"/>
  <c r="AN362" i="1"/>
  <c r="AO362" i="1"/>
  <c r="AP362" i="1"/>
  <c r="AQ362" i="1"/>
  <c r="AS362" i="1"/>
  <c r="BA362" i="1"/>
  <c r="BB362" i="1"/>
  <c r="BD362" i="1"/>
  <c r="BE362" i="1"/>
  <c r="BG362" i="1"/>
  <c r="BK362" i="1"/>
  <c r="EL362" i="1"/>
  <c r="EN362" i="1"/>
  <c r="EO362" i="1"/>
  <c r="ER362" i="1"/>
  <c r="R363" i="1"/>
  <c r="S363" i="1"/>
  <c r="T363" i="1"/>
  <c r="U363" i="1"/>
  <c r="X363" i="1"/>
  <c r="Y363" i="1"/>
  <c r="Z363" i="1"/>
  <c r="AB363" i="1"/>
  <c r="AD363" i="1"/>
  <c r="AE363" i="1"/>
  <c r="R364" i="1"/>
  <c r="S364" i="1"/>
  <c r="T364" i="1"/>
  <c r="U364" i="1"/>
  <c r="X364" i="1"/>
  <c r="Y364" i="1"/>
  <c r="Z364" i="1"/>
  <c r="AD364" i="1"/>
  <c r="AE364" i="1"/>
  <c r="AN364" i="1"/>
  <c r="AO364" i="1"/>
  <c r="AP364" i="1"/>
  <c r="AQ364" i="1"/>
  <c r="AR364" i="1"/>
  <c r="AS364" i="1"/>
  <c r="AZ364" i="1"/>
  <c r="BE364" i="1"/>
  <c r="BH364" i="1"/>
  <c r="BI364" i="1"/>
  <c r="BK364" i="1"/>
  <c r="EL364" i="1"/>
  <c r="EN364" i="1"/>
  <c r="EO364" i="1"/>
  <c r="ER364" i="1"/>
  <c r="R365" i="1"/>
  <c r="S365" i="1"/>
  <c r="T365" i="1"/>
  <c r="U365" i="1"/>
  <c r="X365" i="1"/>
  <c r="Y365" i="1"/>
  <c r="Z365" i="1"/>
  <c r="AB365" i="1"/>
  <c r="AD365" i="1"/>
  <c r="AE365" i="1"/>
  <c r="R366" i="1"/>
  <c r="S366" i="1"/>
  <c r="T366" i="1"/>
  <c r="U366" i="1"/>
  <c r="V366" i="1"/>
  <c r="X366" i="1"/>
  <c r="Z366" i="1"/>
  <c r="AB366" i="1"/>
  <c r="AC366" i="1"/>
  <c r="AD366" i="1"/>
  <c r="AE366" i="1"/>
  <c r="R367" i="1"/>
  <c r="S367" i="1"/>
  <c r="T367" i="1"/>
  <c r="U367" i="1"/>
  <c r="V367" i="1"/>
  <c r="X367" i="1"/>
  <c r="Y367" i="1"/>
  <c r="Z367" i="1"/>
  <c r="AA367" i="1"/>
  <c r="AB367" i="1"/>
  <c r="AC367" i="1"/>
  <c r="AD367" i="1"/>
  <c r="AE367" i="1"/>
  <c r="AI367" i="1"/>
  <c r="AN367" i="1"/>
  <c r="AO367" i="1"/>
  <c r="AP367" i="1"/>
  <c r="AQ367" i="1"/>
  <c r="R368" i="1"/>
  <c r="S368" i="1"/>
  <c r="T368" i="1"/>
  <c r="U368" i="1"/>
  <c r="W368" i="1"/>
  <c r="X368" i="1"/>
  <c r="Z368" i="1"/>
  <c r="AD368" i="1"/>
  <c r="AE368" i="1"/>
  <c r="R369" i="1"/>
  <c r="S369" i="1"/>
  <c r="T369" i="1"/>
  <c r="U369" i="1"/>
  <c r="X369" i="1"/>
  <c r="Y369" i="1"/>
  <c r="Z369" i="1"/>
  <c r="AA369" i="1"/>
  <c r="AB369" i="1"/>
  <c r="AC369" i="1"/>
  <c r="AD369" i="1"/>
  <c r="AE369" i="1"/>
  <c r="BI369" i="1"/>
  <c r="R370" i="1"/>
  <c r="S370" i="1"/>
  <c r="T370" i="1"/>
  <c r="U370" i="1"/>
  <c r="V370" i="1"/>
  <c r="X370" i="1"/>
  <c r="Z370" i="1"/>
  <c r="AD370" i="1"/>
  <c r="AE370" i="1"/>
  <c r="R371" i="1"/>
  <c r="S371" i="1"/>
  <c r="T371" i="1"/>
  <c r="U371" i="1"/>
  <c r="X371" i="1"/>
  <c r="Z371" i="1"/>
  <c r="AC371" i="1"/>
  <c r="AD371" i="1"/>
  <c r="AE371" i="1"/>
  <c r="R372" i="1"/>
  <c r="S372" i="1"/>
  <c r="T372" i="1"/>
  <c r="U372" i="1"/>
  <c r="X372" i="1"/>
  <c r="Z372" i="1"/>
  <c r="AD372" i="1"/>
  <c r="AE372" i="1"/>
  <c r="R373" i="1"/>
  <c r="S373" i="1"/>
  <c r="T373" i="1"/>
  <c r="U373" i="1"/>
  <c r="X373" i="1"/>
  <c r="Y373" i="1"/>
  <c r="Z373" i="1"/>
  <c r="AC373" i="1"/>
  <c r="AD373" i="1"/>
  <c r="AE373" i="1"/>
  <c r="AN373" i="1"/>
  <c r="AO373" i="1"/>
  <c r="AP373" i="1"/>
  <c r="AQ373" i="1"/>
  <c r="AS373" i="1"/>
  <c r="AY373" i="1"/>
  <c r="BE373" i="1"/>
  <c r="BK373" i="1"/>
  <c r="R374" i="1"/>
  <c r="S374" i="1"/>
  <c r="T374" i="1"/>
  <c r="U374" i="1"/>
  <c r="X374" i="1"/>
  <c r="Y374" i="1"/>
  <c r="Z374" i="1"/>
  <c r="AD374" i="1"/>
  <c r="AE374" i="1"/>
  <c r="R375" i="1"/>
  <c r="S375" i="1"/>
  <c r="T375" i="1"/>
  <c r="U375" i="1"/>
  <c r="X375" i="1"/>
  <c r="Y375" i="1"/>
  <c r="Z375" i="1"/>
  <c r="AA375" i="1"/>
  <c r="AB375" i="1"/>
  <c r="AC375" i="1"/>
  <c r="AD375" i="1"/>
  <c r="AE375" i="1"/>
  <c r="R376" i="1"/>
  <c r="S376" i="1"/>
  <c r="T376" i="1"/>
  <c r="U376" i="1"/>
  <c r="X376" i="1"/>
  <c r="Y376" i="1"/>
  <c r="Z376" i="1"/>
  <c r="AB376" i="1"/>
  <c r="AD376" i="1"/>
  <c r="AE376" i="1"/>
  <c r="AN376" i="1"/>
  <c r="AO376" i="1"/>
  <c r="AP376" i="1"/>
  <c r="AQ376" i="1"/>
  <c r="AS376" i="1"/>
  <c r="AZ376" i="1"/>
  <c r="BE376" i="1"/>
  <c r="BK376" i="1"/>
  <c r="EL376" i="1"/>
  <c r="EN376" i="1"/>
  <c r="EO376" i="1"/>
  <c r="ER376" i="1"/>
  <c r="R377" i="1"/>
  <c r="S377" i="1"/>
  <c r="T377" i="1"/>
  <c r="U377" i="1"/>
  <c r="V377" i="1"/>
  <c r="X377" i="1"/>
  <c r="Z377" i="1"/>
  <c r="AC377" i="1"/>
  <c r="AD377" i="1"/>
  <c r="AE377" i="1"/>
  <c r="AN377" i="1"/>
  <c r="AO377" i="1"/>
  <c r="AP377" i="1"/>
  <c r="AQ377" i="1"/>
  <c r="R378" i="1"/>
  <c r="S378" i="1"/>
  <c r="T378" i="1"/>
  <c r="U378" i="1"/>
  <c r="X378" i="1"/>
  <c r="Y378" i="1"/>
  <c r="Z378" i="1"/>
  <c r="AA378" i="1"/>
  <c r="AB378" i="1"/>
  <c r="AC378" i="1"/>
  <c r="AD378" i="1"/>
  <c r="AE378" i="1"/>
  <c r="R379" i="1"/>
  <c r="S379" i="1"/>
  <c r="T379" i="1"/>
  <c r="U379" i="1"/>
  <c r="X379" i="1"/>
  <c r="Z379" i="1"/>
  <c r="AA379" i="1"/>
  <c r="AB379" i="1"/>
  <c r="AD379" i="1"/>
  <c r="AE379" i="1"/>
  <c r="R380" i="1"/>
  <c r="S380" i="1"/>
  <c r="T380" i="1"/>
  <c r="U380" i="1"/>
  <c r="V380" i="1"/>
  <c r="X380" i="1"/>
  <c r="Z380" i="1"/>
  <c r="AD380" i="1"/>
  <c r="AE380" i="1"/>
  <c r="R381" i="1"/>
  <c r="S381" i="1"/>
  <c r="T381" i="1"/>
  <c r="U381" i="1"/>
  <c r="V381" i="1"/>
  <c r="X381" i="1"/>
  <c r="Y381" i="1"/>
  <c r="Z381" i="1"/>
  <c r="AA381" i="1"/>
  <c r="AB381" i="1"/>
  <c r="AC381" i="1"/>
  <c r="AD381" i="1"/>
  <c r="AE381" i="1"/>
  <c r="AN381" i="1"/>
  <c r="AO381" i="1"/>
  <c r="AP381" i="1"/>
  <c r="AQ381" i="1"/>
  <c r="R382" i="1"/>
  <c r="S382" i="1"/>
  <c r="T382" i="1"/>
  <c r="U382" i="1"/>
  <c r="V382" i="1"/>
  <c r="X382" i="1"/>
  <c r="Z382" i="1"/>
  <c r="AB382" i="1"/>
  <c r="AD382" i="1"/>
  <c r="AE382" i="1"/>
  <c r="AN382" i="1"/>
  <c r="AO382" i="1"/>
  <c r="AP382" i="1"/>
  <c r="AQ382" i="1"/>
  <c r="AR382" i="1"/>
  <c r="AS382" i="1"/>
  <c r="BA382" i="1"/>
  <c r="BE382" i="1"/>
  <c r="BF382" i="1"/>
  <c r="BK382" i="1"/>
  <c r="EO382" i="1"/>
  <c r="ER382" i="1"/>
  <c r="R383" i="1"/>
  <c r="S383" i="1"/>
  <c r="T383" i="1"/>
  <c r="U383" i="1"/>
  <c r="X383" i="1"/>
  <c r="Z383" i="1"/>
  <c r="AA383" i="1"/>
  <c r="AB383" i="1"/>
  <c r="AD383" i="1"/>
  <c r="AE383" i="1"/>
  <c r="R384" i="1"/>
  <c r="S384" i="1"/>
  <c r="T384" i="1"/>
  <c r="U384" i="1"/>
  <c r="V384" i="1"/>
  <c r="X384" i="1"/>
  <c r="Z384" i="1"/>
  <c r="AD384" i="1"/>
  <c r="AE384" i="1"/>
  <c r="R385" i="1"/>
  <c r="S385" i="1"/>
  <c r="T385" i="1"/>
  <c r="U385" i="1"/>
  <c r="X385" i="1"/>
  <c r="Y385" i="1"/>
  <c r="Z385" i="1"/>
  <c r="AD385" i="1"/>
  <c r="AE385" i="1"/>
  <c r="R386" i="1"/>
  <c r="S386" i="1"/>
  <c r="T386" i="1"/>
  <c r="U386" i="1"/>
  <c r="X386" i="1"/>
  <c r="Y386" i="1"/>
  <c r="Z386" i="1"/>
  <c r="AD386" i="1"/>
  <c r="AE386" i="1"/>
  <c r="AN386" i="1"/>
  <c r="AO386" i="1"/>
  <c r="AQ386" i="1"/>
  <c r="AR386" i="1"/>
  <c r="AS386" i="1"/>
  <c r="AY386" i="1"/>
  <c r="BE386" i="1"/>
  <c r="BK386" i="1"/>
  <c r="R387" i="1"/>
  <c r="S387" i="1"/>
  <c r="T387" i="1"/>
  <c r="U387" i="1"/>
  <c r="X387" i="1"/>
  <c r="Z387" i="1"/>
  <c r="AA387" i="1"/>
  <c r="AD387" i="1"/>
  <c r="AE387" i="1"/>
  <c r="AN387" i="1"/>
  <c r="AO387" i="1"/>
  <c r="AP387" i="1"/>
  <c r="AQ387" i="1"/>
  <c r="AS387" i="1"/>
  <c r="BE387" i="1"/>
  <c r="BH387" i="1"/>
  <c r="BK387" i="1"/>
  <c r="R388" i="1"/>
  <c r="S388" i="1"/>
  <c r="T388" i="1"/>
  <c r="U388" i="1"/>
  <c r="X388" i="1"/>
  <c r="Z388" i="1"/>
  <c r="AD388" i="1"/>
  <c r="AE388" i="1"/>
  <c r="R389" i="1"/>
  <c r="S389" i="1"/>
  <c r="T389" i="1"/>
  <c r="U389" i="1"/>
  <c r="V389" i="1"/>
  <c r="X389" i="1"/>
  <c r="Y389" i="1"/>
  <c r="Z389" i="1"/>
  <c r="AA389" i="1"/>
  <c r="AB389" i="1"/>
  <c r="AC389" i="1"/>
  <c r="AD389" i="1"/>
  <c r="AE389" i="1"/>
  <c r="R390" i="1"/>
  <c r="S390" i="1"/>
  <c r="T390" i="1"/>
  <c r="U390" i="1"/>
  <c r="X390" i="1"/>
  <c r="Y390" i="1"/>
  <c r="Z390" i="1"/>
  <c r="AD390" i="1"/>
  <c r="AE390" i="1"/>
  <c r="AI390" i="1"/>
  <c r="AM390" i="1"/>
  <c r="AN390" i="1"/>
  <c r="AO390" i="1"/>
  <c r="AP390" i="1"/>
  <c r="AQ390" i="1"/>
  <c r="AS390" i="1"/>
  <c r="BA390" i="1"/>
  <c r="BE390" i="1"/>
  <c r="BK390" i="1"/>
  <c r="EL390" i="1"/>
  <c r="EN390" i="1"/>
  <c r="EO390" i="1"/>
  <c r="ER390" i="1"/>
  <c r="R391" i="1"/>
  <c r="S391" i="1"/>
  <c r="T391" i="1"/>
  <c r="U391" i="1"/>
  <c r="V391" i="1"/>
  <c r="X391" i="1"/>
  <c r="Z391" i="1"/>
  <c r="AD391" i="1"/>
  <c r="AE391" i="1"/>
  <c r="R392" i="1"/>
  <c r="S392" i="1"/>
  <c r="T392" i="1"/>
  <c r="U392" i="1"/>
  <c r="V392" i="1"/>
  <c r="X392" i="1"/>
  <c r="Y392" i="1"/>
  <c r="Z392" i="1"/>
  <c r="AD392" i="1"/>
  <c r="AE392" i="1"/>
  <c r="R393" i="1"/>
  <c r="S393" i="1"/>
  <c r="T393" i="1"/>
  <c r="U393" i="1"/>
  <c r="X393" i="1"/>
  <c r="Y393" i="1"/>
  <c r="Z393" i="1"/>
  <c r="AD393" i="1"/>
  <c r="AE393" i="1"/>
  <c r="CF393" i="1"/>
  <c r="CR393" i="1"/>
  <c r="R394" i="1"/>
  <c r="S394" i="1"/>
  <c r="T394" i="1"/>
  <c r="U394" i="1"/>
  <c r="X394" i="1"/>
  <c r="Y394" i="1"/>
  <c r="Z394" i="1"/>
  <c r="AA394" i="1"/>
  <c r="AB394" i="1"/>
  <c r="AC394" i="1"/>
  <c r="AD394" i="1"/>
  <c r="AE394" i="1"/>
  <c r="R395" i="1"/>
  <c r="S395" i="1"/>
  <c r="T395" i="1"/>
  <c r="U395" i="1"/>
  <c r="V395" i="1"/>
  <c r="X395" i="1"/>
  <c r="Y395" i="1"/>
  <c r="Z395" i="1"/>
  <c r="AA395" i="1"/>
  <c r="AB395" i="1"/>
  <c r="AC395" i="1"/>
  <c r="AD395" i="1"/>
  <c r="AE395" i="1"/>
  <c r="R396" i="1"/>
  <c r="S396" i="1"/>
  <c r="T396" i="1"/>
  <c r="U396" i="1"/>
  <c r="V396" i="1"/>
  <c r="X396" i="1"/>
  <c r="Z396" i="1"/>
  <c r="AD396" i="1"/>
  <c r="AE396" i="1"/>
  <c r="AN396" i="1"/>
  <c r="AO396" i="1"/>
  <c r="AP396" i="1"/>
  <c r="AQ396" i="1"/>
  <c r="AS396" i="1"/>
  <c r="BE396" i="1"/>
  <c r="BK396" i="1"/>
  <c r="EL396" i="1"/>
  <c r="EM396" i="1"/>
  <c r="EN396" i="1"/>
  <c r="EO396" i="1"/>
  <c r="ER396" i="1"/>
  <c r="R397" i="1"/>
  <c r="S397" i="1"/>
  <c r="T397" i="1"/>
  <c r="U397" i="1"/>
  <c r="X397" i="1"/>
  <c r="Y397" i="1"/>
  <c r="Z397" i="1"/>
  <c r="AC397" i="1"/>
  <c r="AD397" i="1"/>
  <c r="AE397" i="1"/>
  <c r="R398" i="1"/>
  <c r="S398" i="1"/>
  <c r="T398" i="1"/>
  <c r="U398" i="1"/>
  <c r="X398" i="1"/>
  <c r="Z398" i="1"/>
  <c r="AA398" i="1"/>
  <c r="AB398" i="1"/>
  <c r="AD398" i="1"/>
  <c r="AE398" i="1"/>
  <c r="AN398" i="1"/>
  <c r="AO398" i="1"/>
  <c r="AP398" i="1"/>
  <c r="AS398" i="1"/>
  <c r="R399" i="1"/>
  <c r="S399" i="1"/>
  <c r="T399" i="1"/>
  <c r="U399" i="1"/>
  <c r="X399" i="1"/>
  <c r="Y399" i="1"/>
  <c r="Z399" i="1"/>
  <c r="AD399" i="1"/>
  <c r="AE399" i="1"/>
  <c r="AN399" i="1"/>
  <c r="AO399" i="1"/>
  <c r="AP399" i="1"/>
  <c r="AQ399" i="1"/>
  <c r="AR399" i="1"/>
  <c r="AS399" i="1"/>
  <c r="BA399" i="1"/>
  <c r="BD399" i="1"/>
  <c r="BE399" i="1"/>
  <c r="BH399" i="1"/>
  <c r="BK399" i="1"/>
  <c r="R400" i="1"/>
  <c r="S400" i="1"/>
  <c r="T400" i="1"/>
  <c r="U400" i="1"/>
  <c r="V400" i="1"/>
  <c r="X400" i="1"/>
  <c r="Y400" i="1"/>
  <c r="Z400" i="1"/>
  <c r="AC400" i="1"/>
  <c r="AD400" i="1"/>
  <c r="AE400" i="1"/>
  <c r="R401" i="1"/>
  <c r="S401" i="1"/>
  <c r="T401" i="1"/>
  <c r="U401" i="1"/>
  <c r="X401" i="1"/>
  <c r="Y401" i="1"/>
  <c r="Z401" i="1"/>
  <c r="AA401" i="1"/>
  <c r="AB401" i="1"/>
  <c r="AD401" i="1"/>
  <c r="AE401" i="1"/>
  <c r="R402" i="1"/>
  <c r="S402" i="1"/>
  <c r="T402" i="1"/>
  <c r="U402" i="1"/>
  <c r="V402" i="1"/>
  <c r="X402" i="1"/>
  <c r="Y402" i="1"/>
  <c r="Z402" i="1"/>
  <c r="AA402" i="1"/>
  <c r="AB402" i="1"/>
  <c r="AC402" i="1"/>
  <c r="AD402" i="1"/>
  <c r="AE402" i="1"/>
  <c r="R403" i="1"/>
  <c r="S403" i="1"/>
  <c r="T403" i="1"/>
  <c r="U403" i="1"/>
  <c r="V403" i="1"/>
  <c r="X403" i="1"/>
  <c r="Y403" i="1"/>
  <c r="Z403" i="1"/>
  <c r="AC403" i="1"/>
  <c r="AD403" i="1"/>
  <c r="AE403" i="1"/>
  <c r="R404" i="1"/>
  <c r="S404" i="1"/>
  <c r="T404" i="1"/>
  <c r="U404" i="1"/>
  <c r="V404" i="1"/>
  <c r="X404" i="1"/>
  <c r="Z404" i="1"/>
  <c r="AD404" i="1"/>
  <c r="AE404" i="1"/>
  <c r="R405" i="1"/>
  <c r="S405" i="1"/>
  <c r="T405" i="1"/>
  <c r="U405" i="1"/>
  <c r="X405" i="1"/>
  <c r="Y405" i="1"/>
  <c r="Z405" i="1"/>
  <c r="AD405" i="1"/>
  <c r="AE405" i="1"/>
  <c r="R406" i="1"/>
  <c r="S406" i="1"/>
  <c r="T406" i="1"/>
  <c r="U406" i="1"/>
  <c r="V406" i="1"/>
  <c r="X406" i="1"/>
  <c r="Z406" i="1"/>
  <c r="AB406" i="1"/>
  <c r="AC406" i="1"/>
  <c r="AD406" i="1"/>
  <c r="AE406" i="1"/>
  <c r="R407" i="1"/>
  <c r="S407" i="1"/>
  <c r="T407" i="1"/>
  <c r="U407" i="1"/>
  <c r="X407" i="1"/>
  <c r="Z407" i="1"/>
  <c r="AA407" i="1"/>
  <c r="AD407" i="1"/>
  <c r="AE407" i="1"/>
  <c r="BI407" i="1"/>
  <c r="R408" i="1"/>
  <c r="S408" i="1"/>
  <c r="T408" i="1"/>
  <c r="U408" i="1"/>
  <c r="X408" i="1"/>
  <c r="Z408" i="1"/>
  <c r="AA408" i="1"/>
  <c r="AB408" i="1"/>
  <c r="AD408" i="1"/>
  <c r="AE408" i="1"/>
  <c r="R409" i="1"/>
  <c r="S409" i="1"/>
  <c r="T409" i="1"/>
  <c r="U409" i="1"/>
  <c r="X409" i="1"/>
  <c r="Y409" i="1"/>
  <c r="Z409" i="1"/>
  <c r="AD409" i="1"/>
  <c r="AE409" i="1"/>
  <c r="AI409" i="1"/>
  <c r="AN409" i="1"/>
  <c r="AO409" i="1"/>
  <c r="AP409" i="1"/>
  <c r="AQ409" i="1"/>
  <c r="AS409" i="1"/>
  <c r="AY409" i="1"/>
  <c r="BA409" i="1"/>
  <c r="BE409" i="1"/>
  <c r="BK409" i="1"/>
  <c r="EL409" i="1"/>
  <c r="EM409" i="1"/>
  <c r="EN409" i="1"/>
  <c r="EO409" i="1"/>
  <c r="ER409" i="1"/>
  <c r="R410" i="1"/>
  <c r="S410" i="1"/>
  <c r="T410" i="1"/>
  <c r="U410" i="1"/>
  <c r="X410" i="1"/>
  <c r="Z410" i="1"/>
  <c r="AA410" i="1"/>
  <c r="AB410" i="1"/>
  <c r="AD410" i="1"/>
  <c r="AE410" i="1"/>
  <c r="AN410" i="1"/>
  <c r="AO410" i="1"/>
  <c r="AP410" i="1"/>
  <c r="AQ410" i="1"/>
  <c r="AS410" i="1"/>
  <c r="BA410" i="1"/>
  <c r="R411" i="1"/>
  <c r="S411" i="1"/>
  <c r="T411" i="1"/>
  <c r="U411" i="1"/>
  <c r="W411" i="1"/>
  <c r="X411" i="1"/>
  <c r="Z411" i="1"/>
  <c r="AD411" i="1"/>
  <c r="AE411" i="1"/>
  <c r="R412" i="1"/>
  <c r="S412" i="1"/>
  <c r="T412" i="1"/>
  <c r="U412" i="1"/>
  <c r="V412" i="1"/>
  <c r="X412" i="1"/>
  <c r="Y412" i="1"/>
  <c r="Z412" i="1"/>
  <c r="AB412" i="1"/>
  <c r="AD412" i="1"/>
  <c r="AE412" i="1"/>
  <c r="AI412" i="1"/>
  <c r="AN412" i="1"/>
  <c r="AO412" i="1"/>
  <c r="AP412" i="1"/>
  <c r="AQ412" i="1"/>
  <c r="AS412" i="1"/>
  <c r="AY412" i="1"/>
  <c r="BA412" i="1"/>
  <c r="BB412" i="1"/>
  <c r="BE412" i="1"/>
  <c r="EL412" i="1"/>
  <c r="EN412" i="1"/>
  <c r="EO412" i="1"/>
  <c r="ER412" i="1"/>
  <c r="R413" i="1"/>
  <c r="S413" i="1"/>
  <c r="T413" i="1"/>
  <c r="U413" i="1"/>
  <c r="X413" i="1"/>
  <c r="Z413" i="1"/>
  <c r="AD413" i="1"/>
  <c r="AE413" i="1"/>
  <c r="AN413" i="1"/>
  <c r="AO413" i="1"/>
  <c r="AP413" i="1"/>
  <c r="AQ413" i="1"/>
  <c r="AS413" i="1"/>
  <c r="BA413" i="1"/>
  <c r="BD413" i="1"/>
  <c r="BE413" i="1"/>
  <c r="BK413" i="1"/>
  <c r="R414" i="1"/>
  <c r="S414" i="1"/>
  <c r="T414" i="1"/>
  <c r="U414" i="1"/>
  <c r="V414" i="1"/>
  <c r="X414" i="1"/>
  <c r="Z414" i="1"/>
  <c r="AA414" i="1"/>
  <c r="AB414" i="1"/>
  <c r="AD414" i="1"/>
  <c r="AE414" i="1"/>
  <c r="R415" i="1"/>
  <c r="S415" i="1"/>
  <c r="T415" i="1"/>
  <c r="U415" i="1"/>
  <c r="V415" i="1"/>
  <c r="X415" i="1"/>
  <c r="Z415" i="1"/>
  <c r="AD415" i="1"/>
  <c r="AE415" i="1"/>
  <c r="R416" i="1"/>
  <c r="S416" i="1"/>
  <c r="T416" i="1"/>
  <c r="U416" i="1"/>
  <c r="X416" i="1"/>
  <c r="Z416" i="1"/>
  <c r="AA416" i="1"/>
  <c r="AB416" i="1"/>
  <c r="AC416" i="1"/>
  <c r="AD416" i="1"/>
  <c r="AE416" i="1"/>
  <c r="AN416" i="1"/>
  <c r="AO416" i="1"/>
  <c r="AP416" i="1"/>
  <c r="AS416" i="1"/>
  <c r="R417" i="1"/>
  <c r="S417" i="1"/>
  <c r="T417" i="1"/>
  <c r="U417" i="1"/>
  <c r="X417" i="1"/>
  <c r="Y417" i="1"/>
  <c r="Z417" i="1"/>
  <c r="AC417" i="1"/>
  <c r="AD417" i="1"/>
  <c r="AE417" i="1"/>
  <c r="R418" i="1"/>
  <c r="S418" i="1"/>
  <c r="T418" i="1"/>
  <c r="U418" i="1"/>
  <c r="X418" i="1"/>
  <c r="Z418" i="1"/>
  <c r="AA418" i="1"/>
  <c r="AD418" i="1"/>
  <c r="AE418" i="1"/>
  <c r="R419" i="1"/>
  <c r="S419" i="1"/>
  <c r="T419" i="1"/>
  <c r="U419" i="1"/>
  <c r="X419" i="1"/>
  <c r="Z419" i="1"/>
  <c r="AA419" i="1"/>
  <c r="AB419" i="1"/>
  <c r="AD419" i="1"/>
  <c r="AE419" i="1"/>
  <c r="R420" i="1"/>
  <c r="S420" i="1"/>
  <c r="T420" i="1"/>
  <c r="U420" i="1"/>
  <c r="X420" i="1"/>
  <c r="Z420" i="1"/>
  <c r="AA420" i="1"/>
  <c r="AB420" i="1"/>
  <c r="AC420" i="1"/>
  <c r="AD420" i="1"/>
  <c r="AE420" i="1"/>
  <c r="R421" i="1"/>
  <c r="S421" i="1"/>
  <c r="T421" i="1"/>
  <c r="U421" i="1"/>
  <c r="X421" i="1"/>
  <c r="Y421" i="1"/>
  <c r="Z421" i="1"/>
  <c r="AA421" i="1"/>
  <c r="AB421" i="1"/>
  <c r="AC421" i="1"/>
  <c r="AD421" i="1"/>
  <c r="AE421" i="1"/>
  <c r="R422" i="1"/>
  <c r="S422" i="1"/>
  <c r="T422" i="1"/>
  <c r="U422" i="1"/>
  <c r="V422" i="1"/>
  <c r="X422" i="1"/>
  <c r="Z422" i="1"/>
  <c r="AD422" i="1"/>
  <c r="AE422" i="1"/>
  <c r="R423" i="1"/>
  <c r="S423" i="1"/>
  <c r="T423" i="1"/>
  <c r="U423" i="1"/>
  <c r="X423" i="1"/>
  <c r="Y423" i="1"/>
  <c r="Z423" i="1"/>
  <c r="AA423" i="1"/>
  <c r="AD423" i="1"/>
  <c r="AE423" i="1"/>
  <c r="R424" i="1"/>
  <c r="S424" i="1"/>
  <c r="T424" i="1"/>
  <c r="U424" i="1"/>
  <c r="X424" i="1"/>
  <c r="Z424" i="1"/>
  <c r="AA424" i="1"/>
  <c r="AB424" i="1"/>
  <c r="AD424" i="1"/>
  <c r="AE424" i="1"/>
  <c r="R425" i="1"/>
  <c r="S425" i="1"/>
  <c r="T425" i="1"/>
  <c r="U425" i="1"/>
  <c r="X425" i="1"/>
  <c r="Z425" i="1"/>
  <c r="AA425" i="1"/>
  <c r="AB425" i="1"/>
  <c r="AD425" i="1"/>
  <c r="AE425" i="1"/>
  <c r="R426" i="1"/>
  <c r="S426" i="1"/>
  <c r="T426" i="1"/>
  <c r="U426" i="1"/>
  <c r="V426" i="1"/>
  <c r="X426" i="1"/>
  <c r="Z426" i="1"/>
  <c r="AC426" i="1"/>
  <c r="AD426" i="1"/>
  <c r="AE426" i="1"/>
  <c r="R427" i="1"/>
  <c r="S427" i="1"/>
  <c r="T427" i="1"/>
  <c r="U427" i="1"/>
  <c r="X427" i="1"/>
  <c r="Z427" i="1"/>
  <c r="AC427" i="1"/>
  <c r="AD427" i="1"/>
  <c r="AE427" i="1"/>
  <c r="AI427" i="1"/>
  <c r="AN427" i="1"/>
  <c r="AO427" i="1"/>
  <c r="AP427" i="1"/>
  <c r="AQ427" i="1"/>
  <c r="AS427" i="1"/>
  <c r="BA427" i="1"/>
  <c r="BB427" i="1"/>
  <c r="BD427" i="1"/>
  <c r="BE427" i="1"/>
  <c r="BK427" i="1"/>
  <c r="EL427" i="1"/>
  <c r="EN427" i="1"/>
  <c r="ER427" i="1"/>
  <c r="R428" i="1"/>
  <c r="S428" i="1"/>
  <c r="T428" i="1"/>
  <c r="U428" i="1"/>
  <c r="X428" i="1"/>
  <c r="Y428" i="1"/>
  <c r="Z428" i="1"/>
  <c r="AC428" i="1"/>
  <c r="AD428" i="1"/>
  <c r="AE428" i="1"/>
  <c r="R429" i="1"/>
  <c r="S429" i="1"/>
  <c r="T429" i="1"/>
  <c r="U429" i="1"/>
  <c r="X429" i="1"/>
  <c r="Y429" i="1"/>
  <c r="Z429" i="1"/>
  <c r="AC429" i="1"/>
  <c r="AD429" i="1"/>
  <c r="AE429" i="1"/>
  <c r="BI429" i="1"/>
  <c r="R430" i="1"/>
  <c r="S430" i="1"/>
  <c r="T430" i="1"/>
  <c r="U430" i="1"/>
  <c r="X430" i="1"/>
  <c r="Z430" i="1"/>
  <c r="AC430" i="1"/>
  <c r="AD430" i="1"/>
  <c r="AE430" i="1"/>
  <c r="AN430" i="1"/>
  <c r="AO430" i="1"/>
  <c r="AP430" i="1"/>
  <c r="AQ430" i="1"/>
  <c r="AS430" i="1"/>
  <c r="BE430" i="1"/>
  <c r="BH430" i="1"/>
  <c r="BK430" i="1"/>
  <c r="CF430" i="1"/>
  <c r="CR430" i="1"/>
  <c r="R431" i="1"/>
  <c r="S431" i="1"/>
  <c r="T431" i="1"/>
  <c r="U431" i="1"/>
  <c r="X431" i="1"/>
  <c r="Z431" i="1"/>
  <c r="AD431" i="1"/>
  <c r="AE431" i="1"/>
  <c r="R432" i="1"/>
  <c r="S432" i="1"/>
  <c r="T432" i="1"/>
  <c r="U432" i="1"/>
  <c r="X432" i="1"/>
  <c r="Y432" i="1"/>
  <c r="Z432" i="1"/>
  <c r="AD432" i="1"/>
  <c r="AE432" i="1"/>
  <c r="R433" i="1"/>
  <c r="S433" i="1"/>
  <c r="T433" i="1"/>
  <c r="U433" i="1"/>
  <c r="V433" i="1"/>
  <c r="X433" i="1"/>
  <c r="Z433" i="1"/>
  <c r="AC433" i="1"/>
  <c r="AD433" i="1"/>
  <c r="AE433" i="1"/>
  <c r="R434" i="1"/>
  <c r="S434" i="1"/>
  <c r="T434" i="1"/>
  <c r="U434" i="1"/>
  <c r="X434" i="1"/>
  <c r="Z434" i="1"/>
  <c r="AD434" i="1"/>
  <c r="AE434" i="1"/>
  <c r="R435" i="1"/>
  <c r="S435" i="1"/>
  <c r="T435" i="1"/>
  <c r="U435" i="1"/>
  <c r="X435" i="1"/>
  <c r="Y435" i="1"/>
  <c r="Z435" i="1"/>
  <c r="AD435" i="1"/>
  <c r="AE435" i="1"/>
  <c r="R436" i="1"/>
  <c r="S436" i="1"/>
  <c r="T436" i="1"/>
  <c r="U436" i="1"/>
  <c r="X436" i="1"/>
  <c r="Z436" i="1"/>
  <c r="AA436" i="1"/>
  <c r="AD436" i="1"/>
  <c r="AE436" i="1"/>
  <c r="AN436" i="1"/>
  <c r="AO436" i="1"/>
  <c r="AP436" i="1"/>
  <c r="AQ436" i="1"/>
  <c r="AS436" i="1"/>
  <c r="BE436" i="1"/>
  <c r="BH436" i="1"/>
  <c r="BK436" i="1"/>
  <c r="R437" i="1"/>
  <c r="S437" i="1"/>
  <c r="T437" i="1"/>
  <c r="U437" i="1"/>
  <c r="X437" i="1"/>
  <c r="Y437" i="1"/>
  <c r="Z437" i="1"/>
  <c r="AD437" i="1"/>
  <c r="AE437" i="1"/>
  <c r="BI437" i="1"/>
  <c r="CF437" i="1"/>
  <c r="R438" i="1"/>
  <c r="S438" i="1"/>
  <c r="T438" i="1"/>
  <c r="U438" i="1"/>
  <c r="X438" i="1"/>
  <c r="Y438" i="1"/>
  <c r="Z438" i="1"/>
  <c r="AD438" i="1"/>
  <c r="AE438" i="1"/>
  <c r="BI438" i="1"/>
  <c r="R439" i="1"/>
  <c r="S439" i="1"/>
  <c r="T439" i="1"/>
  <c r="U439" i="1"/>
  <c r="X439" i="1"/>
  <c r="Y439" i="1"/>
  <c r="Z439" i="1"/>
  <c r="AD439" i="1"/>
  <c r="AE439" i="1"/>
  <c r="R440" i="1"/>
  <c r="S440" i="1"/>
  <c r="T440" i="1"/>
  <c r="U440" i="1"/>
  <c r="V440" i="1"/>
  <c r="X440" i="1"/>
  <c r="Z440" i="1"/>
  <c r="AC440" i="1"/>
  <c r="AD440" i="1"/>
  <c r="AE440" i="1"/>
  <c r="R441" i="1"/>
  <c r="S441" i="1"/>
  <c r="T441" i="1"/>
  <c r="U441" i="1"/>
  <c r="X441" i="1"/>
  <c r="Z441" i="1"/>
  <c r="AC441" i="1"/>
  <c r="AD441" i="1"/>
  <c r="AE441" i="1"/>
  <c r="R442" i="1"/>
  <c r="S442" i="1"/>
  <c r="T442" i="1"/>
  <c r="U442" i="1"/>
  <c r="V442" i="1"/>
  <c r="X442" i="1"/>
  <c r="Z442" i="1"/>
  <c r="AC442" i="1"/>
  <c r="AD442" i="1"/>
  <c r="AE442" i="1"/>
  <c r="R443" i="1"/>
  <c r="S443" i="1"/>
  <c r="T443" i="1"/>
  <c r="U443" i="1"/>
  <c r="V443" i="1"/>
  <c r="X443" i="1"/>
  <c r="Z443" i="1"/>
  <c r="AD443" i="1"/>
  <c r="AE443" i="1"/>
  <c r="R444" i="1"/>
  <c r="S444" i="1"/>
  <c r="T444" i="1"/>
  <c r="U444" i="1"/>
  <c r="V444" i="1"/>
  <c r="X444" i="1"/>
  <c r="Y444" i="1"/>
  <c r="Z444" i="1"/>
  <c r="AC444" i="1"/>
  <c r="AD444" i="1"/>
  <c r="AE444" i="1"/>
  <c r="R445" i="1"/>
  <c r="S445" i="1"/>
  <c r="T445" i="1"/>
  <c r="U445" i="1"/>
  <c r="V445" i="1"/>
  <c r="X445" i="1"/>
  <c r="Z445" i="1"/>
  <c r="AC445" i="1"/>
  <c r="AD445" i="1"/>
  <c r="AE445" i="1"/>
  <c r="R446" i="1"/>
  <c r="S446" i="1"/>
  <c r="T446" i="1"/>
  <c r="U446" i="1"/>
  <c r="W446" i="1"/>
  <c r="X446" i="1"/>
  <c r="Z446" i="1"/>
  <c r="AC446" i="1"/>
  <c r="AD446" i="1"/>
  <c r="AE446" i="1"/>
  <c r="R447" i="1"/>
  <c r="S447" i="1"/>
  <c r="T447" i="1"/>
  <c r="U447" i="1"/>
  <c r="V447" i="1"/>
  <c r="X447" i="1"/>
  <c r="Y447" i="1"/>
  <c r="Z447" i="1"/>
  <c r="AA447" i="1"/>
  <c r="AB447" i="1"/>
  <c r="AC447" i="1"/>
  <c r="AD447" i="1"/>
  <c r="AE447" i="1"/>
  <c r="R448" i="1"/>
  <c r="S448" i="1"/>
  <c r="T448" i="1"/>
  <c r="U448" i="1"/>
  <c r="V448" i="1"/>
  <c r="X448" i="1"/>
  <c r="Y448" i="1"/>
  <c r="Z448" i="1"/>
  <c r="AA448" i="1"/>
  <c r="AB448" i="1"/>
  <c r="AC448" i="1"/>
  <c r="AD448" i="1"/>
  <c r="AE448" i="1"/>
  <c r="BI448" i="1"/>
  <c r="R449" i="1"/>
  <c r="S449" i="1"/>
  <c r="T449" i="1"/>
  <c r="U449" i="1"/>
  <c r="X449" i="1"/>
  <c r="Y449" i="1"/>
  <c r="Z449" i="1"/>
  <c r="AA449" i="1"/>
  <c r="AB449" i="1"/>
  <c r="AC449" i="1"/>
  <c r="AD449" i="1"/>
  <c r="AE449" i="1"/>
  <c r="BI449" i="1"/>
  <c r="R450" i="1"/>
  <c r="S450" i="1"/>
  <c r="T450" i="1"/>
  <c r="U450" i="1"/>
  <c r="X450" i="1"/>
  <c r="Y450" i="1"/>
  <c r="Z450" i="1"/>
  <c r="AA450" i="1"/>
  <c r="AB450" i="1"/>
  <c r="AC450" i="1"/>
  <c r="AD450" i="1"/>
  <c r="AE450" i="1"/>
  <c r="BI450" i="1"/>
  <c r="R451" i="1"/>
  <c r="S451" i="1"/>
  <c r="T451" i="1"/>
  <c r="U451" i="1"/>
  <c r="V451" i="1"/>
  <c r="X451" i="1"/>
  <c r="Y451" i="1"/>
  <c r="Z451" i="1"/>
  <c r="AA451" i="1"/>
  <c r="AB451" i="1"/>
  <c r="AC451" i="1"/>
  <c r="AD451" i="1"/>
  <c r="AE451" i="1"/>
  <c r="BI451" i="1"/>
  <c r="R452" i="1"/>
  <c r="S452" i="1"/>
  <c r="T452" i="1"/>
  <c r="U452" i="1"/>
  <c r="V452" i="1"/>
  <c r="X452" i="1"/>
  <c r="Y452" i="1"/>
  <c r="Z452" i="1"/>
  <c r="AA452" i="1"/>
  <c r="AB452" i="1"/>
  <c r="AC452" i="1"/>
  <c r="AD452" i="1"/>
  <c r="AE452" i="1"/>
  <c r="R453" i="1"/>
  <c r="S453" i="1"/>
  <c r="T453" i="1"/>
  <c r="U453" i="1"/>
  <c r="X453" i="1"/>
  <c r="Y453" i="1"/>
  <c r="Z453" i="1"/>
  <c r="AA453" i="1"/>
  <c r="AB453" i="1"/>
  <c r="AC453" i="1"/>
  <c r="AD453" i="1"/>
  <c r="AE453" i="1"/>
  <c r="R454" i="1"/>
  <c r="S454" i="1"/>
  <c r="T454" i="1"/>
  <c r="U454" i="1"/>
  <c r="V454" i="1"/>
  <c r="X454" i="1"/>
  <c r="Y454" i="1"/>
  <c r="Z454" i="1"/>
  <c r="AA454" i="1"/>
  <c r="AB454" i="1"/>
  <c r="AC454" i="1"/>
  <c r="AD454" i="1"/>
  <c r="AE454" i="1"/>
  <c r="BI454" i="1"/>
  <c r="R455" i="1"/>
  <c r="S455" i="1"/>
  <c r="T455" i="1"/>
  <c r="U455" i="1"/>
  <c r="X455" i="1"/>
  <c r="Y455" i="1"/>
  <c r="Z455" i="1"/>
  <c r="AA455" i="1"/>
  <c r="AB455" i="1"/>
  <c r="AC455" i="1"/>
  <c r="AD455" i="1"/>
  <c r="AE455" i="1"/>
  <c r="R456" i="1"/>
  <c r="S456" i="1"/>
  <c r="T456" i="1"/>
  <c r="U456" i="1"/>
  <c r="X456" i="1"/>
  <c r="Y456" i="1"/>
  <c r="Z456" i="1"/>
  <c r="AA456" i="1"/>
  <c r="AB456" i="1"/>
  <c r="AC456" i="1"/>
  <c r="AD456" i="1"/>
  <c r="AE456" i="1"/>
  <c r="BI456" i="1"/>
  <c r="R457" i="1"/>
  <c r="S457" i="1"/>
  <c r="T457" i="1"/>
  <c r="U457" i="1"/>
  <c r="V457" i="1"/>
  <c r="X457" i="1"/>
  <c r="Z457" i="1"/>
  <c r="AD457" i="1"/>
  <c r="AE457" i="1"/>
  <c r="BI457" i="1"/>
  <c r="R458" i="1"/>
  <c r="S458" i="1"/>
  <c r="T458" i="1"/>
  <c r="U458" i="1"/>
  <c r="V458" i="1"/>
  <c r="X458" i="1"/>
  <c r="Y458" i="1"/>
  <c r="Z458" i="1"/>
  <c r="AD458" i="1"/>
  <c r="AE458" i="1"/>
  <c r="R459" i="1"/>
  <c r="S459" i="1"/>
  <c r="T459" i="1"/>
  <c r="U459" i="1"/>
  <c r="V459" i="1"/>
  <c r="X459" i="1"/>
  <c r="Y459" i="1"/>
  <c r="Z459" i="1"/>
  <c r="AC459" i="1"/>
  <c r="AD459" i="1"/>
  <c r="AE459" i="1"/>
  <c r="R460" i="1"/>
  <c r="S460" i="1"/>
  <c r="T460" i="1"/>
  <c r="U460" i="1"/>
  <c r="X460" i="1"/>
  <c r="Y460" i="1"/>
  <c r="AB460" i="1"/>
  <c r="AC460" i="1"/>
  <c r="AD460" i="1"/>
  <c r="R461" i="1"/>
  <c r="S461" i="1"/>
  <c r="T461" i="1"/>
  <c r="U461" i="1"/>
  <c r="X461" i="1"/>
  <c r="Y461" i="1"/>
  <c r="Z461" i="1"/>
  <c r="AD461" i="1"/>
  <c r="AE461" i="1"/>
  <c r="R462" i="1"/>
  <c r="S462" i="1"/>
  <c r="T462" i="1"/>
  <c r="U462" i="1"/>
  <c r="X462" i="1"/>
  <c r="Z462" i="1"/>
  <c r="AD462" i="1"/>
  <c r="AE462" i="1"/>
  <c r="R463" i="1"/>
  <c r="S463" i="1"/>
  <c r="T463" i="1"/>
  <c r="U463" i="1"/>
  <c r="V463" i="1"/>
  <c r="X463" i="1"/>
  <c r="Z463" i="1"/>
  <c r="AD463" i="1"/>
  <c r="AE463" i="1"/>
  <c r="R464" i="1"/>
  <c r="S464" i="1"/>
  <c r="T464" i="1"/>
  <c r="U464" i="1"/>
  <c r="X464" i="1"/>
  <c r="Y464" i="1"/>
  <c r="Z464" i="1"/>
  <c r="AA464" i="1"/>
  <c r="AB464" i="1"/>
  <c r="AC464" i="1"/>
  <c r="AD464" i="1"/>
  <c r="AE464" i="1"/>
  <c r="AH464" i="1"/>
  <c r="BI464" i="1"/>
  <c r="R465" i="1"/>
  <c r="S465" i="1"/>
  <c r="T465" i="1"/>
  <c r="U465" i="1"/>
  <c r="X465" i="1"/>
  <c r="Y465" i="1"/>
  <c r="Z465" i="1"/>
  <c r="AA465" i="1"/>
  <c r="AB465" i="1"/>
  <c r="AC465" i="1"/>
  <c r="AD465" i="1"/>
  <c r="AE465" i="1"/>
  <c r="R466" i="1"/>
  <c r="S466" i="1"/>
  <c r="T466" i="1"/>
  <c r="U466" i="1"/>
  <c r="V466" i="1"/>
  <c r="X466" i="1"/>
  <c r="Y466" i="1"/>
  <c r="Z466" i="1"/>
  <c r="AA466" i="1"/>
  <c r="AB466" i="1"/>
  <c r="AC466" i="1"/>
  <c r="AD466" i="1"/>
  <c r="AE466" i="1"/>
  <c r="AI466" i="1"/>
  <c r="AN466" i="1"/>
  <c r="AO466" i="1"/>
  <c r="AP466" i="1"/>
  <c r="AQ466" i="1"/>
  <c r="R467" i="1"/>
  <c r="S467" i="1"/>
  <c r="T467" i="1"/>
  <c r="U467" i="1"/>
  <c r="X467" i="1"/>
  <c r="Y467" i="1"/>
  <c r="Z467" i="1"/>
  <c r="AD467" i="1"/>
  <c r="AE467" i="1"/>
  <c r="R468" i="1"/>
  <c r="S468" i="1"/>
  <c r="T468" i="1"/>
  <c r="U468" i="1"/>
  <c r="X468" i="1"/>
  <c r="Y468" i="1"/>
  <c r="Z468" i="1"/>
  <c r="AC468" i="1"/>
  <c r="AD468" i="1"/>
  <c r="AE468" i="1"/>
  <c r="AN468" i="1"/>
  <c r="AO468" i="1"/>
  <c r="AP468" i="1"/>
  <c r="AQ468" i="1"/>
  <c r="AS468" i="1"/>
  <c r="BA468" i="1"/>
  <c r="BB468" i="1"/>
  <c r="BD468" i="1"/>
  <c r="BE468" i="1"/>
  <c r="BK468" i="1"/>
  <c r="EL468" i="1"/>
  <c r="EN468" i="1"/>
  <c r="EO468" i="1"/>
  <c r="ER468" i="1"/>
  <c r="R469" i="1"/>
  <c r="S469" i="1"/>
  <c r="T469" i="1"/>
  <c r="U469" i="1"/>
  <c r="X469" i="1"/>
  <c r="Z469" i="1"/>
  <c r="AD469" i="1"/>
  <c r="AE469" i="1"/>
  <c r="R470" i="1"/>
  <c r="S470" i="1"/>
  <c r="T470" i="1"/>
  <c r="U470" i="1"/>
  <c r="X470" i="1"/>
  <c r="Y470" i="1"/>
  <c r="Z470" i="1"/>
  <c r="AA470" i="1"/>
  <c r="AB470" i="1"/>
  <c r="AC470" i="1"/>
  <c r="AD470" i="1"/>
  <c r="AE470" i="1"/>
  <c r="R471" i="1"/>
  <c r="S471" i="1"/>
  <c r="T471" i="1"/>
  <c r="U471" i="1"/>
  <c r="X471" i="1"/>
  <c r="Y471" i="1"/>
  <c r="Z471" i="1"/>
  <c r="AC471" i="1"/>
  <c r="AD471" i="1"/>
  <c r="AE471" i="1"/>
  <c r="R472" i="1"/>
  <c r="S472" i="1"/>
  <c r="T472" i="1"/>
  <c r="U472" i="1"/>
  <c r="X472" i="1"/>
  <c r="Y472" i="1"/>
  <c r="Z472" i="1"/>
  <c r="AC472" i="1"/>
  <c r="AD472" i="1"/>
  <c r="AE472" i="1"/>
  <c r="R473" i="1"/>
  <c r="S473" i="1"/>
  <c r="T473" i="1"/>
  <c r="U473" i="1"/>
  <c r="V473" i="1"/>
  <c r="X473" i="1"/>
  <c r="Y473" i="1"/>
  <c r="Z473" i="1"/>
  <c r="AA473" i="1"/>
  <c r="AB473" i="1"/>
  <c r="AC473" i="1"/>
  <c r="AD473" i="1"/>
  <c r="AE473" i="1"/>
  <c r="R474" i="1"/>
  <c r="S474" i="1"/>
  <c r="T474" i="1"/>
  <c r="U474" i="1"/>
  <c r="X474" i="1"/>
  <c r="Z474" i="1"/>
  <c r="AC474" i="1"/>
  <c r="AD474" i="1"/>
  <c r="AE474" i="1"/>
  <c r="R475" i="1"/>
  <c r="S475" i="1"/>
  <c r="T475" i="1"/>
  <c r="U475" i="1"/>
  <c r="X475" i="1"/>
  <c r="Z475" i="1"/>
  <c r="AD475" i="1"/>
  <c r="AE475" i="1"/>
  <c r="R476" i="1"/>
  <c r="S476" i="1"/>
  <c r="T476" i="1"/>
  <c r="U476" i="1"/>
  <c r="V476" i="1"/>
  <c r="X476" i="1"/>
  <c r="Z476" i="1"/>
  <c r="AD476" i="1"/>
  <c r="AE476" i="1"/>
  <c r="R477" i="1"/>
  <c r="S477" i="1"/>
  <c r="T477" i="1"/>
  <c r="U477" i="1"/>
  <c r="X477" i="1"/>
  <c r="Z477" i="1"/>
  <c r="AA477" i="1"/>
  <c r="AB477" i="1"/>
  <c r="AD477" i="1"/>
  <c r="AE477" i="1"/>
  <c r="R478" i="1"/>
  <c r="S478" i="1"/>
  <c r="T478" i="1"/>
  <c r="U478" i="1"/>
  <c r="X478" i="1"/>
  <c r="Z478" i="1"/>
  <c r="AD478" i="1"/>
  <c r="AE478" i="1"/>
  <c r="R479" i="1"/>
  <c r="S479" i="1"/>
  <c r="T479" i="1"/>
  <c r="U479" i="1"/>
  <c r="X479" i="1"/>
  <c r="Z479" i="1"/>
  <c r="AD479" i="1"/>
  <c r="AE479" i="1"/>
  <c r="BI479" i="1"/>
  <c r="R480" i="1"/>
  <c r="S480" i="1"/>
  <c r="T480" i="1"/>
  <c r="U480" i="1"/>
  <c r="X480" i="1"/>
  <c r="Z480" i="1"/>
  <c r="AB480" i="1"/>
  <c r="AC480" i="1"/>
  <c r="AD480" i="1"/>
  <c r="AE480" i="1"/>
  <c r="R481" i="1"/>
  <c r="S481" i="1"/>
  <c r="T481" i="1"/>
  <c r="U481" i="1"/>
  <c r="X481" i="1"/>
  <c r="Z481" i="1"/>
  <c r="AA481" i="1"/>
  <c r="AB481" i="1"/>
  <c r="AC481" i="1"/>
  <c r="AD481" i="1"/>
  <c r="BI481" i="1"/>
  <c r="R482" i="1"/>
  <c r="S482" i="1"/>
  <c r="T482" i="1"/>
  <c r="U482" i="1"/>
  <c r="X482" i="1"/>
  <c r="Z482" i="1"/>
  <c r="AA482" i="1"/>
  <c r="AB482" i="1"/>
  <c r="AD482" i="1"/>
  <c r="AE482" i="1"/>
  <c r="R483" i="1"/>
  <c r="S483" i="1"/>
  <c r="T483" i="1"/>
  <c r="U483" i="1"/>
  <c r="X483" i="1"/>
  <c r="Y483" i="1"/>
  <c r="Z483" i="1"/>
  <c r="AA483" i="1"/>
  <c r="AB483" i="1"/>
  <c r="AD483" i="1"/>
  <c r="AE483" i="1"/>
  <c r="R484" i="1"/>
  <c r="S484" i="1"/>
  <c r="T484" i="1"/>
  <c r="U484" i="1"/>
  <c r="V484" i="1"/>
  <c r="X484" i="1"/>
  <c r="Y484" i="1"/>
  <c r="Z484" i="1"/>
  <c r="AD484" i="1"/>
  <c r="AE484" i="1"/>
  <c r="R485" i="1"/>
  <c r="S485" i="1"/>
  <c r="T485" i="1"/>
  <c r="U485" i="1"/>
  <c r="X485" i="1"/>
  <c r="Z485" i="1"/>
  <c r="AD485" i="1"/>
  <c r="AE485" i="1"/>
  <c r="AI485" i="1"/>
  <c r="AN485" i="1"/>
  <c r="AO485" i="1"/>
  <c r="AP485" i="1"/>
  <c r="AQ485" i="1"/>
  <c r="AS485" i="1"/>
  <c r="AZ485" i="1"/>
  <c r="BE485" i="1"/>
  <c r="BK485" i="1"/>
  <c r="R486" i="1"/>
  <c r="S486" i="1"/>
  <c r="T486" i="1"/>
  <c r="U486" i="1"/>
  <c r="X486" i="1"/>
  <c r="Z486" i="1"/>
  <c r="AC486" i="1"/>
  <c r="AD486" i="1"/>
  <c r="AE486" i="1"/>
  <c r="R487" i="1"/>
  <c r="S487" i="1"/>
  <c r="T487" i="1"/>
  <c r="U487" i="1"/>
  <c r="V487" i="1"/>
  <c r="X487" i="1"/>
  <c r="Y487" i="1"/>
  <c r="Z487" i="1"/>
  <c r="AC487" i="1"/>
  <c r="AD487" i="1"/>
  <c r="AE487" i="1"/>
  <c r="R488" i="1"/>
  <c r="S488" i="1"/>
  <c r="T488" i="1"/>
  <c r="U488" i="1"/>
  <c r="X488" i="1"/>
  <c r="Z488" i="1"/>
  <c r="AD488" i="1"/>
  <c r="AE488" i="1"/>
  <c r="R489" i="1"/>
  <c r="S489" i="1"/>
  <c r="T489" i="1"/>
  <c r="U489" i="1"/>
  <c r="X489" i="1"/>
  <c r="Y489" i="1"/>
  <c r="Z489" i="1"/>
  <c r="AA489" i="1"/>
  <c r="AD489" i="1"/>
  <c r="AE489" i="1"/>
  <c r="R490" i="1"/>
  <c r="S490" i="1"/>
  <c r="T490" i="1"/>
  <c r="U490" i="1"/>
  <c r="X490" i="1"/>
  <c r="Y490" i="1"/>
  <c r="Z490" i="1"/>
  <c r="AC490" i="1"/>
  <c r="AD490" i="1"/>
  <c r="AE490" i="1"/>
  <c r="BI490" i="1"/>
  <c r="R491" i="1"/>
  <c r="S491" i="1"/>
  <c r="T491" i="1"/>
  <c r="U491" i="1"/>
  <c r="X491" i="1"/>
  <c r="Y491" i="1"/>
  <c r="Z491" i="1"/>
  <c r="AC491" i="1"/>
  <c r="AD491" i="1"/>
  <c r="AE491" i="1"/>
  <c r="BI491" i="1"/>
  <c r="R492" i="1"/>
  <c r="S492" i="1"/>
  <c r="T492" i="1"/>
  <c r="U492" i="1"/>
  <c r="X492" i="1"/>
  <c r="Y492" i="1"/>
  <c r="Z492" i="1"/>
  <c r="AD492" i="1"/>
  <c r="AE492" i="1"/>
  <c r="AN492" i="1"/>
  <c r="AO492" i="1"/>
  <c r="AP492" i="1"/>
  <c r="AQ492" i="1"/>
  <c r="AS492" i="1"/>
  <c r="BF492" i="1"/>
  <c r="BI492" i="1"/>
  <c r="BK492" i="1"/>
  <c r="R493" i="1"/>
  <c r="S493" i="1"/>
  <c r="T493" i="1"/>
  <c r="U493" i="1"/>
  <c r="X493" i="1"/>
  <c r="Y493" i="1"/>
  <c r="Z493" i="1"/>
  <c r="AD493" i="1"/>
  <c r="AE493" i="1"/>
  <c r="BI493" i="1"/>
  <c r="R494" i="1"/>
  <c r="S494" i="1"/>
  <c r="T494" i="1"/>
  <c r="U494" i="1"/>
  <c r="X494" i="1"/>
  <c r="Y494" i="1"/>
  <c r="Z494" i="1"/>
  <c r="AA494" i="1"/>
  <c r="AB494" i="1"/>
  <c r="AD494" i="1"/>
  <c r="AE494" i="1"/>
  <c r="R495" i="1"/>
  <c r="S495" i="1"/>
  <c r="T495" i="1"/>
  <c r="U495" i="1"/>
  <c r="V495" i="1"/>
  <c r="X495" i="1"/>
  <c r="Z495" i="1"/>
  <c r="AD495" i="1"/>
  <c r="AE495" i="1"/>
  <c r="R496" i="1"/>
  <c r="S496" i="1"/>
  <c r="T496" i="1"/>
  <c r="U496" i="1"/>
  <c r="V496" i="1"/>
  <c r="X496" i="1"/>
  <c r="Z496" i="1"/>
  <c r="AD496" i="1"/>
  <c r="AE496" i="1"/>
  <c r="R497" i="1"/>
  <c r="S497" i="1"/>
  <c r="T497" i="1"/>
  <c r="U497" i="1"/>
  <c r="V497" i="1"/>
  <c r="X497" i="1"/>
  <c r="Y497" i="1"/>
  <c r="Z497" i="1"/>
  <c r="AD497" i="1"/>
  <c r="AE497" i="1"/>
  <c r="R498" i="1"/>
  <c r="S498" i="1"/>
  <c r="T498" i="1"/>
  <c r="U498" i="1"/>
  <c r="X498" i="1"/>
  <c r="Z498" i="1"/>
  <c r="AA498" i="1"/>
  <c r="AB498" i="1"/>
  <c r="AD498" i="1"/>
  <c r="AE498" i="1"/>
  <c r="R499" i="1"/>
  <c r="S499" i="1"/>
  <c r="T499" i="1"/>
  <c r="U499" i="1"/>
  <c r="X499" i="1"/>
  <c r="Y499" i="1"/>
  <c r="Z499" i="1"/>
  <c r="AA499" i="1"/>
  <c r="AB499" i="1"/>
  <c r="AD499" i="1"/>
  <c r="AE499" i="1"/>
  <c r="R500" i="1"/>
  <c r="S500" i="1"/>
  <c r="T500" i="1"/>
  <c r="U500" i="1"/>
  <c r="V500" i="1"/>
  <c r="X500" i="1"/>
  <c r="Y500" i="1"/>
  <c r="Z500" i="1"/>
  <c r="AA500" i="1"/>
  <c r="AB500" i="1"/>
  <c r="AC500" i="1"/>
  <c r="AD500" i="1"/>
  <c r="AE500" i="1"/>
  <c r="R501" i="1"/>
  <c r="S501" i="1"/>
  <c r="T501" i="1"/>
  <c r="U501" i="1"/>
  <c r="V501" i="1"/>
  <c r="X501" i="1"/>
  <c r="Y501" i="1"/>
  <c r="Z501" i="1"/>
  <c r="AD501" i="1"/>
  <c r="AE501" i="1"/>
  <c r="BI501" i="1"/>
  <c r="R502" i="1"/>
  <c r="S502" i="1"/>
  <c r="T502" i="1"/>
  <c r="U502" i="1"/>
  <c r="X502" i="1"/>
  <c r="Z502" i="1"/>
  <c r="AD502" i="1"/>
  <c r="AE502" i="1"/>
  <c r="R503" i="1"/>
  <c r="S503" i="1"/>
  <c r="T503" i="1"/>
  <c r="U503" i="1"/>
  <c r="X503" i="1"/>
  <c r="Y503" i="1"/>
  <c r="Z503" i="1"/>
  <c r="AA503" i="1"/>
  <c r="AB503" i="1"/>
  <c r="AC503" i="1"/>
  <c r="AD503" i="1"/>
  <c r="AE503" i="1"/>
  <c r="R504" i="1"/>
  <c r="S504" i="1"/>
  <c r="T504" i="1"/>
  <c r="U504" i="1"/>
  <c r="X504" i="1"/>
  <c r="Y504" i="1"/>
  <c r="Z504" i="1"/>
  <c r="AA504" i="1"/>
  <c r="AB504" i="1"/>
  <c r="AC504" i="1"/>
  <c r="AD504" i="1"/>
  <c r="AE504" i="1"/>
  <c r="R505" i="1"/>
  <c r="S505" i="1"/>
  <c r="T505" i="1"/>
  <c r="U505" i="1"/>
  <c r="V505" i="1"/>
  <c r="X505" i="1"/>
  <c r="Z505" i="1"/>
  <c r="AD505" i="1"/>
  <c r="AE505" i="1"/>
  <c r="AN505" i="1"/>
  <c r="AO505" i="1"/>
  <c r="AP505" i="1"/>
  <c r="AQ505" i="1"/>
  <c r="AS505" i="1"/>
  <c r="BA505" i="1"/>
  <c r="BB505" i="1"/>
  <c r="BD505" i="1"/>
  <c r="BE505" i="1"/>
  <c r="BH505" i="1"/>
  <c r="BI505" i="1"/>
  <c r="BK505" i="1"/>
  <c r="BL505" i="1"/>
  <c r="CF505" i="1"/>
  <c r="CI505" i="1"/>
  <c r="CR505" i="1"/>
  <c r="EO505" i="1"/>
  <c r="R506" i="1"/>
  <c r="S506" i="1"/>
  <c r="T506" i="1"/>
  <c r="U506" i="1"/>
  <c r="X506" i="1"/>
  <c r="Y506" i="1"/>
  <c r="Z506" i="1"/>
  <c r="AD506" i="1"/>
  <c r="AE506" i="1"/>
  <c r="R507" i="1"/>
  <c r="S507" i="1"/>
  <c r="T507" i="1"/>
  <c r="U507" i="1"/>
  <c r="X507" i="1"/>
  <c r="Y507" i="1"/>
  <c r="Z507" i="1"/>
  <c r="AC507" i="1"/>
  <c r="AD507" i="1"/>
  <c r="AE507" i="1"/>
  <c r="R508" i="1"/>
  <c r="S508" i="1"/>
  <c r="T508" i="1"/>
  <c r="U508" i="1"/>
  <c r="X508" i="1"/>
  <c r="Y508" i="1"/>
  <c r="Z508" i="1"/>
  <c r="AA508" i="1"/>
  <c r="AB508" i="1"/>
  <c r="AC508" i="1"/>
  <c r="AD508" i="1"/>
  <c r="AE508" i="1"/>
  <c r="R509" i="1"/>
  <c r="S509" i="1"/>
  <c r="T509" i="1"/>
  <c r="U509" i="1"/>
  <c r="X509" i="1"/>
  <c r="Z509" i="1"/>
  <c r="AD509" i="1"/>
  <c r="AE509" i="1"/>
  <c r="AN509" i="1"/>
  <c r="AO509" i="1"/>
  <c r="AP509" i="1"/>
  <c r="AQ509" i="1"/>
  <c r="AS509" i="1"/>
  <c r="BE509" i="1"/>
  <c r="BF509" i="1"/>
  <c r="BK509" i="1"/>
  <c r="R510" i="1"/>
  <c r="S510" i="1"/>
  <c r="T510" i="1"/>
  <c r="U510" i="1"/>
  <c r="X510" i="1"/>
  <c r="Z510" i="1"/>
  <c r="AA510" i="1"/>
  <c r="AB510" i="1"/>
  <c r="AD510" i="1"/>
  <c r="AE510" i="1"/>
  <c r="R511" i="1"/>
  <c r="S511" i="1"/>
  <c r="T511" i="1"/>
  <c r="U511" i="1"/>
  <c r="V511" i="1"/>
  <c r="X511" i="1"/>
  <c r="Y511" i="1"/>
  <c r="Z511" i="1"/>
  <c r="AA511" i="1"/>
  <c r="AB511" i="1"/>
  <c r="AC511" i="1"/>
  <c r="AD511" i="1"/>
  <c r="AE511" i="1"/>
  <c r="R512" i="1"/>
  <c r="S512" i="1"/>
  <c r="T512" i="1"/>
  <c r="U512" i="1"/>
  <c r="V512" i="1"/>
  <c r="X512" i="1"/>
  <c r="Z512" i="1"/>
  <c r="AD512" i="1"/>
  <c r="AE512" i="1"/>
  <c r="R513" i="1"/>
  <c r="S513" i="1"/>
  <c r="T513" i="1"/>
  <c r="U513" i="1"/>
  <c r="X513" i="1"/>
  <c r="Z513" i="1"/>
  <c r="AC513" i="1"/>
  <c r="AD513" i="1"/>
  <c r="AE513" i="1"/>
  <c r="R514" i="1"/>
  <c r="S514" i="1"/>
  <c r="T514" i="1"/>
  <c r="U514" i="1"/>
  <c r="V514" i="1"/>
  <c r="X514" i="1"/>
  <c r="Z514" i="1"/>
  <c r="AC514" i="1"/>
  <c r="AD514" i="1"/>
  <c r="AE514" i="1"/>
  <c r="R515" i="1"/>
  <c r="S515" i="1"/>
  <c r="T515" i="1"/>
  <c r="U515" i="1"/>
  <c r="X515" i="1"/>
  <c r="Z515" i="1"/>
  <c r="AD515" i="1"/>
  <c r="AE515" i="1"/>
  <c r="R516" i="1"/>
  <c r="S516" i="1"/>
  <c r="T516" i="1"/>
  <c r="U516" i="1"/>
  <c r="V516" i="1"/>
  <c r="X516" i="1"/>
  <c r="Z516" i="1"/>
  <c r="AD516" i="1"/>
  <c r="AE516" i="1"/>
  <c r="R517" i="1"/>
  <c r="S517" i="1"/>
  <c r="T517" i="1"/>
  <c r="U517" i="1"/>
  <c r="X517" i="1"/>
  <c r="Y517" i="1"/>
  <c r="Z517" i="1"/>
  <c r="AD517" i="1"/>
  <c r="AE517" i="1"/>
  <c r="R518" i="1"/>
  <c r="S518" i="1"/>
  <c r="T518" i="1"/>
  <c r="U518" i="1"/>
  <c r="V518" i="1"/>
  <c r="X518" i="1"/>
  <c r="Z518" i="1"/>
  <c r="AC518" i="1"/>
  <c r="AD518" i="1"/>
  <c r="AE518" i="1"/>
  <c r="R519" i="1"/>
  <c r="S519" i="1"/>
  <c r="T519" i="1"/>
  <c r="U519" i="1"/>
  <c r="V519" i="1"/>
  <c r="X519" i="1"/>
  <c r="Z519" i="1"/>
  <c r="AC519" i="1"/>
  <c r="AD519" i="1"/>
  <c r="AE519" i="1"/>
  <c r="R520" i="1"/>
  <c r="S520" i="1"/>
  <c r="T520" i="1"/>
  <c r="U520" i="1"/>
  <c r="X520" i="1"/>
  <c r="Z520" i="1"/>
  <c r="AD520" i="1"/>
  <c r="AE520" i="1"/>
  <c r="BI520" i="1"/>
  <c r="R521" i="1"/>
  <c r="S521" i="1"/>
  <c r="T521" i="1"/>
  <c r="U521" i="1"/>
  <c r="V521" i="1"/>
  <c r="X521" i="1"/>
  <c r="Z521" i="1"/>
  <c r="AD521" i="1"/>
  <c r="AE521" i="1"/>
  <c r="R522" i="1"/>
  <c r="S522" i="1"/>
  <c r="T522" i="1"/>
  <c r="U522" i="1"/>
  <c r="X522" i="1"/>
  <c r="Y522" i="1"/>
  <c r="Z522" i="1"/>
  <c r="AA522" i="1"/>
  <c r="AB522" i="1"/>
  <c r="AD522" i="1"/>
  <c r="AE522" i="1"/>
  <c r="R523" i="1"/>
  <c r="S523" i="1"/>
  <c r="T523" i="1"/>
  <c r="U523" i="1"/>
  <c r="X523" i="1"/>
  <c r="Z523" i="1"/>
  <c r="AC523" i="1"/>
  <c r="AD523" i="1"/>
  <c r="AE523" i="1"/>
  <c r="R524" i="1"/>
  <c r="S524" i="1"/>
  <c r="T524" i="1"/>
  <c r="U524" i="1"/>
  <c r="X524" i="1"/>
  <c r="Z524" i="1"/>
  <c r="AD524" i="1"/>
  <c r="AE524" i="1"/>
  <c r="AN524" i="1"/>
  <c r="AO524" i="1"/>
  <c r="AP524" i="1"/>
  <c r="AQ524" i="1"/>
  <c r="AS524" i="1"/>
  <c r="BE524" i="1"/>
  <c r="BK524" i="1"/>
  <c r="EL524" i="1"/>
  <c r="EM524" i="1"/>
  <c r="EN524" i="1"/>
  <c r="EO524" i="1"/>
  <c r="ER524" i="1"/>
  <c r="R525" i="1"/>
  <c r="S525" i="1"/>
  <c r="T525" i="1"/>
  <c r="U525" i="1"/>
  <c r="X525" i="1"/>
  <c r="Y525" i="1"/>
  <c r="Z525" i="1"/>
  <c r="AA525" i="1"/>
  <c r="AB525" i="1"/>
  <c r="AC525" i="1"/>
  <c r="AD525" i="1"/>
  <c r="AE525" i="1"/>
  <c r="BI525" i="1"/>
  <c r="R526" i="1"/>
  <c r="S526" i="1"/>
  <c r="T526" i="1"/>
  <c r="U526" i="1"/>
  <c r="V526" i="1"/>
  <c r="X526" i="1"/>
  <c r="Z526" i="1"/>
  <c r="AC526" i="1"/>
  <c r="AD526" i="1"/>
  <c r="AE526" i="1"/>
  <c r="R527" i="1"/>
  <c r="S527" i="1"/>
  <c r="T527" i="1"/>
  <c r="U527" i="1"/>
  <c r="X527" i="1"/>
  <c r="Y527" i="1"/>
  <c r="Z527" i="1"/>
  <c r="AC527" i="1"/>
  <c r="AD527" i="1"/>
  <c r="AE527" i="1"/>
  <c r="BI527" i="1"/>
  <c r="R528" i="1"/>
  <c r="S528" i="1"/>
  <c r="T528" i="1"/>
  <c r="U528" i="1"/>
  <c r="X528" i="1"/>
  <c r="Z528" i="1"/>
  <c r="AC528" i="1"/>
  <c r="AD528" i="1"/>
  <c r="AE528" i="1"/>
  <c r="R529" i="1"/>
  <c r="S529" i="1"/>
  <c r="T529" i="1"/>
  <c r="U529" i="1"/>
  <c r="X529" i="1"/>
  <c r="Y529" i="1"/>
  <c r="Z529" i="1"/>
  <c r="AA529" i="1"/>
  <c r="AB529" i="1"/>
  <c r="AC529" i="1"/>
  <c r="AD529" i="1"/>
  <c r="AE529" i="1"/>
  <c r="R530" i="1"/>
  <c r="S530" i="1"/>
  <c r="T530" i="1"/>
  <c r="U530" i="1"/>
  <c r="X530" i="1"/>
  <c r="Y530" i="1"/>
  <c r="Z530" i="1"/>
  <c r="AA530" i="1"/>
  <c r="AB530" i="1"/>
  <c r="AC530" i="1"/>
  <c r="AD530" i="1"/>
  <c r="AE530" i="1"/>
  <c r="R531" i="1"/>
  <c r="S531" i="1"/>
  <c r="T531" i="1"/>
  <c r="U531" i="1"/>
  <c r="X531" i="1"/>
  <c r="Y531" i="1"/>
  <c r="Z531" i="1"/>
  <c r="AA531" i="1"/>
  <c r="AB531" i="1"/>
  <c r="AC531" i="1"/>
  <c r="AD531" i="1"/>
  <c r="AE531" i="1"/>
  <c r="R532" i="1"/>
  <c r="S532" i="1"/>
  <c r="T532" i="1"/>
  <c r="U532" i="1"/>
  <c r="X532" i="1"/>
  <c r="Y532" i="1"/>
  <c r="Z532" i="1"/>
  <c r="AC532" i="1"/>
  <c r="AD532" i="1"/>
  <c r="AE532" i="1"/>
  <c r="R533" i="1"/>
  <c r="S533" i="1"/>
  <c r="T533" i="1"/>
  <c r="U533" i="1"/>
  <c r="X533" i="1"/>
  <c r="Z533" i="1"/>
  <c r="AA533" i="1"/>
  <c r="AB533" i="1"/>
  <c r="AD533" i="1"/>
  <c r="AE533" i="1"/>
  <c r="R534" i="1"/>
  <c r="S534" i="1"/>
  <c r="T534" i="1"/>
  <c r="U534" i="1"/>
  <c r="X534" i="1"/>
  <c r="Z534" i="1"/>
  <c r="AD534" i="1"/>
  <c r="AE534" i="1"/>
  <c r="R535" i="1"/>
  <c r="S535" i="1"/>
  <c r="T535" i="1"/>
  <c r="U535" i="1"/>
  <c r="X535" i="1"/>
  <c r="Z535" i="1"/>
  <c r="AC535" i="1"/>
  <c r="AD535" i="1"/>
  <c r="AE535" i="1"/>
  <c r="BI535" i="1"/>
  <c r="R536" i="1"/>
  <c r="S536" i="1"/>
  <c r="T536" i="1"/>
  <c r="U536" i="1"/>
  <c r="X536" i="1"/>
  <c r="Z536" i="1"/>
  <c r="AC536" i="1"/>
  <c r="AD536" i="1"/>
  <c r="AE536" i="1"/>
  <c r="R537" i="1"/>
  <c r="S537" i="1"/>
  <c r="T537" i="1"/>
  <c r="U537" i="1"/>
  <c r="X537" i="1"/>
  <c r="Z537" i="1"/>
  <c r="AA537" i="1"/>
  <c r="AB537" i="1"/>
  <c r="AC537" i="1"/>
  <c r="AD537" i="1"/>
  <c r="AE537" i="1"/>
  <c r="AN537" i="1"/>
  <c r="AO537" i="1"/>
  <c r="AP537" i="1"/>
  <c r="AQ537" i="1"/>
  <c r="BI537" i="1"/>
  <c r="R538" i="1"/>
  <c r="S538" i="1"/>
  <c r="T538" i="1"/>
  <c r="U538" i="1"/>
  <c r="V538" i="1"/>
  <c r="X538" i="1"/>
  <c r="Y538" i="1"/>
  <c r="Z538" i="1"/>
  <c r="AD538" i="1"/>
  <c r="AE538" i="1"/>
  <c r="R539" i="1"/>
  <c r="S539" i="1"/>
  <c r="T539" i="1"/>
  <c r="U539" i="1"/>
  <c r="X539" i="1"/>
  <c r="Z539" i="1"/>
  <c r="AC539" i="1"/>
  <c r="AD539" i="1"/>
  <c r="AE539" i="1"/>
  <c r="R540" i="1"/>
  <c r="S540" i="1"/>
  <c r="T540" i="1"/>
  <c r="U540" i="1"/>
  <c r="V540" i="1"/>
  <c r="X540" i="1"/>
  <c r="Z540" i="1"/>
  <c r="AB540" i="1"/>
  <c r="AC540" i="1"/>
  <c r="AD540" i="1"/>
  <c r="AE540" i="1"/>
  <c r="R541" i="1"/>
  <c r="S541" i="1"/>
  <c r="T541" i="1"/>
  <c r="U541" i="1"/>
  <c r="X541" i="1"/>
  <c r="Y541" i="1"/>
  <c r="Z541" i="1"/>
  <c r="AD541" i="1"/>
  <c r="AE541" i="1"/>
  <c r="BI541" i="1"/>
  <c r="R542" i="1"/>
  <c r="S542" i="1"/>
  <c r="T542" i="1"/>
  <c r="U542" i="1"/>
  <c r="X542" i="1"/>
  <c r="Y542" i="1"/>
  <c r="Z542" i="1"/>
  <c r="AA542" i="1"/>
  <c r="AB542" i="1"/>
  <c r="AC542" i="1"/>
  <c r="AD542" i="1"/>
  <c r="AE542" i="1"/>
  <c r="R543" i="1"/>
  <c r="S543" i="1"/>
  <c r="T543" i="1"/>
  <c r="U543" i="1"/>
  <c r="X543" i="1"/>
  <c r="Y543" i="1"/>
  <c r="Z543" i="1"/>
  <c r="AA543" i="1"/>
  <c r="AB543" i="1"/>
  <c r="AD543" i="1"/>
  <c r="AE543" i="1"/>
  <c r="R544" i="1"/>
  <c r="S544" i="1"/>
  <c r="T544" i="1"/>
  <c r="U544" i="1"/>
  <c r="X544" i="1"/>
  <c r="Z544" i="1"/>
  <c r="AC544" i="1"/>
  <c r="AD544" i="1"/>
  <c r="AE544" i="1"/>
  <c r="R545" i="1"/>
  <c r="S545" i="1"/>
  <c r="T545" i="1"/>
  <c r="U545" i="1"/>
  <c r="X545" i="1"/>
  <c r="Z545" i="1"/>
  <c r="AC545" i="1"/>
  <c r="AD545" i="1"/>
  <c r="AE545" i="1"/>
  <c r="BI545" i="1"/>
  <c r="R546" i="1"/>
  <c r="S546" i="1"/>
  <c r="T546" i="1"/>
  <c r="U546" i="1"/>
  <c r="X546" i="1"/>
  <c r="Y546" i="1"/>
  <c r="Z546" i="1"/>
  <c r="AC546" i="1"/>
  <c r="AD546" i="1"/>
  <c r="AE546" i="1"/>
  <c r="R547" i="1"/>
  <c r="S547" i="1"/>
  <c r="T547" i="1"/>
  <c r="U547" i="1"/>
  <c r="V547" i="1"/>
  <c r="X547" i="1"/>
  <c r="Z547" i="1"/>
  <c r="AD547" i="1"/>
  <c r="AE547" i="1"/>
  <c r="R548" i="1"/>
  <c r="S548" i="1"/>
  <c r="T548" i="1"/>
  <c r="U548" i="1"/>
  <c r="X548" i="1"/>
  <c r="Y548" i="1"/>
  <c r="AA548" i="1"/>
  <c r="AB548" i="1"/>
  <c r="AD548" i="1"/>
  <c r="R549" i="1"/>
  <c r="S549" i="1"/>
  <c r="T549" i="1"/>
  <c r="U549" i="1"/>
  <c r="X549" i="1"/>
  <c r="Y549" i="1"/>
  <c r="Z549" i="1"/>
  <c r="AC549" i="1"/>
  <c r="AD549" i="1"/>
  <c r="AE549" i="1"/>
  <c r="R550" i="1"/>
  <c r="S550" i="1"/>
  <c r="T550" i="1"/>
  <c r="U550" i="1"/>
  <c r="V550" i="1"/>
  <c r="X550" i="1"/>
  <c r="Y550" i="1"/>
  <c r="Z550" i="1"/>
  <c r="AC550" i="1"/>
  <c r="AD550" i="1"/>
  <c r="AE550" i="1"/>
  <c r="BI550" i="1"/>
  <c r="R551" i="1"/>
  <c r="S551" i="1"/>
  <c r="T551" i="1"/>
  <c r="U551" i="1"/>
  <c r="V551" i="1"/>
  <c r="X551" i="1"/>
  <c r="Z551" i="1"/>
  <c r="AD551" i="1"/>
  <c r="AE551" i="1"/>
  <c r="R552" i="1"/>
  <c r="S552" i="1"/>
  <c r="T552" i="1"/>
  <c r="U552" i="1"/>
  <c r="X552" i="1"/>
  <c r="Y552" i="1"/>
  <c r="Z552" i="1"/>
  <c r="AA552" i="1"/>
  <c r="AB552" i="1"/>
  <c r="AD552" i="1"/>
  <c r="AE552" i="1"/>
  <c r="R553" i="1"/>
  <c r="S553" i="1"/>
  <c r="T553" i="1"/>
  <c r="U553" i="1"/>
  <c r="V553" i="1"/>
  <c r="X553" i="1"/>
  <c r="Z553" i="1"/>
  <c r="AD553" i="1"/>
  <c r="AE553" i="1"/>
  <c r="R554" i="1"/>
  <c r="S554" i="1"/>
  <c r="T554" i="1"/>
  <c r="U554" i="1"/>
  <c r="X554" i="1"/>
  <c r="Z554" i="1"/>
  <c r="AA554" i="1"/>
  <c r="AB554" i="1"/>
  <c r="AD554" i="1"/>
  <c r="AE554" i="1"/>
  <c r="R555" i="1"/>
  <c r="S555" i="1"/>
  <c r="T555" i="1"/>
  <c r="U555" i="1"/>
  <c r="V555" i="1"/>
  <c r="X555" i="1"/>
  <c r="Z555" i="1"/>
  <c r="AC555" i="1"/>
  <c r="AD555" i="1"/>
  <c r="AE555" i="1"/>
  <c r="R556" i="1"/>
  <c r="S556" i="1"/>
  <c r="T556" i="1"/>
  <c r="U556" i="1"/>
  <c r="X556" i="1"/>
  <c r="Z556" i="1"/>
  <c r="AC556" i="1"/>
  <c r="AD556" i="1"/>
  <c r="AE556" i="1"/>
  <c r="BI556" i="1"/>
  <c r="R557" i="1"/>
  <c r="S557" i="1"/>
  <c r="T557" i="1"/>
  <c r="U557" i="1"/>
  <c r="X557" i="1"/>
  <c r="Z557" i="1"/>
  <c r="AC557" i="1"/>
  <c r="AD557" i="1"/>
  <c r="AE557" i="1"/>
  <c r="AN557" i="1"/>
  <c r="AO557" i="1"/>
  <c r="AP557" i="1"/>
  <c r="AQ557" i="1"/>
  <c r="R558" i="1"/>
  <c r="S558" i="1"/>
  <c r="T558" i="1"/>
  <c r="U558" i="1"/>
  <c r="X558" i="1"/>
  <c r="Y558" i="1"/>
  <c r="Z558" i="1"/>
  <c r="AA558" i="1"/>
  <c r="AB558" i="1"/>
  <c r="AC558" i="1"/>
  <c r="AD558" i="1"/>
  <c r="AE558" i="1"/>
  <c r="R559" i="1"/>
  <c r="S559" i="1"/>
  <c r="T559" i="1"/>
  <c r="U559" i="1"/>
  <c r="X559" i="1"/>
  <c r="Z559" i="1"/>
  <c r="AA559" i="1"/>
  <c r="AB559" i="1"/>
  <c r="AC559" i="1"/>
  <c r="AD559" i="1"/>
  <c r="AE559" i="1"/>
  <c r="R560" i="1"/>
  <c r="S560" i="1"/>
  <c r="T560" i="1"/>
  <c r="U560" i="1"/>
  <c r="X560" i="1"/>
  <c r="Y560" i="1"/>
  <c r="Z560" i="1"/>
  <c r="AA560" i="1"/>
  <c r="AB560" i="1"/>
  <c r="AC560" i="1"/>
  <c r="AD560" i="1"/>
  <c r="AE560" i="1"/>
  <c r="R561" i="1"/>
  <c r="S561" i="1"/>
  <c r="T561" i="1"/>
  <c r="U561" i="1"/>
  <c r="X561" i="1"/>
  <c r="Z561" i="1"/>
  <c r="AA561" i="1"/>
  <c r="AB561" i="1"/>
  <c r="AC561" i="1"/>
  <c r="AD561" i="1"/>
  <c r="AE561" i="1"/>
  <c r="R562" i="1"/>
  <c r="S562" i="1"/>
  <c r="T562" i="1"/>
  <c r="U562" i="1"/>
  <c r="X562" i="1"/>
  <c r="Z562" i="1"/>
  <c r="AA562" i="1"/>
  <c r="AB562" i="1"/>
  <c r="AC562" i="1"/>
  <c r="AD562" i="1"/>
  <c r="AE562" i="1"/>
  <c r="R563" i="1"/>
  <c r="S563" i="1"/>
  <c r="T563" i="1"/>
  <c r="U563" i="1"/>
  <c r="X563" i="1"/>
  <c r="Y563" i="1"/>
  <c r="Z563" i="1"/>
  <c r="AD563" i="1"/>
  <c r="AE563" i="1"/>
  <c r="R564" i="1"/>
  <c r="S564" i="1"/>
  <c r="T564" i="1"/>
  <c r="U564" i="1"/>
  <c r="X564" i="1"/>
  <c r="Z564" i="1"/>
  <c r="AD564" i="1"/>
  <c r="AE564" i="1"/>
  <c r="R565" i="1"/>
  <c r="S565" i="1"/>
  <c r="T565" i="1"/>
  <c r="U565" i="1"/>
  <c r="V565" i="1"/>
  <c r="X565" i="1"/>
  <c r="Y565" i="1"/>
  <c r="Z565" i="1"/>
  <c r="AC565" i="1"/>
  <c r="AD565" i="1"/>
  <c r="AE565" i="1"/>
  <c r="R566" i="1"/>
  <c r="S566" i="1"/>
  <c r="T566" i="1"/>
  <c r="U566" i="1"/>
  <c r="V566" i="1"/>
  <c r="X566" i="1"/>
  <c r="Z566" i="1"/>
  <c r="AD566" i="1"/>
  <c r="AE566" i="1"/>
  <c r="R567" i="1"/>
  <c r="S567" i="1"/>
  <c r="T567" i="1"/>
  <c r="U567" i="1"/>
  <c r="X567" i="1"/>
  <c r="Z567" i="1"/>
  <c r="AD567" i="1"/>
  <c r="AE567" i="1"/>
  <c r="R568" i="1"/>
  <c r="S568" i="1"/>
  <c r="T568" i="1"/>
  <c r="U568" i="1"/>
  <c r="X568" i="1"/>
  <c r="Z568" i="1"/>
  <c r="AA568" i="1"/>
  <c r="AB568" i="1"/>
  <c r="AC568" i="1"/>
  <c r="AD568" i="1"/>
  <c r="AE568" i="1"/>
  <c r="R569" i="1"/>
  <c r="S569" i="1"/>
  <c r="T569" i="1"/>
  <c r="U569" i="1"/>
  <c r="X569" i="1"/>
  <c r="Z569" i="1"/>
  <c r="AD569" i="1"/>
  <c r="AE569" i="1"/>
  <c r="R570" i="1"/>
  <c r="S570" i="1"/>
  <c r="T570" i="1"/>
  <c r="U570" i="1"/>
  <c r="X570" i="1"/>
  <c r="Z570" i="1"/>
  <c r="AC570" i="1"/>
  <c r="AD570" i="1"/>
  <c r="AE570" i="1"/>
  <c r="R571" i="1"/>
  <c r="T571" i="1"/>
  <c r="U571" i="1"/>
  <c r="X571" i="1"/>
  <c r="Z571" i="1"/>
  <c r="AA571" i="1"/>
  <c r="AD571" i="1"/>
  <c r="AE571" i="1"/>
  <c r="AN571" i="1"/>
  <c r="AO571" i="1"/>
  <c r="AP571" i="1"/>
  <c r="AQ571" i="1"/>
  <c r="AS571" i="1"/>
  <c r="BE571" i="1"/>
  <c r="BK571" i="1"/>
  <c r="EL571" i="1"/>
  <c r="EN571" i="1"/>
  <c r="EO571" i="1"/>
  <c r="ER571" i="1"/>
  <c r="R572" i="1"/>
  <c r="S572" i="1"/>
  <c r="T572" i="1"/>
  <c r="U572" i="1"/>
  <c r="V572" i="1"/>
  <c r="X572" i="1"/>
  <c r="Z572" i="1"/>
  <c r="AC572" i="1"/>
  <c r="AD572" i="1"/>
  <c r="AE572" i="1"/>
  <c r="R573" i="1"/>
  <c r="S573" i="1"/>
  <c r="T573" i="1"/>
  <c r="U573" i="1"/>
  <c r="X573" i="1"/>
  <c r="Z573" i="1"/>
  <c r="AA573" i="1"/>
  <c r="AB573" i="1"/>
  <c r="AD573" i="1"/>
  <c r="AE573" i="1"/>
  <c r="R574" i="1"/>
  <c r="S574" i="1"/>
  <c r="T574" i="1"/>
  <c r="U574" i="1"/>
  <c r="X574" i="1"/>
  <c r="Y574" i="1"/>
  <c r="Z574" i="1"/>
  <c r="AA574" i="1"/>
  <c r="AB574" i="1"/>
  <c r="AC574" i="1"/>
  <c r="AD574" i="1"/>
  <c r="AE574" i="1"/>
  <c r="R575" i="1"/>
  <c r="S575" i="1"/>
  <c r="T575" i="1"/>
  <c r="U575" i="1"/>
  <c r="V575" i="1"/>
  <c r="X575" i="1"/>
  <c r="Y575" i="1"/>
  <c r="Z575" i="1"/>
  <c r="AA575" i="1"/>
  <c r="AB575" i="1"/>
  <c r="AC575" i="1"/>
  <c r="AD575" i="1"/>
  <c r="AE575" i="1"/>
  <c r="AI575" i="1"/>
  <c r="AN575" i="1"/>
  <c r="AO575" i="1"/>
  <c r="AP575" i="1"/>
  <c r="R576" i="1"/>
  <c r="S576" i="1"/>
  <c r="T576" i="1"/>
  <c r="U576" i="1"/>
  <c r="V576" i="1"/>
  <c r="X576" i="1"/>
  <c r="Y576" i="1"/>
  <c r="Z576" i="1"/>
  <c r="AA576" i="1"/>
  <c r="AB576" i="1"/>
  <c r="AC576" i="1"/>
  <c r="AD576" i="1"/>
  <c r="AE576" i="1"/>
  <c r="R577" i="1"/>
  <c r="S577" i="1"/>
  <c r="T577" i="1"/>
  <c r="U577" i="1"/>
  <c r="X577" i="1"/>
  <c r="Y577" i="1"/>
  <c r="Z577" i="1"/>
  <c r="AD577" i="1"/>
  <c r="AE577" i="1"/>
  <c r="R578" i="1"/>
  <c r="S578" i="1"/>
  <c r="T578" i="1"/>
  <c r="U578" i="1"/>
  <c r="X578" i="1"/>
  <c r="Z578" i="1"/>
  <c r="AC578" i="1"/>
  <c r="AD578" i="1"/>
  <c r="AE578" i="1"/>
  <c r="R579" i="1"/>
  <c r="S579" i="1"/>
  <c r="T579" i="1"/>
  <c r="U579" i="1"/>
  <c r="X579" i="1"/>
  <c r="Y579" i="1"/>
  <c r="Z579" i="1"/>
  <c r="AD579" i="1"/>
  <c r="AE579" i="1"/>
  <c r="BI579" i="1"/>
  <c r="R580" i="1"/>
  <c r="S580" i="1"/>
  <c r="T580" i="1"/>
  <c r="U580" i="1"/>
  <c r="V580" i="1"/>
  <c r="X580" i="1"/>
  <c r="Z580" i="1"/>
  <c r="AB580" i="1"/>
  <c r="AD580" i="1"/>
  <c r="AE580" i="1"/>
  <c r="R581" i="1"/>
  <c r="S581" i="1"/>
  <c r="T581" i="1"/>
  <c r="U581" i="1"/>
  <c r="X581" i="1"/>
  <c r="Z581" i="1"/>
  <c r="AC581" i="1"/>
  <c r="AD581" i="1"/>
  <c r="AE581" i="1"/>
  <c r="R582" i="1"/>
  <c r="S582" i="1"/>
  <c r="T582" i="1"/>
  <c r="U582" i="1"/>
  <c r="V582" i="1"/>
  <c r="X582" i="1"/>
  <c r="Z582" i="1"/>
  <c r="AD582" i="1"/>
  <c r="AE582" i="1"/>
  <c r="AN582" i="1"/>
  <c r="AO582" i="1"/>
  <c r="AP582" i="1"/>
  <c r="AQ582" i="1"/>
  <c r="AS582" i="1"/>
  <c r="BK582" i="1"/>
  <c r="EL582" i="1"/>
  <c r="EN582" i="1"/>
  <c r="EO582" i="1"/>
  <c r="ER582" i="1"/>
  <c r="R583" i="1"/>
  <c r="S583" i="1"/>
  <c r="T583" i="1"/>
  <c r="U583" i="1"/>
  <c r="V583" i="1"/>
  <c r="X583" i="1"/>
  <c r="Z583" i="1"/>
  <c r="AC583" i="1"/>
  <c r="AD583" i="1"/>
  <c r="AE583" i="1"/>
  <c r="R584" i="1"/>
  <c r="S584" i="1"/>
  <c r="T584" i="1"/>
  <c r="U584" i="1"/>
  <c r="X584" i="1"/>
  <c r="Y584" i="1"/>
  <c r="Z584" i="1"/>
  <c r="AC584" i="1"/>
  <c r="AD584" i="1"/>
  <c r="AE584" i="1"/>
  <c r="R585" i="1"/>
  <c r="S585" i="1"/>
  <c r="T585" i="1"/>
  <c r="U585" i="1"/>
  <c r="X585" i="1"/>
  <c r="Y585" i="1"/>
  <c r="Z585" i="1"/>
  <c r="AD585" i="1"/>
  <c r="AE585" i="1"/>
  <c r="R586" i="1"/>
  <c r="S586" i="1"/>
  <c r="T586" i="1"/>
  <c r="U586" i="1"/>
  <c r="X586" i="1"/>
  <c r="Y586" i="1"/>
  <c r="Z586" i="1"/>
  <c r="AD586" i="1"/>
  <c r="AE586" i="1"/>
  <c r="R587" i="1"/>
  <c r="S587" i="1"/>
  <c r="T587" i="1"/>
  <c r="U587" i="1"/>
  <c r="V587" i="1"/>
  <c r="X587" i="1"/>
  <c r="Y587" i="1"/>
  <c r="Z587" i="1"/>
  <c r="AA587" i="1"/>
  <c r="AB587" i="1"/>
  <c r="AC587" i="1"/>
  <c r="AD587" i="1"/>
  <c r="AE587" i="1"/>
  <c r="R588" i="1"/>
  <c r="S588" i="1"/>
  <c r="T588" i="1"/>
  <c r="U588" i="1"/>
  <c r="X588" i="1"/>
  <c r="Z588" i="1"/>
  <c r="AA588" i="1"/>
  <c r="AB588" i="1"/>
  <c r="AD588" i="1"/>
  <c r="AE588" i="1"/>
  <c r="R589" i="1"/>
  <c r="S589" i="1"/>
  <c r="T589" i="1"/>
  <c r="U589" i="1"/>
  <c r="X589" i="1"/>
  <c r="Z589" i="1"/>
  <c r="AD589" i="1"/>
  <c r="AE589" i="1"/>
  <c r="R590" i="1"/>
  <c r="S590" i="1"/>
  <c r="T590" i="1"/>
  <c r="U590" i="1"/>
  <c r="X590" i="1"/>
  <c r="Y590" i="1"/>
  <c r="Z590" i="1"/>
  <c r="AA590" i="1"/>
  <c r="AB590" i="1"/>
  <c r="AD590" i="1"/>
  <c r="AE590" i="1"/>
  <c r="R591" i="1"/>
  <c r="S591" i="1"/>
  <c r="T591" i="1"/>
  <c r="U591" i="1"/>
  <c r="X591" i="1"/>
  <c r="Y591" i="1"/>
  <c r="Z591" i="1"/>
  <c r="AA591" i="1"/>
  <c r="AB591" i="1"/>
  <c r="AD591" i="1"/>
  <c r="AE591" i="1"/>
  <c r="R592" i="1"/>
  <c r="S592" i="1"/>
  <c r="T592" i="1"/>
  <c r="U592" i="1"/>
  <c r="X592" i="1"/>
  <c r="Z592" i="1"/>
  <c r="AD592" i="1"/>
  <c r="AE592" i="1"/>
  <c r="R593" i="1"/>
  <c r="S593" i="1"/>
  <c r="T593" i="1"/>
  <c r="U593" i="1"/>
  <c r="X593" i="1"/>
  <c r="Z593" i="1"/>
  <c r="AD593" i="1"/>
  <c r="AE593" i="1"/>
  <c r="R594" i="1"/>
  <c r="S594" i="1"/>
  <c r="T594" i="1"/>
  <c r="U594" i="1"/>
  <c r="X594" i="1"/>
  <c r="Y594" i="1"/>
  <c r="Z594" i="1"/>
  <c r="AA594" i="1"/>
  <c r="AB594" i="1"/>
  <c r="AD594" i="1"/>
  <c r="AE594" i="1"/>
  <c r="R595" i="1"/>
  <c r="S595" i="1"/>
  <c r="T595" i="1"/>
  <c r="U595" i="1"/>
  <c r="X595" i="1"/>
  <c r="Y595" i="1"/>
  <c r="Z595" i="1"/>
  <c r="AA595" i="1"/>
  <c r="AD595" i="1"/>
  <c r="AE595" i="1"/>
  <c r="BI595" i="1"/>
  <c r="R596" i="1"/>
  <c r="S596" i="1"/>
  <c r="T596" i="1"/>
  <c r="U596" i="1"/>
  <c r="X596" i="1"/>
  <c r="Y596" i="1"/>
  <c r="Z596" i="1"/>
  <c r="AC596" i="1"/>
  <c r="AD596" i="1"/>
  <c r="AE596" i="1"/>
  <c r="BI596" i="1"/>
  <c r="R597" i="1"/>
  <c r="S597" i="1"/>
  <c r="T597" i="1"/>
  <c r="U597" i="1"/>
  <c r="X597" i="1"/>
  <c r="Y597" i="1"/>
  <c r="Z597" i="1"/>
  <c r="AA597" i="1"/>
  <c r="AB597" i="1"/>
  <c r="AC597" i="1"/>
  <c r="AD597" i="1"/>
  <c r="AE597" i="1"/>
  <c r="R598" i="1"/>
  <c r="S598" i="1"/>
  <c r="T598" i="1"/>
  <c r="U598" i="1"/>
  <c r="X598" i="1"/>
  <c r="Y598" i="1"/>
  <c r="Z598" i="1"/>
  <c r="AA598" i="1"/>
  <c r="AB598" i="1"/>
  <c r="AC598" i="1"/>
  <c r="AD598" i="1"/>
  <c r="AE598" i="1"/>
  <c r="BI598" i="1"/>
  <c r="R599" i="1"/>
  <c r="S599" i="1"/>
  <c r="T599" i="1"/>
  <c r="U599" i="1"/>
  <c r="X599" i="1"/>
  <c r="Y599" i="1"/>
  <c r="AB599" i="1"/>
  <c r="AC599" i="1"/>
  <c r="AD599" i="1"/>
  <c r="AI599" i="1"/>
  <c r="AM599" i="1"/>
  <c r="AN599" i="1"/>
  <c r="AO599" i="1"/>
  <c r="AP599" i="1"/>
  <c r="AQ599" i="1"/>
  <c r="BI599" i="1"/>
  <c r="R600" i="1"/>
  <c r="S600" i="1"/>
  <c r="T600" i="1"/>
  <c r="U600" i="1"/>
  <c r="X600" i="1"/>
  <c r="Z600" i="1"/>
  <c r="AA600" i="1"/>
  <c r="AB600" i="1"/>
  <c r="AD600" i="1"/>
  <c r="AE600" i="1"/>
  <c r="R601" i="1"/>
  <c r="S601" i="1"/>
  <c r="T601" i="1"/>
  <c r="U601" i="1"/>
  <c r="X601" i="1"/>
  <c r="Z601" i="1"/>
  <c r="AA601" i="1"/>
  <c r="AB601" i="1"/>
  <c r="AD601" i="1"/>
  <c r="AE601" i="1"/>
  <c r="R602" i="1"/>
  <c r="S602" i="1"/>
  <c r="T602" i="1"/>
  <c r="U602" i="1"/>
  <c r="X602" i="1"/>
  <c r="Z602" i="1"/>
  <c r="AD602" i="1"/>
  <c r="AE602" i="1"/>
  <c r="BI602" i="1"/>
  <c r="R603" i="1"/>
  <c r="S603" i="1"/>
  <c r="T603" i="1"/>
  <c r="U603" i="1"/>
  <c r="X603" i="1"/>
  <c r="Z603" i="1"/>
  <c r="AD603" i="1"/>
  <c r="AE603" i="1"/>
  <c r="BI603" i="1"/>
  <c r="R604" i="1"/>
  <c r="S604" i="1"/>
  <c r="T604" i="1"/>
  <c r="U604" i="1"/>
  <c r="X604" i="1"/>
  <c r="Z604" i="1"/>
  <c r="AD604" i="1"/>
  <c r="AE604" i="1"/>
  <c r="R605" i="1"/>
  <c r="S605" i="1"/>
  <c r="T605" i="1"/>
  <c r="U605" i="1"/>
  <c r="X605" i="1"/>
  <c r="Y605" i="1"/>
  <c r="Z605" i="1"/>
  <c r="AA605" i="1"/>
  <c r="AB605" i="1"/>
  <c r="AC605" i="1"/>
  <c r="AD605" i="1"/>
  <c r="AE605" i="1"/>
  <c r="R606" i="1"/>
  <c r="S606" i="1"/>
  <c r="T606" i="1"/>
  <c r="U606" i="1"/>
  <c r="X606" i="1"/>
  <c r="Z606" i="1"/>
  <c r="AA606" i="1"/>
  <c r="AB606" i="1"/>
  <c r="AD606" i="1"/>
  <c r="AE606" i="1"/>
  <c r="R607" i="1"/>
  <c r="S607" i="1"/>
  <c r="T607" i="1"/>
  <c r="U607" i="1"/>
  <c r="X607" i="1"/>
  <c r="Y607" i="1"/>
  <c r="Z607" i="1"/>
  <c r="AC607" i="1"/>
  <c r="AD607" i="1"/>
  <c r="AE607" i="1"/>
  <c r="R608" i="1"/>
  <c r="S608" i="1"/>
  <c r="T608" i="1"/>
  <c r="U608" i="1"/>
  <c r="X608" i="1"/>
  <c r="Z608" i="1"/>
  <c r="AB608" i="1"/>
  <c r="AD608" i="1"/>
  <c r="AE608" i="1"/>
  <c r="R609" i="1"/>
  <c r="S609" i="1"/>
  <c r="T609" i="1"/>
  <c r="U609" i="1"/>
  <c r="X609" i="1"/>
  <c r="Y609" i="1"/>
  <c r="Z609" i="1"/>
  <c r="AC609" i="1"/>
  <c r="AD609" i="1"/>
  <c r="AE609" i="1"/>
  <c r="R610" i="1"/>
  <c r="S610" i="1"/>
  <c r="T610" i="1"/>
  <c r="U610" i="1"/>
  <c r="V610" i="1"/>
  <c r="X610" i="1"/>
  <c r="Y610" i="1"/>
  <c r="Z610" i="1"/>
  <c r="AC610" i="1"/>
  <c r="AD610" i="1"/>
  <c r="AE610" i="1"/>
  <c r="R611" i="1"/>
  <c r="S611" i="1"/>
  <c r="T611" i="1"/>
  <c r="U611" i="1"/>
  <c r="X611" i="1"/>
  <c r="Y611" i="1"/>
  <c r="Z611" i="1"/>
  <c r="AD611" i="1"/>
  <c r="AE611" i="1"/>
  <c r="R612" i="1"/>
  <c r="S612" i="1"/>
  <c r="T612" i="1"/>
  <c r="U612" i="1"/>
  <c r="V612" i="1"/>
  <c r="X612" i="1"/>
  <c r="Z612" i="1"/>
  <c r="AC612" i="1"/>
  <c r="AD612" i="1"/>
  <c r="AE612" i="1"/>
  <c r="R613" i="1"/>
  <c r="S613" i="1"/>
  <c r="T613" i="1"/>
  <c r="U613" i="1"/>
  <c r="X613" i="1"/>
  <c r="Z613" i="1"/>
  <c r="AC613" i="1"/>
  <c r="AD613" i="1"/>
  <c r="AE613" i="1"/>
  <c r="BI613" i="1"/>
  <c r="R614" i="1"/>
  <c r="S614" i="1"/>
  <c r="T614" i="1"/>
  <c r="U614" i="1"/>
  <c r="V614" i="1"/>
  <c r="X614" i="1"/>
  <c r="Y614" i="1"/>
  <c r="Z614" i="1"/>
  <c r="AD614" i="1"/>
  <c r="AE614" i="1"/>
  <c r="R615" i="1"/>
  <c r="S615" i="1"/>
  <c r="T615" i="1"/>
  <c r="U615" i="1"/>
  <c r="X615" i="1"/>
  <c r="Z615" i="1"/>
  <c r="AA615" i="1"/>
  <c r="AB615" i="1"/>
  <c r="AD615" i="1"/>
  <c r="AE615" i="1"/>
  <c r="R616" i="1"/>
  <c r="S616" i="1"/>
  <c r="T616" i="1"/>
  <c r="U616" i="1"/>
  <c r="X616" i="1"/>
  <c r="Z616" i="1"/>
  <c r="AA616" i="1"/>
  <c r="AB616" i="1"/>
  <c r="AD616" i="1"/>
  <c r="AE616" i="1"/>
  <c r="R617" i="1"/>
  <c r="S617" i="1"/>
  <c r="T617" i="1"/>
  <c r="U617" i="1"/>
  <c r="X617" i="1"/>
  <c r="Z617" i="1"/>
  <c r="AA617" i="1"/>
  <c r="AB617" i="1"/>
  <c r="AD617" i="1"/>
  <c r="AE617" i="1"/>
  <c r="R618" i="1"/>
  <c r="S618" i="1"/>
  <c r="T618" i="1"/>
  <c r="U618" i="1"/>
  <c r="X618" i="1"/>
  <c r="Y618" i="1"/>
  <c r="Z618" i="1"/>
  <c r="AA618" i="1"/>
  <c r="AB618" i="1"/>
  <c r="AC618" i="1"/>
  <c r="AD618" i="1"/>
  <c r="AE618" i="1"/>
  <c r="BI618" i="1"/>
  <c r="R619" i="1"/>
  <c r="S619" i="1"/>
  <c r="T619" i="1"/>
  <c r="U619" i="1"/>
  <c r="X619" i="1"/>
  <c r="Y619" i="1"/>
  <c r="Z619" i="1"/>
  <c r="AD619" i="1"/>
  <c r="AE619" i="1"/>
  <c r="BI619" i="1"/>
  <c r="R620" i="1"/>
  <c r="S620" i="1"/>
  <c r="T620" i="1"/>
  <c r="U620" i="1"/>
  <c r="X620" i="1"/>
  <c r="Y620" i="1"/>
  <c r="Z620" i="1"/>
  <c r="AA620" i="1"/>
  <c r="AB620" i="1"/>
  <c r="AD620" i="1"/>
  <c r="AE620" i="1"/>
  <c r="R621" i="1"/>
  <c r="S621" i="1"/>
  <c r="T621" i="1"/>
  <c r="U621" i="1"/>
  <c r="X621" i="1"/>
  <c r="Z621" i="1"/>
  <c r="AB621" i="1"/>
  <c r="AC621" i="1"/>
  <c r="AD621" i="1"/>
  <c r="AE621" i="1"/>
  <c r="R622" i="1"/>
  <c r="S622" i="1"/>
  <c r="T622" i="1"/>
  <c r="U622" i="1"/>
  <c r="X622" i="1"/>
  <c r="Z622" i="1"/>
  <c r="AC622" i="1"/>
  <c r="AD622" i="1"/>
  <c r="AE622" i="1"/>
  <c r="R623" i="1"/>
  <c r="S623" i="1"/>
  <c r="T623" i="1"/>
  <c r="U623" i="1"/>
  <c r="X623" i="1"/>
  <c r="Z623" i="1"/>
  <c r="AA623" i="1"/>
  <c r="AB623" i="1"/>
  <c r="AD623" i="1"/>
  <c r="AE623" i="1"/>
  <c r="R624" i="1"/>
  <c r="S624" i="1"/>
  <c r="T624" i="1"/>
  <c r="U624" i="1"/>
  <c r="X624" i="1"/>
  <c r="Y624" i="1"/>
  <c r="Z624" i="1"/>
  <c r="AA624" i="1"/>
  <c r="AC624" i="1"/>
  <c r="AD624" i="1"/>
  <c r="AE624" i="1"/>
  <c r="BI624" i="1"/>
  <c r="R625" i="1"/>
  <c r="S625" i="1"/>
  <c r="T625" i="1"/>
  <c r="U625" i="1"/>
  <c r="X625" i="1"/>
  <c r="Z625" i="1"/>
  <c r="AD625" i="1"/>
  <c r="AE625" i="1"/>
  <c r="R626" i="1"/>
  <c r="S626" i="1"/>
  <c r="T626" i="1"/>
  <c r="U626" i="1"/>
  <c r="X626" i="1"/>
  <c r="Z626" i="1"/>
  <c r="AA626" i="1"/>
  <c r="AC626" i="1"/>
  <c r="AD626" i="1"/>
  <c r="AE626" i="1"/>
  <c r="BI626" i="1"/>
  <c r="R627" i="1"/>
  <c r="S627" i="1"/>
  <c r="T627" i="1"/>
  <c r="U627" i="1"/>
  <c r="X627" i="1"/>
  <c r="Z627" i="1"/>
  <c r="AC627" i="1"/>
  <c r="AD627" i="1"/>
  <c r="AE627" i="1"/>
  <c r="R628" i="1"/>
  <c r="S628" i="1"/>
  <c r="T628" i="1"/>
  <c r="U628" i="1"/>
  <c r="X628" i="1"/>
  <c r="Z628" i="1"/>
  <c r="AC628" i="1"/>
  <c r="AD628" i="1"/>
  <c r="AE628" i="1"/>
  <c r="R629" i="1"/>
  <c r="S629" i="1"/>
  <c r="T629" i="1"/>
  <c r="U629" i="1"/>
  <c r="X629" i="1"/>
  <c r="Y629" i="1"/>
  <c r="Z629" i="1"/>
  <c r="AD629" i="1"/>
  <c r="AE629" i="1"/>
  <c r="BI629" i="1"/>
  <c r="R630" i="1"/>
  <c r="S630" i="1"/>
  <c r="T630" i="1"/>
  <c r="U630" i="1"/>
  <c r="X630" i="1"/>
  <c r="Y630" i="1"/>
  <c r="Z630" i="1"/>
  <c r="AC630" i="1"/>
  <c r="AD630" i="1"/>
  <c r="AE630" i="1"/>
  <c r="R631" i="1"/>
  <c r="S631" i="1"/>
  <c r="T631" i="1"/>
  <c r="U631" i="1"/>
  <c r="X631" i="1"/>
  <c r="Y631" i="1"/>
  <c r="Z631" i="1"/>
  <c r="AA631" i="1"/>
  <c r="AB631" i="1"/>
  <c r="AC631" i="1"/>
  <c r="AD631" i="1"/>
  <c r="AE631" i="1"/>
  <c r="BI631" i="1"/>
  <c r="R632" i="1"/>
  <c r="S632" i="1"/>
  <c r="T632" i="1"/>
  <c r="U632" i="1"/>
  <c r="X632" i="1"/>
  <c r="Y632" i="1"/>
  <c r="Z632" i="1"/>
  <c r="AC632" i="1"/>
  <c r="AD632" i="1"/>
  <c r="AE632" i="1"/>
  <c r="R633" i="1"/>
  <c r="S633" i="1"/>
  <c r="T633" i="1"/>
  <c r="U633" i="1"/>
  <c r="V633" i="1"/>
  <c r="X633" i="1"/>
  <c r="Y633" i="1"/>
  <c r="Z633" i="1"/>
  <c r="AC633" i="1"/>
  <c r="AD633" i="1"/>
  <c r="AE633" i="1"/>
  <c r="R634" i="1"/>
  <c r="S634" i="1"/>
  <c r="T634" i="1"/>
  <c r="U634" i="1"/>
  <c r="X634" i="1"/>
  <c r="Y634" i="1"/>
  <c r="Z634" i="1"/>
  <c r="AD634" i="1"/>
  <c r="AE634" i="1"/>
  <c r="BI634" i="1"/>
  <c r="R635" i="1"/>
  <c r="S635" i="1"/>
  <c r="T635" i="1"/>
  <c r="U635" i="1"/>
  <c r="X635" i="1"/>
  <c r="Z635" i="1"/>
  <c r="AC635" i="1"/>
  <c r="AD635" i="1"/>
  <c r="AE635" i="1"/>
  <c r="AN635" i="1"/>
  <c r="AO635" i="1"/>
  <c r="AP635" i="1"/>
  <c r="AQ635" i="1"/>
  <c r="R636" i="1"/>
  <c r="S636" i="1"/>
  <c r="T636" i="1"/>
  <c r="U636" i="1"/>
  <c r="X636" i="1"/>
  <c r="Y636" i="1"/>
  <c r="Z636" i="1"/>
  <c r="AA636" i="1"/>
  <c r="AB636" i="1"/>
  <c r="AD636" i="1"/>
  <c r="AE636" i="1"/>
  <c r="R637" i="1"/>
  <c r="S637" i="1"/>
  <c r="T637" i="1"/>
  <c r="U637" i="1"/>
  <c r="X637" i="1"/>
  <c r="Z637" i="1"/>
  <c r="AA637" i="1"/>
  <c r="AB637" i="1"/>
  <c r="AD637" i="1"/>
  <c r="AE637" i="1"/>
  <c r="R638" i="1"/>
  <c r="S638" i="1"/>
  <c r="T638" i="1"/>
  <c r="U638" i="1"/>
  <c r="X638" i="1"/>
  <c r="Y638" i="1"/>
  <c r="Z638" i="1"/>
  <c r="AA638" i="1"/>
  <c r="AB638" i="1"/>
  <c r="AD638" i="1"/>
  <c r="AE638" i="1"/>
  <c r="R639" i="1"/>
  <c r="S639" i="1"/>
  <c r="T639" i="1"/>
  <c r="U639" i="1"/>
  <c r="V639" i="1"/>
  <c r="X639" i="1"/>
  <c r="Y639" i="1"/>
  <c r="Z639" i="1"/>
  <c r="AA639" i="1"/>
  <c r="AB639" i="1"/>
  <c r="AC639" i="1"/>
  <c r="AD639" i="1"/>
  <c r="AE639" i="1"/>
  <c r="R640" i="1"/>
  <c r="S640" i="1"/>
  <c r="T640" i="1"/>
  <c r="U640" i="1"/>
  <c r="X640" i="1"/>
  <c r="Z640" i="1"/>
  <c r="AC640" i="1"/>
  <c r="AD640" i="1"/>
  <c r="AE640" i="1"/>
  <c r="R641" i="1"/>
  <c r="S641" i="1"/>
  <c r="T641" i="1"/>
  <c r="U641" i="1"/>
  <c r="X641" i="1"/>
  <c r="Z641" i="1"/>
  <c r="AD641" i="1"/>
  <c r="AE641" i="1"/>
  <c r="R642" i="1"/>
  <c r="S642" i="1"/>
  <c r="T642" i="1"/>
  <c r="U642" i="1"/>
  <c r="X642" i="1"/>
  <c r="Y642" i="1"/>
  <c r="Z642" i="1"/>
  <c r="AD642" i="1"/>
  <c r="AE642" i="1"/>
  <c r="R643" i="1"/>
  <c r="S643" i="1"/>
  <c r="T643" i="1"/>
  <c r="U643" i="1"/>
  <c r="X643" i="1"/>
  <c r="Z643" i="1"/>
  <c r="AC643" i="1"/>
  <c r="AD643" i="1"/>
  <c r="AE643" i="1"/>
  <c r="BI643" i="1"/>
  <c r="R644" i="1"/>
  <c r="S644" i="1"/>
  <c r="T644" i="1"/>
  <c r="U644" i="1"/>
  <c r="X644" i="1"/>
  <c r="Z644" i="1"/>
  <c r="AA644" i="1"/>
  <c r="AB644" i="1"/>
  <c r="AD644" i="1"/>
  <c r="AE644" i="1"/>
  <c r="R645" i="1"/>
  <c r="S645" i="1"/>
  <c r="T645" i="1"/>
  <c r="U645" i="1"/>
  <c r="V645" i="1"/>
  <c r="X645" i="1"/>
  <c r="Z645" i="1"/>
  <c r="AC645" i="1"/>
  <c r="AD645" i="1"/>
  <c r="AE645" i="1"/>
  <c r="R646" i="1"/>
  <c r="S646" i="1"/>
  <c r="T646" i="1"/>
  <c r="U646" i="1"/>
  <c r="X646" i="1"/>
  <c r="Z646" i="1"/>
  <c r="AC646" i="1"/>
  <c r="AD646" i="1"/>
  <c r="AE646" i="1"/>
  <c r="R647" i="1"/>
  <c r="S647" i="1"/>
  <c r="T647" i="1"/>
  <c r="U647" i="1"/>
  <c r="X647" i="1"/>
  <c r="Z647" i="1"/>
  <c r="AC647" i="1"/>
  <c r="AD647" i="1"/>
  <c r="AE647" i="1"/>
  <c r="R648" i="1"/>
  <c r="S648" i="1"/>
  <c r="T648" i="1"/>
  <c r="U648" i="1"/>
  <c r="X648" i="1"/>
  <c r="Z648" i="1"/>
  <c r="AC648" i="1"/>
  <c r="AD648" i="1"/>
  <c r="AE648" i="1"/>
  <c r="R649" i="1"/>
  <c r="S649" i="1"/>
  <c r="T649" i="1"/>
  <c r="U649" i="1"/>
  <c r="X649" i="1"/>
  <c r="Y649" i="1"/>
  <c r="Z649" i="1"/>
  <c r="AD649" i="1"/>
  <c r="AE649" i="1"/>
  <c r="BI649" i="1"/>
  <c r="R650" i="1"/>
  <c r="S650" i="1"/>
  <c r="T650" i="1"/>
  <c r="U650" i="1"/>
  <c r="V650" i="1"/>
  <c r="X650" i="1"/>
  <c r="Y650" i="1"/>
  <c r="Z650" i="1"/>
  <c r="AA650" i="1"/>
  <c r="AB650" i="1"/>
  <c r="AC650" i="1"/>
  <c r="AD650" i="1"/>
  <c r="AE650" i="1"/>
  <c r="R651" i="1"/>
  <c r="S651" i="1"/>
  <c r="T651" i="1"/>
  <c r="U651" i="1"/>
  <c r="V651" i="1"/>
  <c r="X651" i="1"/>
  <c r="Y651" i="1"/>
  <c r="Z651" i="1"/>
  <c r="AA651" i="1"/>
  <c r="AB651" i="1"/>
  <c r="AC651" i="1"/>
  <c r="AD651" i="1"/>
  <c r="AE651" i="1"/>
  <c r="AI651" i="1"/>
  <c r="AN651" i="1"/>
  <c r="AO651" i="1"/>
  <c r="AP651" i="1"/>
  <c r="AQ651" i="1"/>
  <c r="R652" i="1"/>
  <c r="S652" i="1"/>
  <c r="T652" i="1"/>
  <c r="U652" i="1"/>
  <c r="X652" i="1"/>
  <c r="Y652" i="1"/>
  <c r="Z652" i="1"/>
  <c r="AA652" i="1"/>
  <c r="AB652" i="1"/>
  <c r="AC652" i="1"/>
  <c r="AD652" i="1"/>
  <c r="AE652" i="1"/>
  <c r="AI652" i="1"/>
  <c r="AN652" i="1"/>
  <c r="AO652" i="1"/>
  <c r="AP652" i="1"/>
  <c r="AQ652" i="1"/>
  <c r="R653" i="1"/>
  <c r="S653" i="1"/>
  <c r="T653" i="1"/>
  <c r="U653" i="1"/>
  <c r="V653" i="1"/>
  <c r="X653" i="1"/>
  <c r="Y653" i="1"/>
  <c r="Z653" i="1"/>
  <c r="AA653" i="1"/>
  <c r="AB653" i="1"/>
  <c r="AC653" i="1"/>
  <c r="AD653" i="1"/>
  <c r="AE653" i="1"/>
  <c r="AN653" i="1"/>
  <c r="AO653" i="1"/>
  <c r="AP653" i="1"/>
  <c r="AQ653" i="1"/>
  <c r="R654" i="1"/>
  <c r="S654" i="1"/>
  <c r="T654" i="1"/>
  <c r="U654" i="1"/>
  <c r="X654" i="1"/>
  <c r="Z654" i="1"/>
  <c r="AC654" i="1"/>
  <c r="AD654" i="1"/>
  <c r="AE654" i="1"/>
  <c r="R655" i="1"/>
  <c r="S655" i="1"/>
  <c r="T655" i="1"/>
  <c r="U655" i="1"/>
  <c r="V655" i="1"/>
  <c r="X655" i="1"/>
  <c r="Z655" i="1"/>
  <c r="AC655" i="1"/>
  <c r="AD655" i="1"/>
  <c r="AE655" i="1"/>
  <c r="R656" i="1"/>
  <c r="S656" i="1"/>
  <c r="T656" i="1"/>
  <c r="U656" i="1"/>
  <c r="X656" i="1"/>
  <c r="Z656" i="1"/>
  <c r="AC656" i="1"/>
  <c r="AD656" i="1"/>
  <c r="AE656" i="1"/>
  <c r="R657" i="1"/>
  <c r="S657" i="1"/>
  <c r="T657" i="1"/>
  <c r="U657" i="1"/>
  <c r="X657" i="1"/>
  <c r="Y657" i="1"/>
  <c r="Z657" i="1"/>
  <c r="AD657" i="1"/>
  <c r="AE657" i="1"/>
  <c r="R658" i="1"/>
  <c r="S658" i="1"/>
  <c r="T658" i="1"/>
  <c r="U658" i="1"/>
  <c r="X658" i="1"/>
  <c r="Y658" i="1"/>
  <c r="Z658" i="1"/>
  <c r="AB658" i="1"/>
  <c r="AD658" i="1"/>
  <c r="AE658" i="1"/>
  <c r="R659" i="1"/>
  <c r="S659" i="1"/>
  <c r="T659" i="1"/>
  <c r="U659" i="1"/>
  <c r="V659" i="1"/>
  <c r="X659" i="1"/>
  <c r="Z659" i="1"/>
  <c r="AC659" i="1"/>
  <c r="AD659" i="1"/>
  <c r="AE659" i="1"/>
  <c r="R660" i="1"/>
  <c r="S660" i="1"/>
  <c r="T660" i="1"/>
  <c r="U660" i="1"/>
  <c r="X660" i="1"/>
  <c r="Z660" i="1"/>
  <c r="AD660" i="1"/>
  <c r="AE660" i="1"/>
  <c r="R661" i="1"/>
  <c r="S661" i="1"/>
  <c r="T661" i="1"/>
  <c r="U661" i="1"/>
  <c r="X661" i="1"/>
  <c r="Y661" i="1"/>
  <c r="Z661" i="1"/>
  <c r="AD661" i="1"/>
  <c r="AE661" i="1"/>
  <c r="BI661" i="1"/>
  <c r="R662" i="1"/>
  <c r="S662" i="1"/>
  <c r="T662" i="1"/>
  <c r="U662" i="1"/>
  <c r="X662" i="1"/>
  <c r="Z662" i="1"/>
  <c r="AC662" i="1"/>
  <c r="AD662" i="1"/>
  <c r="AE662" i="1"/>
  <c r="BI662" i="1"/>
  <c r="R663" i="1"/>
  <c r="S663" i="1"/>
  <c r="T663" i="1"/>
  <c r="U663" i="1"/>
  <c r="X663" i="1"/>
  <c r="Y663" i="1"/>
  <c r="Z663" i="1"/>
  <c r="AD663" i="1"/>
  <c r="AE663" i="1"/>
  <c r="R664" i="1"/>
  <c r="S664" i="1"/>
  <c r="T664" i="1"/>
  <c r="U664" i="1"/>
  <c r="X664" i="1"/>
  <c r="Y664" i="1"/>
  <c r="Z664" i="1"/>
  <c r="AC664" i="1"/>
  <c r="AD664" i="1"/>
  <c r="AE664" i="1"/>
  <c r="BI664" i="1"/>
  <c r="R665" i="1"/>
  <c r="S665" i="1"/>
  <c r="T665" i="1"/>
  <c r="U665" i="1"/>
  <c r="X665" i="1"/>
  <c r="Z665" i="1"/>
  <c r="AD665" i="1"/>
  <c r="AE665" i="1"/>
  <c r="R666" i="1"/>
  <c r="S666" i="1"/>
  <c r="T666" i="1"/>
  <c r="U666" i="1"/>
  <c r="X666" i="1"/>
  <c r="Z666" i="1"/>
  <c r="AD666" i="1"/>
  <c r="AE666" i="1"/>
  <c r="R667" i="1"/>
  <c r="S667" i="1"/>
  <c r="T667" i="1"/>
  <c r="U667" i="1"/>
  <c r="X667" i="1"/>
  <c r="Z667" i="1"/>
  <c r="AA667" i="1"/>
  <c r="AD667" i="1"/>
  <c r="AE667" i="1"/>
  <c r="R668" i="1"/>
  <c r="S668" i="1"/>
  <c r="T668" i="1"/>
  <c r="U668" i="1"/>
  <c r="X668" i="1"/>
  <c r="Z668" i="1"/>
  <c r="AA668" i="1"/>
  <c r="AD668" i="1"/>
  <c r="R669" i="1"/>
  <c r="S669" i="1"/>
  <c r="T669" i="1"/>
  <c r="U669" i="1"/>
  <c r="X669" i="1"/>
  <c r="Y669" i="1"/>
  <c r="Z669" i="1"/>
  <c r="AA669" i="1"/>
  <c r="AD669" i="1"/>
  <c r="R670" i="1"/>
  <c r="S670" i="1"/>
  <c r="T670" i="1"/>
  <c r="U670" i="1"/>
  <c r="X670" i="1"/>
  <c r="Y670" i="1"/>
  <c r="Z670" i="1"/>
  <c r="AD670" i="1"/>
  <c r="AE670" i="1"/>
  <c r="R671" i="1"/>
  <c r="S671" i="1"/>
  <c r="T671" i="1"/>
  <c r="U671" i="1"/>
  <c r="X671" i="1"/>
  <c r="Y671" i="1"/>
  <c r="Z671" i="1"/>
  <c r="AA671" i="1"/>
  <c r="AB671" i="1"/>
  <c r="AC671" i="1"/>
  <c r="AD671" i="1"/>
  <c r="AE671" i="1"/>
  <c r="R672" i="1"/>
  <c r="S672" i="1"/>
  <c r="T672" i="1"/>
  <c r="U672" i="1"/>
  <c r="X672" i="1"/>
  <c r="Y672" i="1"/>
  <c r="Z672" i="1"/>
  <c r="AD672" i="1"/>
  <c r="AE672" i="1"/>
  <c r="R673" i="1"/>
  <c r="S673" i="1"/>
  <c r="T673" i="1"/>
  <c r="U673" i="1"/>
  <c r="V673" i="1"/>
  <c r="X673" i="1"/>
  <c r="Y673" i="1"/>
  <c r="Z673" i="1"/>
  <c r="AC673" i="1"/>
  <c r="AD673" i="1"/>
  <c r="AE673" i="1"/>
  <c r="R674" i="1"/>
  <c r="S674" i="1"/>
  <c r="T674" i="1"/>
  <c r="U674" i="1"/>
  <c r="X674" i="1"/>
  <c r="Z674" i="1"/>
  <c r="AD674" i="1"/>
  <c r="AE674" i="1"/>
  <c r="BI674" i="1"/>
  <c r="R675" i="1"/>
  <c r="S675" i="1"/>
  <c r="T675" i="1"/>
  <c r="U675" i="1"/>
  <c r="X675" i="1"/>
  <c r="Z675" i="1"/>
  <c r="AD675" i="1"/>
  <c r="AE675" i="1"/>
  <c r="BI675" i="1"/>
  <c r="R676" i="1"/>
  <c r="S676" i="1"/>
  <c r="T676" i="1"/>
  <c r="U676" i="1"/>
  <c r="X676" i="1"/>
  <c r="Z676" i="1"/>
  <c r="AA676" i="1"/>
  <c r="AB676" i="1"/>
  <c r="AC676" i="1"/>
  <c r="AD676" i="1"/>
  <c r="AE676" i="1"/>
  <c r="R677" i="1"/>
  <c r="S677" i="1"/>
  <c r="T677" i="1"/>
  <c r="U677" i="1"/>
  <c r="X677" i="1"/>
  <c r="Z677" i="1"/>
  <c r="AA677" i="1"/>
  <c r="AB677" i="1"/>
  <c r="AC677" i="1"/>
  <c r="AD677" i="1"/>
  <c r="AE677" i="1"/>
  <c r="R678" i="1"/>
  <c r="S678" i="1"/>
  <c r="T678" i="1"/>
  <c r="U678" i="1"/>
  <c r="X678" i="1"/>
  <c r="Z678" i="1"/>
  <c r="AA678" i="1"/>
  <c r="AB678" i="1"/>
  <c r="AD678" i="1"/>
  <c r="AE678" i="1"/>
  <c r="R679" i="1"/>
  <c r="S679" i="1"/>
  <c r="T679" i="1"/>
  <c r="U679" i="1"/>
  <c r="X679" i="1"/>
  <c r="Y679" i="1"/>
  <c r="Z679" i="1"/>
  <c r="AC679" i="1"/>
  <c r="AD679" i="1"/>
  <c r="AE679" i="1"/>
  <c r="BI679" i="1"/>
  <c r="R680" i="1"/>
  <c r="S680" i="1"/>
  <c r="T680" i="1"/>
  <c r="U680" i="1"/>
  <c r="X680" i="1"/>
  <c r="Z680" i="1"/>
  <c r="AA680" i="1"/>
  <c r="AB680" i="1"/>
  <c r="AD680" i="1"/>
  <c r="AE680" i="1"/>
  <c r="R681" i="1"/>
  <c r="S681" i="1"/>
  <c r="T681" i="1"/>
  <c r="U681" i="1"/>
  <c r="X681" i="1"/>
  <c r="Z681" i="1"/>
  <c r="AA681" i="1"/>
  <c r="AB681" i="1"/>
  <c r="AC681" i="1"/>
  <c r="AD681" i="1"/>
  <c r="AE681" i="1"/>
  <c r="R682" i="1"/>
  <c r="S682" i="1"/>
  <c r="T682" i="1"/>
  <c r="U682" i="1"/>
  <c r="X682" i="1"/>
  <c r="Z682" i="1"/>
  <c r="AA682" i="1"/>
  <c r="AB682" i="1"/>
  <c r="AC682" i="1"/>
  <c r="AD682" i="1"/>
  <c r="AE682" i="1"/>
  <c r="R683" i="1"/>
  <c r="S683" i="1"/>
  <c r="T683" i="1"/>
  <c r="U683" i="1"/>
  <c r="X683" i="1"/>
  <c r="Z683" i="1"/>
  <c r="AA683" i="1"/>
  <c r="AB683" i="1"/>
  <c r="AC683" i="1"/>
  <c r="AD683" i="1"/>
  <c r="AE683" i="1"/>
  <c r="BI683" i="1"/>
  <c r="R684" i="1"/>
  <c r="S684" i="1"/>
  <c r="T684" i="1"/>
  <c r="U684" i="1"/>
  <c r="X684" i="1"/>
  <c r="Y684" i="1"/>
  <c r="Z684" i="1"/>
  <c r="AD684" i="1"/>
  <c r="AE684" i="1"/>
  <c r="BI684" i="1"/>
  <c r="R685" i="1"/>
  <c r="S685" i="1"/>
  <c r="T685" i="1"/>
  <c r="U685" i="1"/>
  <c r="X685" i="1"/>
  <c r="Z685" i="1"/>
  <c r="AC685" i="1"/>
  <c r="AD685" i="1"/>
  <c r="AE685" i="1"/>
  <c r="R686" i="1"/>
  <c r="S686" i="1"/>
  <c r="T686" i="1"/>
  <c r="U686" i="1"/>
  <c r="X686" i="1"/>
  <c r="Y686" i="1"/>
  <c r="Z686" i="1"/>
  <c r="AA686" i="1"/>
  <c r="AC686" i="1"/>
  <c r="AD686" i="1"/>
  <c r="AE686" i="1"/>
  <c r="BI686" i="1"/>
  <c r="R687" i="1"/>
  <c r="S687" i="1"/>
  <c r="T687" i="1"/>
  <c r="U687" i="1"/>
  <c r="X687" i="1"/>
  <c r="Z687" i="1"/>
  <c r="AD687" i="1"/>
  <c r="AE687" i="1"/>
  <c r="R688" i="1"/>
  <c r="S688" i="1"/>
  <c r="T688" i="1"/>
  <c r="U688" i="1"/>
  <c r="X688" i="1"/>
  <c r="Y688" i="1"/>
  <c r="Z688" i="1"/>
  <c r="AC688" i="1"/>
  <c r="AD688" i="1"/>
  <c r="AE688" i="1"/>
  <c r="R689" i="1"/>
  <c r="S689" i="1"/>
  <c r="T689" i="1"/>
  <c r="U689" i="1"/>
  <c r="X689" i="1"/>
  <c r="Y689" i="1"/>
  <c r="Z689" i="1"/>
  <c r="AA689" i="1"/>
  <c r="AB689" i="1"/>
  <c r="AC689" i="1"/>
  <c r="AD689" i="1"/>
  <c r="AE689" i="1"/>
  <c r="R690" i="1"/>
  <c r="S690" i="1"/>
  <c r="T690" i="1"/>
  <c r="U690" i="1"/>
  <c r="X690" i="1"/>
  <c r="Z690" i="1"/>
  <c r="AC690" i="1"/>
  <c r="AD690" i="1"/>
  <c r="AE690" i="1"/>
  <c r="R691" i="1"/>
  <c r="S691" i="1"/>
  <c r="T691" i="1"/>
  <c r="U691" i="1"/>
  <c r="X691" i="1"/>
  <c r="Z691" i="1"/>
  <c r="AC691" i="1"/>
  <c r="AD691" i="1"/>
  <c r="AE691" i="1"/>
  <c r="AN691" i="1"/>
  <c r="AO691" i="1"/>
  <c r="AP691" i="1"/>
  <c r="AQ691" i="1"/>
  <c r="R692" i="1"/>
  <c r="S692" i="1"/>
  <c r="T692" i="1"/>
  <c r="U692" i="1"/>
  <c r="X692" i="1"/>
  <c r="Y692" i="1"/>
  <c r="Z692" i="1"/>
  <c r="AD692" i="1"/>
  <c r="AE692" i="1"/>
  <c r="R693" i="1"/>
  <c r="S693" i="1"/>
  <c r="T693" i="1"/>
  <c r="U693" i="1"/>
  <c r="X693" i="1"/>
  <c r="Y693" i="1"/>
  <c r="Z693" i="1"/>
  <c r="AC693" i="1"/>
  <c r="AD693" i="1"/>
  <c r="AE693" i="1"/>
  <c r="R694" i="1"/>
  <c r="S694" i="1"/>
  <c r="T694" i="1"/>
  <c r="U694" i="1"/>
  <c r="X694" i="1"/>
  <c r="Z694" i="1"/>
  <c r="AA694" i="1"/>
  <c r="AC694" i="1"/>
  <c r="AD694" i="1"/>
  <c r="AE694" i="1"/>
  <c r="R695" i="1"/>
  <c r="S695" i="1"/>
  <c r="T695" i="1"/>
  <c r="U695" i="1"/>
  <c r="X695" i="1"/>
  <c r="Z695" i="1"/>
  <c r="AD695" i="1"/>
  <c r="AE695" i="1"/>
  <c r="R696" i="1"/>
  <c r="S696" i="1"/>
  <c r="T696" i="1"/>
  <c r="U696" i="1"/>
  <c r="X696" i="1"/>
  <c r="Y696" i="1"/>
  <c r="Z696" i="1"/>
  <c r="AA696" i="1"/>
  <c r="AB696" i="1"/>
  <c r="AD696" i="1"/>
  <c r="AE696" i="1"/>
  <c r="R697" i="1"/>
  <c r="S697" i="1"/>
  <c r="T697" i="1"/>
  <c r="U697" i="1"/>
  <c r="X697" i="1"/>
  <c r="Z697" i="1"/>
  <c r="AA697" i="1"/>
  <c r="AB697" i="1"/>
  <c r="AD697" i="1"/>
  <c r="AE697" i="1"/>
  <c r="R698" i="1"/>
  <c r="S698" i="1"/>
  <c r="T698" i="1"/>
  <c r="U698" i="1"/>
  <c r="X698" i="1"/>
  <c r="Y698" i="1"/>
  <c r="Z698" i="1"/>
  <c r="AD698" i="1"/>
  <c r="AE698" i="1"/>
  <c r="R699" i="1"/>
  <c r="S699" i="1"/>
  <c r="T699" i="1"/>
  <c r="U699" i="1"/>
  <c r="X699" i="1"/>
  <c r="Y699" i="1"/>
  <c r="Z699" i="1"/>
  <c r="AA699" i="1"/>
  <c r="AB699" i="1"/>
  <c r="AD699" i="1"/>
  <c r="AE699" i="1"/>
  <c r="R700" i="1"/>
  <c r="S700" i="1"/>
  <c r="T700" i="1"/>
  <c r="U700" i="1"/>
  <c r="X700" i="1"/>
  <c r="Y700" i="1"/>
  <c r="Z700" i="1"/>
  <c r="AA700" i="1"/>
  <c r="AB700" i="1"/>
  <c r="AD700" i="1"/>
  <c r="AE700" i="1"/>
  <c r="R701" i="1"/>
  <c r="S701" i="1"/>
  <c r="T701" i="1"/>
  <c r="U701" i="1"/>
  <c r="X701" i="1"/>
  <c r="Y701" i="1"/>
  <c r="Z701" i="1"/>
  <c r="AA701" i="1"/>
  <c r="AB701" i="1"/>
  <c r="AD701" i="1"/>
  <c r="AE701" i="1"/>
  <c r="R702" i="1"/>
  <c r="S702" i="1"/>
  <c r="T702" i="1"/>
  <c r="U702" i="1"/>
  <c r="X702" i="1"/>
  <c r="Y702" i="1"/>
  <c r="Z702" i="1"/>
  <c r="AA702" i="1"/>
  <c r="AB702" i="1"/>
  <c r="AD702" i="1"/>
  <c r="AE702" i="1"/>
  <c r="R703" i="1"/>
  <c r="S703" i="1"/>
  <c r="T703" i="1"/>
  <c r="U703" i="1"/>
  <c r="X703" i="1"/>
  <c r="Y703" i="1"/>
  <c r="Z703" i="1"/>
  <c r="AA703" i="1"/>
  <c r="AB703" i="1"/>
  <c r="AD703" i="1"/>
  <c r="AE703" i="1"/>
  <c r="R704" i="1"/>
  <c r="S704" i="1"/>
  <c r="T704" i="1"/>
  <c r="U704" i="1"/>
  <c r="X704" i="1"/>
  <c r="Z704" i="1"/>
  <c r="AD704" i="1"/>
  <c r="AE704" i="1"/>
  <c r="R705" i="1"/>
  <c r="S705" i="1"/>
  <c r="T705" i="1"/>
  <c r="U705" i="1"/>
  <c r="X705" i="1"/>
  <c r="Z705" i="1"/>
  <c r="AD705" i="1"/>
  <c r="AE705" i="1"/>
  <c r="R706" i="1"/>
  <c r="S706" i="1"/>
  <c r="T706" i="1"/>
  <c r="U706" i="1"/>
  <c r="X706" i="1"/>
  <c r="Y706" i="1"/>
  <c r="Z706" i="1"/>
  <c r="AD706" i="1"/>
  <c r="AE706" i="1"/>
  <c r="R707" i="1"/>
  <c r="S707" i="1"/>
  <c r="T707" i="1"/>
  <c r="U707" i="1"/>
  <c r="X707" i="1"/>
  <c r="Y707" i="1"/>
  <c r="Z707" i="1"/>
  <c r="AC707" i="1"/>
  <c r="AD707" i="1"/>
  <c r="AE707" i="1"/>
  <c r="BI707" i="1"/>
  <c r="R708" i="1"/>
  <c r="S708" i="1"/>
  <c r="T708" i="1"/>
  <c r="U708" i="1"/>
  <c r="V708" i="1"/>
  <c r="X708" i="1"/>
  <c r="Z708" i="1"/>
  <c r="AA708" i="1"/>
  <c r="AD708" i="1"/>
  <c r="AE708" i="1"/>
  <c r="R709" i="1"/>
  <c r="S709" i="1"/>
  <c r="T709" i="1"/>
  <c r="U709" i="1"/>
  <c r="X709" i="1"/>
  <c r="Z709" i="1"/>
  <c r="AA709" i="1"/>
  <c r="AB709" i="1"/>
  <c r="AC709" i="1"/>
  <c r="AD709" i="1"/>
  <c r="AE709" i="1"/>
  <c r="R710" i="1"/>
  <c r="S710" i="1"/>
  <c r="T710" i="1"/>
  <c r="U710" i="1"/>
  <c r="X710" i="1"/>
  <c r="Y710" i="1"/>
  <c r="Z710" i="1"/>
  <c r="AA710" i="1"/>
  <c r="AB710" i="1"/>
  <c r="AD710" i="1"/>
  <c r="AE710" i="1"/>
  <c r="BI710" i="1"/>
  <c r="R711" i="1"/>
  <c r="S711" i="1"/>
  <c r="T711" i="1"/>
  <c r="U711" i="1"/>
  <c r="X711" i="1"/>
  <c r="Y711" i="1"/>
  <c r="Z711" i="1"/>
  <c r="AA711" i="1"/>
  <c r="AC711" i="1"/>
  <c r="AD711" i="1"/>
  <c r="AE711" i="1"/>
  <c r="R712" i="1"/>
  <c r="S712" i="1"/>
  <c r="T712" i="1"/>
  <c r="U712" i="1"/>
  <c r="X712" i="1"/>
  <c r="Z712" i="1"/>
  <c r="AA712" i="1"/>
  <c r="AB712" i="1"/>
  <c r="AD712" i="1"/>
  <c r="AE712" i="1"/>
  <c r="R713" i="1"/>
  <c r="S713" i="1"/>
  <c r="T713" i="1"/>
  <c r="U713" i="1"/>
  <c r="X713" i="1"/>
  <c r="Y713" i="1"/>
  <c r="Z713" i="1"/>
  <c r="AA713" i="1"/>
  <c r="AB713" i="1"/>
  <c r="AD713" i="1"/>
  <c r="AE713" i="1"/>
  <c r="BI713" i="1"/>
  <c r="R714" i="1"/>
  <c r="S714" i="1"/>
  <c r="T714" i="1"/>
  <c r="U714" i="1"/>
  <c r="V714" i="1"/>
  <c r="X714" i="1"/>
  <c r="Y714" i="1"/>
  <c r="Z714" i="1"/>
  <c r="AA714" i="1"/>
  <c r="AB714" i="1"/>
  <c r="AD714" i="1"/>
  <c r="AE714" i="1"/>
  <c r="R715" i="1"/>
  <c r="S715" i="1"/>
  <c r="T715" i="1"/>
  <c r="U715" i="1"/>
  <c r="X715" i="1"/>
  <c r="Y715" i="1"/>
  <c r="Z715" i="1"/>
  <c r="AA715" i="1"/>
  <c r="AB715" i="1"/>
  <c r="AC715" i="1"/>
  <c r="AD715" i="1"/>
  <c r="AE715" i="1"/>
  <c r="R716" i="1"/>
  <c r="S716" i="1"/>
  <c r="T716" i="1"/>
  <c r="U716" i="1"/>
  <c r="X716" i="1"/>
  <c r="Y716" i="1"/>
  <c r="Z716" i="1"/>
  <c r="AA716" i="1"/>
  <c r="AB716" i="1"/>
  <c r="AC716" i="1"/>
  <c r="AD716" i="1"/>
  <c r="AE716" i="1"/>
  <c r="BI716" i="1"/>
  <c r="R717" i="1"/>
  <c r="S717" i="1"/>
  <c r="T717" i="1"/>
  <c r="U717" i="1"/>
  <c r="X717" i="1"/>
  <c r="Y717" i="1"/>
  <c r="Z717" i="1"/>
  <c r="AA717" i="1"/>
  <c r="AB717" i="1"/>
  <c r="AD717" i="1"/>
  <c r="AE717" i="1"/>
  <c r="R718" i="1"/>
  <c r="S718" i="1"/>
  <c r="T718" i="1"/>
  <c r="U718" i="1"/>
  <c r="X718" i="1"/>
  <c r="Z718" i="1"/>
  <c r="AD718" i="1"/>
  <c r="AE718" i="1"/>
  <c r="R719" i="1"/>
  <c r="S719" i="1"/>
  <c r="T719" i="1"/>
  <c r="U719" i="1"/>
  <c r="X719" i="1"/>
  <c r="Y719" i="1"/>
  <c r="Z719" i="1"/>
  <c r="AD719" i="1"/>
  <c r="AE719" i="1"/>
  <c r="R720" i="1"/>
  <c r="S720" i="1"/>
  <c r="T720" i="1"/>
  <c r="U720" i="1"/>
  <c r="X720" i="1"/>
  <c r="Y720" i="1"/>
  <c r="Z720" i="1"/>
  <c r="AC720" i="1"/>
  <c r="AD720" i="1"/>
  <c r="AE720" i="1"/>
  <c r="BI720" i="1"/>
  <c r="R721" i="1"/>
  <c r="S721" i="1"/>
  <c r="T721" i="1"/>
  <c r="U721" i="1"/>
  <c r="X721" i="1"/>
  <c r="Z721" i="1"/>
  <c r="AC721" i="1"/>
  <c r="AD721" i="1"/>
  <c r="AE721" i="1"/>
  <c r="BI721" i="1"/>
  <c r="R722" i="1"/>
  <c r="S722" i="1"/>
  <c r="T722" i="1"/>
  <c r="U722" i="1"/>
  <c r="X722" i="1"/>
  <c r="Z722" i="1"/>
  <c r="AA722" i="1"/>
  <c r="AB722" i="1"/>
  <c r="AD722" i="1"/>
  <c r="AE722" i="1"/>
  <c r="R723" i="1"/>
  <c r="S723" i="1"/>
  <c r="T723" i="1"/>
  <c r="U723" i="1"/>
  <c r="X723" i="1"/>
  <c r="Y723" i="1"/>
  <c r="Z723" i="1"/>
  <c r="AA723" i="1"/>
  <c r="AB723" i="1"/>
  <c r="AD723" i="1"/>
  <c r="AE723" i="1"/>
  <c r="R724" i="1"/>
  <c r="S724" i="1"/>
  <c r="T724" i="1"/>
  <c r="U724" i="1"/>
  <c r="X724" i="1"/>
  <c r="Z724" i="1"/>
  <c r="AA724" i="1"/>
  <c r="AB724" i="1"/>
  <c r="AD724" i="1"/>
  <c r="AE724" i="1"/>
  <c r="R725" i="1"/>
  <c r="S725" i="1"/>
  <c r="T725" i="1"/>
  <c r="U725" i="1"/>
  <c r="X725" i="1"/>
  <c r="Z725" i="1"/>
  <c r="AA725" i="1"/>
  <c r="AB725" i="1"/>
  <c r="AD725" i="1"/>
  <c r="AE725" i="1"/>
  <c r="R726" i="1"/>
  <c r="S726" i="1"/>
  <c r="T726" i="1"/>
  <c r="U726" i="1"/>
  <c r="X726" i="1"/>
  <c r="Z726" i="1"/>
  <c r="AD726" i="1"/>
  <c r="AE726" i="1"/>
  <c r="R727" i="1"/>
  <c r="S727" i="1"/>
  <c r="T727" i="1"/>
  <c r="U727" i="1"/>
  <c r="X727" i="1"/>
  <c r="Z727" i="1"/>
  <c r="AD727" i="1"/>
  <c r="AE727" i="1"/>
  <c r="R728" i="1"/>
  <c r="S728" i="1"/>
  <c r="T728" i="1"/>
  <c r="U728" i="1"/>
  <c r="X728" i="1"/>
  <c r="Z728" i="1"/>
  <c r="AD728" i="1"/>
  <c r="AE728" i="1"/>
  <c r="R729" i="1"/>
  <c r="S729" i="1"/>
  <c r="T729" i="1"/>
  <c r="U729" i="1"/>
  <c r="X729" i="1"/>
  <c r="Z729" i="1"/>
  <c r="AD729" i="1"/>
  <c r="AE729" i="1"/>
  <c r="R730" i="1"/>
  <c r="S730" i="1"/>
  <c r="T730" i="1"/>
  <c r="U730" i="1"/>
  <c r="X730" i="1"/>
  <c r="Z730" i="1"/>
  <c r="AA730" i="1"/>
  <c r="AC730" i="1"/>
  <c r="AD730" i="1"/>
  <c r="AE730" i="1"/>
  <c r="R731" i="1"/>
  <c r="S731" i="1"/>
  <c r="T731" i="1"/>
  <c r="U731" i="1"/>
  <c r="X731" i="1"/>
  <c r="Y731" i="1"/>
  <c r="Z731" i="1"/>
  <c r="AA731" i="1"/>
  <c r="AB731" i="1"/>
  <c r="AD731" i="1"/>
  <c r="AE731" i="1"/>
  <c r="R732" i="1"/>
  <c r="S732" i="1"/>
  <c r="T732" i="1"/>
  <c r="U732" i="1"/>
  <c r="X732" i="1"/>
  <c r="Y732" i="1"/>
  <c r="Z732" i="1"/>
  <c r="AA732" i="1"/>
  <c r="AB732" i="1"/>
  <c r="AD732" i="1"/>
  <c r="AE732" i="1"/>
  <c r="R733" i="1"/>
  <c r="S733" i="1"/>
  <c r="T733" i="1"/>
  <c r="U733" i="1"/>
  <c r="X733" i="1"/>
  <c r="Y733" i="1"/>
  <c r="Z733" i="1"/>
  <c r="AC733" i="1"/>
  <c r="AD733" i="1"/>
  <c r="AE733" i="1"/>
  <c r="BI733" i="1"/>
  <c r="R734" i="1"/>
  <c r="S734" i="1"/>
  <c r="T734" i="1"/>
  <c r="U734" i="1"/>
  <c r="X734" i="1"/>
  <c r="Z734" i="1"/>
  <c r="AD734" i="1"/>
  <c r="AE734" i="1"/>
  <c r="R735" i="1"/>
  <c r="S735" i="1"/>
  <c r="T735" i="1"/>
  <c r="U735" i="1"/>
  <c r="X735" i="1"/>
  <c r="Z735" i="1"/>
  <c r="AD735" i="1"/>
  <c r="AE735" i="1"/>
  <c r="R736" i="1"/>
  <c r="S736" i="1"/>
  <c r="T736" i="1"/>
  <c r="U736" i="1"/>
  <c r="X736" i="1"/>
  <c r="Y736" i="1"/>
  <c r="Z736" i="1"/>
  <c r="AC736" i="1"/>
  <c r="AD736" i="1"/>
  <c r="AE736" i="1"/>
  <c r="BI736" i="1"/>
  <c r="R737" i="1"/>
  <c r="S737" i="1"/>
  <c r="T737" i="1"/>
  <c r="U737" i="1"/>
  <c r="X737" i="1"/>
  <c r="Z737" i="1"/>
  <c r="AD737" i="1"/>
  <c r="AE737" i="1"/>
  <c r="R738" i="1"/>
  <c r="S738" i="1"/>
  <c r="T738" i="1"/>
  <c r="U738" i="1"/>
  <c r="V738" i="1"/>
  <c r="X738" i="1"/>
  <c r="Y738" i="1"/>
  <c r="Z738" i="1"/>
  <c r="AD738" i="1"/>
  <c r="AE738" i="1"/>
  <c r="R739" i="1"/>
  <c r="S739" i="1"/>
  <c r="T739" i="1"/>
  <c r="U739" i="1"/>
  <c r="V739" i="1"/>
  <c r="X739" i="1"/>
  <c r="Y739" i="1"/>
  <c r="Z739" i="1"/>
  <c r="AA739" i="1"/>
  <c r="AD739" i="1"/>
  <c r="AE739" i="1"/>
  <c r="R740" i="1"/>
  <c r="S740" i="1"/>
  <c r="T740" i="1"/>
  <c r="U740" i="1"/>
  <c r="V740" i="1"/>
  <c r="X740" i="1"/>
  <c r="Z740" i="1"/>
  <c r="AD740" i="1"/>
  <c r="AE740" i="1"/>
  <c r="R741" i="1"/>
  <c r="S741" i="1"/>
  <c r="T741" i="1"/>
  <c r="U741" i="1"/>
  <c r="X741" i="1"/>
  <c r="Y741" i="1"/>
  <c r="Z741" i="1"/>
  <c r="AC741" i="1"/>
  <c r="AD741" i="1"/>
  <c r="AE741" i="1"/>
  <c r="R742" i="1"/>
  <c r="S742" i="1"/>
  <c r="T742" i="1"/>
  <c r="U742" i="1"/>
  <c r="X742" i="1"/>
  <c r="Z742" i="1"/>
  <c r="AC742" i="1"/>
  <c r="AD742" i="1"/>
  <c r="AE742" i="1"/>
  <c r="R743" i="1"/>
  <c r="S743" i="1"/>
  <c r="T743" i="1"/>
  <c r="U743" i="1"/>
  <c r="X743" i="1"/>
  <c r="Y743" i="1"/>
  <c r="Z743" i="1"/>
  <c r="AC743" i="1"/>
  <c r="AD743" i="1"/>
  <c r="AE743" i="1"/>
  <c r="BI743" i="1"/>
  <c r="R744" i="1"/>
  <c r="S744" i="1"/>
  <c r="T744" i="1"/>
  <c r="U744" i="1"/>
  <c r="X744" i="1"/>
  <c r="Y744" i="1"/>
  <c r="Z744" i="1"/>
  <c r="AA744" i="1"/>
  <c r="AB744" i="1"/>
  <c r="AC744" i="1"/>
  <c r="AD744" i="1"/>
  <c r="AE744" i="1"/>
  <c r="R745" i="1"/>
  <c r="S745" i="1"/>
  <c r="T745" i="1"/>
  <c r="U745" i="1"/>
  <c r="X745" i="1"/>
  <c r="Y745" i="1"/>
  <c r="Z745" i="1"/>
  <c r="AC745" i="1"/>
  <c r="AD745" i="1"/>
  <c r="BI745" i="1"/>
  <c r="R746" i="1"/>
  <c r="S746" i="1"/>
  <c r="T746" i="1"/>
  <c r="U746" i="1"/>
  <c r="X746" i="1"/>
  <c r="Z746" i="1"/>
  <c r="AA746" i="1"/>
  <c r="AC746" i="1"/>
  <c r="AD746" i="1"/>
  <c r="AE746" i="1"/>
  <c r="BI746" i="1"/>
  <c r="R747" i="1"/>
  <c r="S747" i="1"/>
  <c r="T747" i="1"/>
  <c r="U747" i="1"/>
  <c r="X747" i="1"/>
  <c r="Y747" i="1"/>
  <c r="Z747" i="1"/>
  <c r="AC747" i="1"/>
  <c r="AD747" i="1"/>
  <c r="AE747" i="1"/>
  <c r="BI747" i="1"/>
  <c r="R748" i="1"/>
  <c r="S748" i="1"/>
  <c r="T748" i="1"/>
  <c r="U748" i="1"/>
  <c r="X748" i="1"/>
  <c r="Y748" i="1"/>
  <c r="Z748" i="1"/>
  <c r="AC748" i="1"/>
  <c r="AD748" i="1"/>
  <c r="AE748" i="1"/>
  <c r="R749" i="1"/>
  <c r="S749" i="1"/>
  <c r="T749" i="1"/>
  <c r="U749" i="1"/>
  <c r="X749" i="1"/>
  <c r="Y749" i="1"/>
  <c r="Z749" i="1"/>
  <c r="AD749" i="1"/>
  <c r="AE749" i="1"/>
  <c r="BI749" i="1"/>
  <c r="R750" i="1"/>
  <c r="S750" i="1"/>
  <c r="T750" i="1"/>
  <c r="U750" i="1"/>
  <c r="X750" i="1"/>
  <c r="Y750" i="1"/>
  <c r="Z750" i="1"/>
  <c r="AA750" i="1"/>
  <c r="AB750" i="1"/>
  <c r="AC750" i="1"/>
  <c r="AD750" i="1"/>
  <c r="AE750" i="1"/>
  <c r="R751" i="1"/>
  <c r="S751" i="1"/>
  <c r="T751" i="1"/>
  <c r="U751" i="1"/>
  <c r="V751" i="1"/>
  <c r="X751" i="1"/>
  <c r="Y751" i="1"/>
  <c r="Z751" i="1"/>
  <c r="AA751" i="1"/>
  <c r="AB751" i="1"/>
  <c r="AC751" i="1"/>
  <c r="AD751" i="1"/>
  <c r="AE751" i="1"/>
  <c r="R752" i="1"/>
  <c r="S752" i="1"/>
  <c r="T752" i="1"/>
  <c r="U752" i="1"/>
  <c r="X752" i="1"/>
  <c r="Z752" i="1"/>
  <c r="AD752" i="1"/>
  <c r="AE752" i="1"/>
  <c r="BI752" i="1"/>
  <c r="R753" i="1"/>
  <c r="S753" i="1"/>
  <c r="T753" i="1"/>
  <c r="U753" i="1"/>
  <c r="X753" i="1"/>
  <c r="Y753" i="1"/>
  <c r="Z753" i="1"/>
  <c r="AA753" i="1"/>
  <c r="AB753" i="1"/>
  <c r="AC753" i="1"/>
  <c r="AD753" i="1"/>
  <c r="AE753" i="1"/>
  <c r="R754" i="1"/>
  <c r="S754" i="1"/>
  <c r="T754" i="1"/>
  <c r="U754" i="1"/>
  <c r="X754" i="1"/>
  <c r="Y754" i="1"/>
  <c r="Z754" i="1"/>
  <c r="AA754" i="1"/>
  <c r="AB754" i="1"/>
  <c r="AC754" i="1"/>
  <c r="AD754" i="1"/>
  <c r="AE754" i="1"/>
  <c r="R755" i="1"/>
  <c r="S755" i="1"/>
  <c r="T755" i="1"/>
  <c r="U755" i="1"/>
  <c r="V755" i="1"/>
  <c r="X755" i="1"/>
  <c r="Y755" i="1"/>
  <c r="Z755" i="1"/>
  <c r="AC755" i="1"/>
  <c r="AD755" i="1"/>
  <c r="AE755" i="1"/>
  <c r="R756" i="1"/>
  <c r="S756" i="1"/>
  <c r="T756" i="1"/>
  <c r="U756" i="1"/>
  <c r="X756" i="1"/>
  <c r="Z756" i="1"/>
  <c r="AC756" i="1"/>
  <c r="AD756" i="1"/>
  <c r="AE756" i="1"/>
  <c r="R757" i="1"/>
  <c r="S757" i="1"/>
  <c r="T757" i="1"/>
  <c r="U757" i="1"/>
  <c r="X757" i="1"/>
  <c r="Z757" i="1"/>
  <c r="AC757" i="1"/>
  <c r="AD757" i="1"/>
  <c r="AE757" i="1"/>
  <c r="R758" i="1"/>
  <c r="S758" i="1"/>
  <c r="T758" i="1"/>
  <c r="U758" i="1"/>
  <c r="X758" i="1"/>
  <c r="Y758" i="1"/>
  <c r="Z758" i="1"/>
  <c r="AA758" i="1"/>
  <c r="AB758" i="1"/>
  <c r="AD758" i="1"/>
  <c r="AE758" i="1"/>
  <c r="R759" i="1"/>
  <c r="S759" i="1"/>
  <c r="T759" i="1"/>
  <c r="U759" i="1"/>
  <c r="V759" i="1"/>
  <c r="X759" i="1"/>
  <c r="Z759" i="1"/>
  <c r="AC759" i="1"/>
  <c r="AD759" i="1"/>
  <c r="AE759" i="1"/>
  <c r="R760" i="1"/>
  <c r="S760" i="1"/>
  <c r="T760" i="1"/>
  <c r="U760" i="1"/>
  <c r="V760" i="1"/>
  <c r="X760" i="1"/>
  <c r="Z760" i="1"/>
  <c r="AA760" i="1"/>
  <c r="AD760" i="1"/>
  <c r="AE760" i="1"/>
  <c r="R761" i="1"/>
  <c r="S761" i="1"/>
  <c r="T761" i="1"/>
  <c r="U761" i="1"/>
  <c r="X761" i="1"/>
  <c r="Z761" i="1"/>
  <c r="AD761" i="1"/>
  <c r="AE761" i="1"/>
  <c r="R762" i="1"/>
  <c r="S762" i="1"/>
  <c r="T762" i="1"/>
  <c r="U762" i="1"/>
  <c r="X762" i="1"/>
  <c r="Z762" i="1"/>
  <c r="AA762" i="1"/>
  <c r="AB762" i="1"/>
  <c r="AC762" i="1"/>
  <c r="AD762" i="1"/>
  <c r="AE762" i="1"/>
  <c r="R763" i="1"/>
  <c r="S763" i="1"/>
  <c r="T763" i="1"/>
  <c r="U763" i="1"/>
  <c r="X763" i="1"/>
  <c r="Z763" i="1"/>
  <c r="AA763" i="1"/>
  <c r="AD763" i="1"/>
  <c r="AE763" i="1"/>
  <c r="R764" i="1"/>
  <c r="S764" i="1"/>
  <c r="T764" i="1"/>
  <c r="U764" i="1"/>
  <c r="X764" i="1"/>
  <c r="Y764" i="1"/>
  <c r="Z764" i="1"/>
  <c r="AA764" i="1"/>
  <c r="AB764" i="1"/>
  <c r="AC764" i="1"/>
  <c r="AD764" i="1"/>
  <c r="AE764" i="1"/>
  <c r="AI764" i="1"/>
  <c r="AN764" i="1"/>
  <c r="AO764" i="1"/>
  <c r="AP764" i="1"/>
  <c r="AQ764" i="1"/>
  <c r="R765" i="1"/>
  <c r="S765" i="1"/>
  <c r="T765" i="1"/>
  <c r="U765" i="1"/>
  <c r="X765" i="1"/>
  <c r="Y765" i="1"/>
  <c r="Z765" i="1"/>
  <c r="AA765" i="1"/>
  <c r="AB765" i="1"/>
  <c r="AD765" i="1"/>
  <c r="AE765" i="1"/>
  <c r="R766" i="1"/>
  <c r="S766" i="1"/>
  <c r="T766" i="1"/>
  <c r="U766" i="1"/>
  <c r="X766" i="1"/>
  <c r="Y766" i="1"/>
  <c r="Z766" i="1"/>
  <c r="AC766" i="1"/>
  <c r="AD766" i="1"/>
  <c r="AE766" i="1"/>
  <c r="R767" i="1"/>
  <c r="S767" i="1"/>
  <c r="T767" i="1"/>
  <c r="U767" i="1"/>
  <c r="X767" i="1"/>
  <c r="Z767" i="1"/>
  <c r="AA767" i="1"/>
  <c r="AB767" i="1"/>
  <c r="AD767" i="1"/>
  <c r="AE767" i="1"/>
  <c r="R768" i="1"/>
  <c r="S768" i="1"/>
  <c r="T768" i="1"/>
  <c r="U768" i="1"/>
  <c r="V768" i="1"/>
  <c r="X768" i="1"/>
  <c r="Y768" i="1"/>
  <c r="Z768" i="1"/>
  <c r="AA768" i="1"/>
  <c r="AB768" i="1"/>
  <c r="AD768" i="1"/>
  <c r="AE768" i="1"/>
  <c r="R769" i="1"/>
  <c r="S769" i="1"/>
  <c r="T769" i="1"/>
  <c r="U769" i="1"/>
  <c r="X769" i="1"/>
  <c r="Y769" i="1"/>
  <c r="Z769" i="1"/>
  <c r="AA769" i="1"/>
  <c r="AB769" i="1"/>
  <c r="AD769" i="1"/>
  <c r="AE769" i="1"/>
  <c r="R770" i="1"/>
  <c r="S770" i="1"/>
  <c r="T770" i="1"/>
  <c r="U770" i="1"/>
  <c r="X770" i="1"/>
  <c r="Z770" i="1"/>
  <c r="AA770" i="1"/>
  <c r="AB770" i="1"/>
  <c r="AD770" i="1"/>
  <c r="AE770" i="1"/>
  <c r="R771" i="1"/>
  <c r="S771" i="1"/>
  <c r="T771" i="1"/>
  <c r="U771" i="1"/>
  <c r="X771" i="1"/>
  <c r="Z771" i="1"/>
  <c r="AD771" i="1"/>
  <c r="AE771" i="1"/>
  <c r="BI771" i="1"/>
  <c r="R772" i="1"/>
  <c r="S772" i="1"/>
  <c r="T772" i="1"/>
  <c r="U772" i="1"/>
  <c r="X772" i="1"/>
  <c r="Z772" i="1"/>
  <c r="AC772" i="1"/>
  <c r="AD772" i="1"/>
  <c r="AE772" i="1"/>
  <c r="R773" i="1"/>
  <c r="S773" i="1"/>
  <c r="T773" i="1"/>
  <c r="U773" i="1"/>
  <c r="X773" i="1"/>
  <c r="Z773" i="1"/>
  <c r="AC773" i="1"/>
  <c r="AD773" i="1"/>
  <c r="AE773" i="1"/>
  <c r="R774" i="1"/>
  <c r="S774" i="1"/>
  <c r="T774" i="1"/>
  <c r="U774" i="1"/>
  <c r="X774" i="1"/>
  <c r="Y774" i="1"/>
  <c r="Z774" i="1"/>
  <c r="AA774" i="1"/>
  <c r="AB774" i="1"/>
  <c r="AC774" i="1"/>
  <c r="AD774" i="1"/>
  <c r="AE774" i="1"/>
  <c r="R775" i="1"/>
  <c r="S775" i="1"/>
  <c r="T775" i="1"/>
  <c r="U775" i="1"/>
  <c r="X775" i="1"/>
  <c r="Y775" i="1"/>
  <c r="Z775" i="1"/>
  <c r="AC775" i="1"/>
  <c r="AD775" i="1"/>
  <c r="AE775" i="1"/>
  <c r="R776" i="1"/>
  <c r="S776" i="1"/>
  <c r="T776" i="1"/>
  <c r="U776" i="1"/>
  <c r="X776" i="1"/>
  <c r="Y776" i="1"/>
  <c r="Z776" i="1"/>
  <c r="AA776" i="1"/>
  <c r="AB776" i="1"/>
  <c r="AC776" i="1"/>
  <c r="AD776" i="1"/>
  <c r="AE776" i="1"/>
  <c r="R777" i="1"/>
  <c r="S777" i="1"/>
  <c r="T777" i="1"/>
  <c r="U777" i="1"/>
  <c r="X777" i="1"/>
  <c r="Y777" i="1"/>
  <c r="Z777" i="1"/>
  <c r="AA777" i="1"/>
  <c r="AB777" i="1"/>
  <c r="AD777" i="1"/>
  <c r="AE777" i="1"/>
  <c r="R778" i="1"/>
  <c r="S778" i="1"/>
  <c r="T778" i="1"/>
  <c r="U778" i="1"/>
  <c r="X778" i="1"/>
  <c r="Y778" i="1"/>
  <c r="Z778" i="1"/>
  <c r="AA778" i="1"/>
  <c r="AB778" i="1"/>
  <c r="AC778" i="1"/>
  <c r="AD778" i="1"/>
  <c r="AE778" i="1"/>
  <c r="R779" i="1"/>
  <c r="S779" i="1"/>
  <c r="T779" i="1"/>
  <c r="U779" i="1"/>
  <c r="X779" i="1"/>
  <c r="Y779" i="1"/>
  <c r="Z779" i="1"/>
  <c r="AA779" i="1"/>
  <c r="AB779" i="1"/>
  <c r="AC779" i="1"/>
  <c r="AD779" i="1"/>
  <c r="AE779" i="1"/>
  <c r="R780" i="1"/>
  <c r="S780" i="1"/>
  <c r="T780" i="1"/>
  <c r="U780" i="1"/>
  <c r="X780" i="1"/>
  <c r="Y780" i="1"/>
  <c r="Z780" i="1"/>
  <c r="AA780" i="1"/>
  <c r="AB780" i="1"/>
  <c r="AD780" i="1"/>
  <c r="AE780" i="1"/>
  <c r="R781" i="1"/>
  <c r="S781" i="1"/>
  <c r="T781" i="1"/>
  <c r="U781" i="1"/>
  <c r="X781" i="1"/>
  <c r="Z781" i="1"/>
  <c r="AA781" i="1"/>
  <c r="AB781" i="1"/>
  <c r="AD781" i="1"/>
  <c r="AE781" i="1"/>
  <c r="R782" i="1"/>
  <c r="S782" i="1"/>
  <c r="T782" i="1"/>
  <c r="U782" i="1"/>
  <c r="X782" i="1"/>
  <c r="Y782" i="1"/>
  <c r="Z782" i="1"/>
  <c r="AC782" i="1"/>
  <c r="AD782" i="1"/>
  <c r="AE782" i="1"/>
  <c r="R783" i="1"/>
  <c r="S783" i="1"/>
  <c r="T783" i="1"/>
  <c r="U783" i="1"/>
  <c r="X783" i="1"/>
  <c r="Z783" i="1"/>
  <c r="AA783" i="1"/>
  <c r="AD783" i="1"/>
  <c r="AE783" i="1"/>
  <c r="R784" i="1"/>
  <c r="S784" i="1"/>
  <c r="T784" i="1"/>
  <c r="U784" i="1"/>
  <c r="X784" i="1"/>
  <c r="Z784" i="1"/>
  <c r="AD784" i="1"/>
  <c r="AE784" i="1"/>
  <c r="BB784" i="1"/>
  <c r="R785" i="1"/>
  <c r="S785" i="1"/>
  <c r="T785" i="1"/>
  <c r="U785" i="1"/>
  <c r="X785" i="1"/>
  <c r="Z785" i="1"/>
  <c r="AC785" i="1"/>
  <c r="AD785" i="1"/>
  <c r="AE785" i="1"/>
  <c r="R786" i="1"/>
  <c r="S786" i="1"/>
  <c r="T786" i="1"/>
  <c r="U786" i="1"/>
  <c r="X786" i="1"/>
  <c r="Y786" i="1"/>
  <c r="Z786" i="1"/>
  <c r="AC786" i="1"/>
  <c r="AD786" i="1"/>
  <c r="AE786" i="1"/>
  <c r="R787" i="1"/>
  <c r="S787" i="1"/>
  <c r="T787" i="1"/>
  <c r="U787" i="1"/>
  <c r="X787" i="1"/>
  <c r="Y787" i="1"/>
  <c r="Z787" i="1"/>
  <c r="AA787" i="1"/>
  <c r="AC787" i="1"/>
  <c r="AD787" i="1"/>
  <c r="R788" i="1"/>
  <c r="S788" i="1"/>
  <c r="T788" i="1"/>
  <c r="U788" i="1"/>
  <c r="X788" i="1"/>
  <c r="Y788" i="1"/>
  <c r="Z788" i="1"/>
  <c r="AA788" i="1"/>
  <c r="AB788" i="1"/>
  <c r="AC788" i="1"/>
  <c r="AD788" i="1"/>
  <c r="R789" i="1"/>
  <c r="S789" i="1"/>
  <c r="T789" i="1"/>
  <c r="U789" i="1"/>
  <c r="X789" i="1"/>
  <c r="Z789" i="1"/>
  <c r="AD789" i="1"/>
  <c r="AE789" i="1"/>
  <c r="R790" i="1"/>
  <c r="S790" i="1"/>
  <c r="T790" i="1"/>
  <c r="U790" i="1"/>
  <c r="X790" i="1"/>
  <c r="Y790" i="1"/>
  <c r="Z790" i="1"/>
  <c r="AD790" i="1"/>
  <c r="AE790" i="1"/>
  <c r="R791" i="1"/>
  <c r="S791" i="1"/>
  <c r="T791" i="1"/>
  <c r="U791" i="1"/>
  <c r="X791" i="1"/>
  <c r="Z791" i="1"/>
  <c r="AA791" i="1"/>
  <c r="AB791" i="1"/>
  <c r="AC791" i="1"/>
  <c r="AD791" i="1"/>
  <c r="AE791" i="1"/>
  <c r="R792" i="1"/>
  <c r="S792" i="1"/>
  <c r="T792" i="1"/>
  <c r="U792" i="1"/>
  <c r="X792" i="1"/>
  <c r="Z792" i="1"/>
  <c r="AD792" i="1"/>
  <c r="AE792" i="1"/>
  <c r="R793" i="1"/>
  <c r="S793" i="1"/>
  <c r="T793" i="1"/>
  <c r="U793" i="1"/>
  <c r="X793" i="1"/>
  <c r="Z793" i="1"/>
  <c r="AC793" i="1"/>
  <c r="AD793" i="1"/>
  <c r="AE793" i="1"/>
  <c r="R794" i="1"/>
  <c r="S794" i="1"/>
  <c r="T794" i="1"/>
  <c r="U794" i="1"/>
  <c r="X794" i="1"/>
  <c r="Z794" i="1"/>
  <c r="AD794" i="1"/>
  <c r="AE794" i="1"/>
  <c r="R795" i="1"/>
  <c r="S795" i="1"/>
  <c r="T795" i="1"/>
  <c r="U795" i="1"/>
  <c r="X795" i="1"/>
  <c r="Y795" i="1"/>
  <c r="Z795" i="1"/>
  <c r="AD795" i="1"/>
  <c r="AE795" i="1"/>
  <c r="BI795" i="1"/>
  <c r="R796" i="1"/>
  <c r="S796" i="1"/>
  <c r="T796" i="1"/>
  <c r="U796" i="1"/>
  <c r="X796" i="1"/>
  <c r="Y796" i="1"/>
  <c r="Z796" i="1"/>
  <c r="AD796" i="1"/>
  <c r="AE796" i="1"/>
  <c r="R797" i="1"/>
  <c r="S797" i="1"/>
  <c r="T797" i="1"/>
  <c r="U797" i="1"/>
  <c r="X797" i="1"/>
  <c r="Z797" i="1"/>
  <c r="AA797" i="1"/>
  <c r="AB797" i="1"/>
  <c r="AD797" i="1"/>
  <c r="AE797" i="1"/>
  <c r="R798" i="1"/>
  <c r="S798" i="1"/>
  <c r="T798" i="1"/>
  <c r="U798" i="1"/>
  <c r="X798" i="1"/>
  <c r="Y798" i="1"/>
  <c r="Z798" i="1"/>
  <c r="AA798" i="1"/>
  <c r="AB798" i="1"/>
  <c r="AD798" i="1"/>
  <c r="AE798" i="1"/>
  <c r="R799" i="1"/>
  <c r="S799" i="1"/>
  <c r="T799" i="1"/>
  <c r="U799" i="1"/>
  <c r="X799" i="1"/>
  <c r="Z799" i="1"/>
  <c r="AA799" i="1"/>
  <c r="AB799" i="1"/>
  <c r="AD799" i="1"/>
  <c r="AE799" i="1"/>
  <c r="R800" i="1"/>
  <c r="S800" i="1"/>
  <c r="T800" i="1"/>
  <c r="U800" i="1"/>
  <c r="X800" i="1"/>
  <c r="Y800" i="1"/>
  <c r="Z800" i="1"/>
  <c r="AB800" i="1"/>
  <c r="AD800" i="1"/>
  <c r="AE800" i="1"/>
  <c r="R801" i="1"/>
  <c r="S801" i="1"/>
  <c r="T801" i="1"/>
  <c r="U801" i="1"/>
  <c r="X801" i="1"/>
  <c r="Y801" i="1"/>
  <c r="Z801" i="1"/>
  <c r="AA801" i="1"/>
  <c r="AB801" i="1"/>
  <c r="AC801" i="1"/>
  <c r="AD801" i="1"/>
  <c r="AE801" i="1"/>
  <c r="R802" i="1"/>
  <c r="S802" i="1"/>
  <c r="T802" i="1"/>
  <c r="U802" i="1"/>
  <c r="V802" i="1"/>
  <c r="X802" i="1"/>
  <c r="Y802" i="1"/>
  <c r="Z802" i="1"/>
  <c r="AA802" i="1"/>
  <c r="AB802" i="1"/>
  <c r="AC802" i="1"/>
  <c r="AD802" i="1"/>
  <c r="AE802" i="1"/>
  <c r="R803" i="1"/>
  <c r="S803" i="1"/>
  <c r="T803" i="1"/>
  <c r="U803" i="1"/>
  <c r="X803" i="1"/>
  <c r="Y803" i="1"/>
  <c r="Z803" i="1"/>
  <c r="AA803" i="1"/>
  <c r="AB803" i="1"/>
  <c r="AD803" i="1"/>
  <c r="AE803" i="1"/>
  <c r="R804" i="1"/>
  <c r="S804" i="1"/>
  <c r="T804" i="1"/>
  <c r="U804" i="1"/>
  <c r="X804" i="1"/>
  <c r="Z804" i="1"/>
  <c r="AA804" i="1"/>
  <c r="AB804" i="1"/>
  <c r="AC804" i="1"/>
  <c r="AD804" i="1"/>
  <c r="AE804" i="1"/>
  <c r="BI804" i="1"/>
  <c r="R805" i="1"/>
  <c r="S805" i="1"/>
  <c r="T805" i="1"/>
  <c r="U805" i="1"/>
  <c r="X805" i="1"/>
  <c r="Y805" i="1"/>
  <c r="Z805" i="1"/>
  <c r="AA805" i="1"/>
  <c r="AB805" i="1"/>
  <c r="AC805" i="1"/>
  <c r="AD805" i="1"/>
  <c r="AE805" i="1"/>
  <c r="AN805" i="1"/>
  <c r="AO805" i="1"/>
  <c r="AP805" i="1"/>
  <c r="AQ805" i="1"/>
  <c r="R806" i="1"/>
  <c r="S806" i="1"/>
  <c r="T806" i="1"/>
  <c r="U806" i="1"/>
  <c r="X806" i="1"/>
  <c r="Z806" i="1"/>
  <c r="AA806" i="1"/>
  <c r="AB806" i="1"/>
  <c r="AD806" i="1"/>
  <c r="AE806" i="1"/>
  <c r="R807" i="1"/>
  <c r="S807" i="1"/>
  <c r="T807" i="1"/>
  <c r="U807" i="1"/>
  <c r="X807" i="1"/>
  <c r="Y807" i="1"/>
  <c r="Z807" i="1"/>
  <c r="AC807" i="1"/>
  <c r="AD807" i="1"/>
  <c r="AE807" i="1"/>
  <c r="R808" i="1"/>
  <c r="S808" i="1"/>
  <c r="T808" i="1"/>
  <c r="U808" i="1"/>
  <c r="X808" i="1"/>
  <c r="Z808" i="1"/>
  <c r="AA808" i="1"/>
  <c r="AB808" i="1"/>
  <c r="AD808" i="1"/>
  <c r="AE808" i="1"/>
  <c r="R809" i="1"/>
  <c r="S809" i="1"/>
  <c r="T809" i="1"/>
  <c r="U809" i="1"/>
  <c r="X809" i="1"/>
  <c r="Z809" i="1"/>
  <c r="AD809" i="1"/>
  <c r="AE809" i="1"/>
  <c r="R810" i="1"/>
  <c r="S810" i="1"/>
  <c r="T810" i="1"/>
  <c r="U810" i="1"/>
  <c r="V810" i="1"/>
  <c r="X810" i="1"/>
  <c r="Z810" i="1"/>
  <c r="AD810" i="1"/>
  <c r="AE810" i="1"/>
  <c r="R811" i="1"/>
  <c r="S811" i="1"/>
  <c r="T811" i="1"/>
  <c r="U811" i="1"/>
  <c r="X811" i="1"/>
  <c r="Y811" i="1"/>
  <c r="Z811" i="1"/>
  <c r="AA811" i="1"/>
  <c r="AB811" i="1"/>
  <c r="AD811" i="1"/>
  <c r="AE811" i="1"/>
  <c r="R812" i="1"/>
  <c r="S812" i="1"/>
  <c r="T812" i="1"/>
  <c r="U812" i="1"/>
  <c r="X812" i="1"/>
  <c r="Y812" i="1"/>
  <c r="Z812" i="1"/>
  <c r="AA812" i="1"/>
  <c r="AB812" i="1"/>
  <c r="AD812" i="1"/>
  <c r="AE812" i="1"/>
  <c r="R813" i="1"/>
  <c r="S813" i="1"/>
  <c r="T813" i="1"/>
  <c r="U813" i="1"/>
  <c r="X813" i="1"/>
  <c r="Z813" i="1"/>
  <c r="AD813" i="1"/>
  <c r="AE813" i="1"/>
  <c r="R814" i="1"/>
  <c r="S814" i="1"/>
  <c r="T814" i="1"/>
  <c r="U814" i="1"/>
  <c r="X814" i="1"/>
  <c r="Y814" i="1"/>
  <c r="Z814" i="1"/>
  <c r="AD814" i="1"/>
  <c r="AE814" i="1"/>
  <c r="R815" i="1"/>
  <c r="S815" i="1"/>
  <c r="T815" i="1"/>
  <c r="U815" i="1"/>
  <c r="X815" i="1"/>
  <c r="Y815" i="1"/>
  <c r="Z815" i="1"/>
  <c r="AA815" i="1"/>
  <c r="AB815" i="1"/>
  <c r="AC815" i="1"/>
  <c r="AD815" i="1"/>
  <c r="AE815" i="1"/>
  <c r="BI815" i="1"/>
  <c r="R816" i="1"/>
  <c r="S816" i="1"/>
  <c r="T816" i="1"/>
  <c r="U816" i="1"/>
  <c r="X816" i="1"/>
  <c r="Y816" i="1"/>
  <c r="Z816" i="1"/>
  <c r="AA816" i="1"/>
  <c r="AB816" i="1"/>
  <c r="AD816" i="1"/>
  <c r="AE816" i="1"/>
  <c r="R817" i="1"/>
  <c r="S817" i="1"/>
  <c r="T817" i="1"/>
  <c r="U817" i="1"/>
  <c r="X817" i="1"/>
  <c r="Z817" i="1"/>
  <c r="AA817" i="1"/>
  <c r="AB817" i="1"/>
  <c r="AC817" i="1"/>
  <c r="AD817" i="1"/>
  <c r="AE817" i="1"/>
  <c r="R818" i="1"/>
  <c r="S818" i="1"/>
  <c r="T818" i="1"/>
  <c r="U818" i="1"/>
  <c r="X818" i="1"/>
  <c r="Z818" i="1"/>
  <c r="AC818" i="1"/>
  <c r="AD818" i="1"/>
  <c r="AE818" i="1"/>
  <c r="R819" i="1"/>
  <c r="S819" i="1"/>
  <c r="T819" i="1"/>
  <c r="U819" i="1"/>
  <c r="X819" i="1"/>
  <c r="Z819" i="1"/>
  <c r="AD819" i="1"/>
  <c r="AE819" i="1"/>
  <c r="BI819" i="1"/>
  <c r="R820" i="1"/>
  <c r="S820" i="1"/>
  <c r="T820" i="1"/>
  <c r="U820" i="1"/>
  <c r="X820" i="1"/>
  <c r="Y820" i="1"/>
  <c r="Z820" i="1"/>
  <c r="AA820" i="1"/>
  <c r="AB820" i="1"/>
  <c r="AD820" i="1"/>
  <c r="AE820" i="1"/>
  <c r="R821" i="1"/>
  <c r="S821" i="1"/>
  <c r="T821" i="1"/>
  <c r="U821" i="1"/>
  <c r="X821" i="1"/>
  <c r="Z821" i="1"/>
  <c r="AA821" i="1"/>
  <c r="AB821" i="1"/>
  <c r="AD821" i="1"/>
  <c r="AE821" i="1"/>
  <c r="R822" i="1"/>
  <c r="S822" i="1"/>
  <c r="T822" i="1"/>
  <c r="U822" i="1"/>
  <c r="X822" i="1"/>
  <c r="Y822" i="1"/>
  <c r="Z822" i="1"/>
  <c r="AA822" i="1"/>
  <c r="AB822" i="1"/>
  <c r="AD822" i="1"/>
  <c r="AE822" i="1"/>
  <c r="R823" i="1"/>
  <c r="S823" i="1"/>
  <c r="T823" i="1"/>
  <c r="U823" i="1"/>
  <c r="X823" i="1"/>
  <c r="Y823" i="1"/>
  <c r="Z823" i="1"/>
  <c r="AA823" i="1"/>
  <c r="AB823" i="1"/>
  <c r="AD823" i="1"/>
  <c r="AE823" i="1"/>
  <c r="R824" i="1"/>
  <c r="S824" i="1"/>
  <c r="T824" i="1"/>
  <c r="U824" i="1"/>
  <c r="X824" i="1"/>
  <c r="Z824" i="1"/>
  <c r="AC824" i="1"/>
  <c r="AD824" i="1"/>
  <c r="AE824" i="1"/>
  <c r="R825" i="1"/>
  <c r="S825" i="1"/>
  <c r="T825" i="1"/>
  <c r="U825" i="1"/>
  <c r="X825" i="1"/>
  <c r="Y825" i="1"/>
  <c r="Z825" i="1"/>
  <c r="AA825" i="1"/>
  <c r="AC825" i="1"/>
  <c r="AD825" i="1"/>
  <c r="BI825" i="1"/>
  <c r="R826" i="1"/>
  <c r="S826" i="1"/>
  <c r="T826" i="1"/>
  <c r="U826" i="1"/>
  <c r="X826" i="1"/>
  <c r="Z826" i="1"/>
  <c r="AA826" i="1"/>
  <c r="AD826" i="1"/>
  <c r="AE826" i="1"/>
  <c r="R827" i="1"/>
  <c r="S827" i="1"/>
  <c r="T827" i="1"/>
  <c r="U827" i="1"/>
  <c r="X827" i="1"/>
  <c r="Y827" i="1"/>
  <c r="Z827" i="1"/>
  <c r="AC827" i="1"/>
  <c r="AD827" i="1"/>
  <c r="AE827" i="1"/>
  <c r="R828" i="1"/>
  <c r="S828" i="1"/>
  <c r="T828" i="1"/>
  <c r="U828" i="1"/>
  <c r="X828" i="1"/>
  <c r="Z828" i="1"/>
  <c r="AC828" i="1"/>
  <c r="AD828" i="1"/>
  <c r="AE828" i="1"/>
  <c r="R829" i="1"/>
  <c r="S829" i="1"/>
  <c r="T829" i="1"/>
  <c r="U829" i="1"/>
  <c r="X829" i="1"/>
  <c r="Y829" i="1"/>
  <c r="Z829" i="1"/>
  <c r="AC829" i="1"/>
  <c r="AD829" i="1"/>
  <c r="AE829" i="1"/>
  <c r="BI829" i="1"/>
  <c r="R830" i="1"/>
  <c r="S830" i="1"/>
  <c r="T830" i="1"/>
  <c r="U830" i="1"/>
  <c r="X830" i="1"/>
  <c r="Y830" i="1"/>
  <c r="Z830" i="1"/>
  <c r="AD830" i="1"/>
  <c r="AE830" i="1"/>
  <c r="R831" i="1"/>
  <c r="S831" i="1"/>
  <c r="T831" i="1"/>
  <c r="U831" i="1"/>
  <c r="X831" i="1"/>
  <c r="Z831" i="1"/>
  <c r="AA831" i="1"/>
  <c r="AB831" i="1"/>
  <c r="AD831" i="1"/>
  <c r="AE831" i="1"/>
  <c r="R832" i="1"/>
  <c r="S832" i="1"/>
  <c r="T832" i="1"/>
  <c r="U832" i="1"/>
  <c r="X832" i="1"/>
  <c r="Z832" i="1"/>
  <c r="AC832" i="1"/>
  <c r="AD832" i="1"/>
  <c r="AE832" i="1"/>
  <c r="R833" i="1"/>
  <c r="S833" i="1"/>
  <c r="T833" i="1"/>
  <c r="U833" i="1"/>
  <c r="X833" i="1"/>
  <c r="Y833" i="1"/>
  <c r="Z833" i="1"/>
  <c r="AB833" i="1"/>
  <c r="AC833" i="1"/>
  <c r="AD833" i="1"/>
  <c r="AE833" i="1"/>
  <c r="BI833" i="1"/>
  <c r="R834" i="1"/>
  <c r="S834" i="1"/>
  <c r="T834" i="1"/>
  <c r="U834" i="1"/>
  <c r="X834" i="1"/>
  <c r="Z834" i="1"/>
  <c r="AC834" i="1"/>
  <c r="AD834" i="1"/>
  <c r="AE834" i="1"/>
  <c r="R835" i="1"/>
  <c r="S835" i="1"/>
  <c r="T835" i="1"/>
  <c r="U835" i="1"/>
  <c r="X835" i="1"/>
  <c r="Y835" i="1"/>
  <c r="Z835" i="1"/>
  <c r="AC835" i="1"/>
  <c r="AD835" i="1"/>
  <c r="AE835" i="1"/>
  <c r="R836" i="1"/>
  <c r="S836" i="1"/>
  <c r="T836" i="1"/>
  <c r="U836" i="1"/>
  <c r="X836" i="1"/>
  <c r="Y836" i="1"/>
  <c r="Z836" i="1"/>
  <c r="AC836" i="1"/>
  <c r="AD836" i="1"/>
  <c r="AE836" i="1"/>
  <c r="R837" i="1"/>
  <c r="S837" i="1"/>
  <c r="T837" i="1"/>
  <c r="U837" i="1"/>
  <c r="X837" i="1"/>
  <c r="Y837" i="1"/>
  <c r="Z837" i="1"/>
  <c r="AA837" i="1"/>
  <c r="AB837" i="1"/>
  <c r="AD837" i="1"/>
  <c r="AE837" i="1"/>
  <c r="R838" i="1"/>
  <c r="S838" i="1"/>
  <c r="T838" i="1"/>
  <c r="U838" i="1"/>
  <c r="V838" i="1"/>
  <c r="X838" i="1"/>
  <c r="Y838" i="1"/>
  <c r="Z838" i="1"/>
  <c r="AA838" i="1"/>
  <c r="AB838" i="1"/>
  <c r="AD838" i="1"/>
  <c r="AE838" i="1"/>
  <c r="R839" i="1"/>
  <c r="S839" i="1"/>
  <c r="T839" i="1"/>
  <c r="U839" i="1"/>
  <c r="X839" i="1"/>
  <c r="Y839" i="1"/>
  <c r="Z839" i="1"/>
  <c r="AA839" i="1"/>
  <c r="AC839" i="1"/>
  <c r="AD839" i="1"/>
  <c r="AE839" i="1"/>
  <c r="BI839" i="1"/>
  <c r="R840" i="1"/>
  <c r="S840" i="1"/>
  <c r="T840" i="1"/>
  <c r="U840" i="1"/>
  <c r="V840" i="1"/>
  <c r="X840" i="1"/>
  <c r="Y840" i="1"/>
  <c r="Z840" i="1"/>
  <c r="AD840" i="1"/>
  <c r="AE840" i="1"/>
  <c r="R841" i="1"/>
  <c r="S841" i="1"/>
  <c r="T841" i="1"/>
  <c r="U841" i="1"/>
  <c r="V841" i="1"/>
  <c r="X841" i="1"/>
  <c r="Y841" i="1"/>
  <c r="Z841" i="1"/>
  <c r="AA841" i="1"/>
  <c r="AB841" i="1"/>
  <c r="AC841" i="1"/>
  <c r="AD841" i="1"/>
  <c r="AE841" i="1"/>
  <c r="BI841" i="1"/>
  <c r="R842" i="1"/>
  <c r="S842" i="1"/>
  <c r="T842" i="1"/>
  <c r="U842" i="1"/>
  <c r="X842" i="1"/>
  <c r="Y842" i="1"/>
  <c r="Z842" i="1"/>
  <c r="AA842" i="1"/>
  <c r="AB842" i="1"/>
  <c r="AC842" i="1"/>
  <c r="AD842" i="1"/>
  <c r="AE842" i="1"/>
  <c r="R843" i="1"/>
  <c r="S843" i="1"/>
  <c r="T843" i="1"/>
  <c r="U843" i="1"/>
  <c r="X843" i="1"/>
  <c r="Z843" i="1"/>
  <c r="AC843" i="1"/>
  <c r="AD843" i="1"/>
  <c r="AE843" i="1"/>
  <c r="BI843" i="1"/>
  <c r="R844" i="1"/>
  <c r="S844" i="1"/>
  <c r="T844" i="1"/>
  <c r="U844" i="1"/>
  <c r="X844" i="1"/>
  <c r="Z844" i="1"/>
  <c r="AD844" i="1"/>
  <c r="AE844" i="1"/>
  <c r="R845" i="1"/>
  <c r="S845" i="1"/>
  <c r="T845" i="1"/>
  <c r="U845" i="1"/>
  <c r="X845" i="1"/>
  <c r="Z845" i="1"/>
  <c r="AA845" i="1"/>
  <c r="AB845" i="1"/>
  <c r="AD845" i="1"/>
  <c r="AE845" i="1"/>
  <c r="R846" i="1"/>
  <c r="S846" i="1"/>
  <c r="T846" i="1"/>
  <c r="U846" i="1"/>
  <c r="V846" i="1"/>
  <c r="X846" i="1"/>
  <c r="Y846" i="1"/>
  <c r="Z846" i="1"/>
  <c r="AA846" i="1"/>
  <c r="AB846" i="1"/>
  <c r="AC846" i="1"/>
  <c r="AD846" i="1"/>
  <c r="AE846" i="1"/>
  <c r="R847" i="1"/>
  <c r="S847" i="1"/>
  <c r="T847" i="1"/>
  <c r="U847" i="1"/>
  <c r="X847" i="1"/>
  <c r="Z847" i="1"/>
  <c r="AD847" i="1"/>
  <c r="AE847" i="1"/>
  <c r="R848" i="1"/>
  <c r="S848" i="1"/>
  <c r="T848" i="1"/>
  <c r="U848" i="1"/>
  <c r="X848" i="1"/>
  <c r="Z848" i="1"/>
  <c r="AD848" i="1"/>
  <c r="AE848" i="1"/>
  <c r="R849" i="1"/>
  <c r="S849" i="1"/>
  <c r="T849" i="1"/>
  <c r="U849" i="1"/>
  <c r="X849" i="1"/>
  <c r="Z849" i="1"/>
  <c r="AB849" i="1"/>
  <c r="AC849" i="1"/>
  <c r="AD849" i="1"/>
  <c r="AE849" i="1"/>
  <c r="BI849" i="1"/>
  <c r="R850" i="1"/>
  <c r="S850" i="1"/>
  <c r="T850" i="1"/>
  <c r="U850" i="1"/>
  <c r="X850" i="1"/>
  <c r="Z850" i="1"/>
  <c r="AA850" i="1"/>
  <c r="AC850" i="1"/>
  <c r="AD850" i="1"/>
  <c r="AE850" i="1"/>
  <c r="BI850" i="1"/>
  <c r="R851" i="1"/>
  <c r="S851" i="1"/>
  <c r="T851" i="1"/>
  <c r="U851" i="1"/>
  <c r="X851" i="1"/>
  <c r="Z851" i="1"/>
  <c r="AD851" i="1"/>
  <c r="AE851" i="1"/>
  <c r="R852" i="1"/>
  <c r="S852" i="1"/>
  <c r="T852" i="1"/>
  <c r="U852" i="1"/>
  <c r="X852" i="1"/>
  <c r="Z852" i="1"/>
  <c r="AD852" i="1"/>
  <c r="AE852" i="1"/>
  <c r="R853" i="1"/>
  <c r="S853" i="1"/>
  <c r="T853" i="1"/>
  <c r="U853" i="1"/>
  <c r="X853" i="1"/>
  <c r="Y853" i="1"/>
  <c r="Z853" i="1"/>
  <c r="AC853" i="1"/>
  <c r="AD853" i="1"/>
  <c r="AE853" i="1"/>
  <c r="R854" i="1"/>
  <c r="S854" i="1"/>
  <c r="T854" i="1"/>
  <c r="U854" i="1"/>
  <c r="X854" i="1"/>
  <c r="Z854" i="1"/>
  <c r="AB854" i="1"/>
  <c r="AC854" i="1"/>
  <c r="AD854" i="1"/>
  <c r="AE854" i="1"/>
  <c r="R855" i="1"/>
  <c r="S855" i="1"/>
  <c r="T855" i="1"/>
  <c r="U855" i="1"/>
  <c r="X855" i="1"/>
  <c r="Z855" i="1"/>
  <c r="AD855" i="1"/>
  <c r="AE855" i="1"/>
  <c r="BI855" i="1"/>
  <c r="R856" i="1"/>
  <c r="S856" i="1"/>
  <c r="T856" i="1"/>
  <c r="U856" i="1"/>
  <c r="X856" i="1"/>
  <c r="Y856" i="1"/>
  <c r="Z856" i="1"/>
  <c r="AD856" i="1"/>
  <c r="AE856" i="1"/>
  <c r="R857" i="1"/>
  <c r="S857" i="1"/>
  <c r="T857" i="1"/>
  <c r="U857" i="1"/>
  <c r="X857" i="1"/>
  <c r="Z857" i="1"/>
  <c r="AC857" i="1"/>
  <c r="AD857" i="1"/>
  <c r="AE857" i="1"/>
  <c r="R858" i="1"/>
  <c r="S858" i="1"/>
  <c r="T858" i="1"/>
  <c r="U858" i="1"/>
  <c r="X858" i="1"/>
  <c r="Y858" i="1"/>
  <c r="Z858" i="1"/>
  <c r="AC858" i="1"/>
  <c r="AD858" i="1"/>
  <c r="AE858" i="1"/>
  <c r="R859" i="1"/>
  <c r="S859" i="1"/>
  <c r="T859" i="1"/>
  <c r="U859" i="1"/>
  <c r="X859" i="1"/>
  <c r="Z859" i="1"/>
  <c r="AA859" i="1"/>
  <c r="AD859" i="1"/>
  <c r="AE859" i="1"/>
  <c r="R860" i="1"/>
  <c r="S860" i="1"/>
  <c r="T860" i="1"/>
  <c r="U860" i="1"/>
  <c r="X860" i="1"/>
  <c r="Z860" i="1"/>
  <c r="AA860" i="1"/>
  <c r="AC860" i="1"/>
  <c r="AD860" i="1"/>
  <c r="AE860" i="1"/>
  <c r="R861" i="1"/>
  <c r="S861" i="1"/>
  <c r="T861" i="1"/>
  <c r="U861" i="1"/>
  <c r="X861" i="1"/>
  <c r="Z861" i="1"/>
  <c r="AD861" i="1"/>
  <c r="AE861" i="1"/>
  <c r="R862" i="1"/>
  <c r="S862" i="1"/>
  <c r="T862" i="1"/>
  <c r="U862" i="1"/>
  <c r="X862" i="1"/>
  <c r="Y862" i="1"/>
  <c r="Z862" i="1"/>
  <c r="AD862" i="1"/>
  <c r="AE862" i="1"/>
  <c r="R863" i="1"/>
  <c r="S863" i="1"/>
  <c r="T863" i="1"/>
  <c r="U863" i="1"/>
  <c r="X863" i="1"/>
  <c r="Y863" i="1"/>
  <c r="Z863" i="1"/>
  <c r="AA863" i="1"/>
  <c r="AB863" i="1"/>
  <c r="AC863" i="1"/>
  <c r="AD863" i="1"/>
  <c r="R864" i="1"/>
  <c r="S864" i="1"/>
  <c r="T864" i="1"/>
  <c r="U864" i="1"/>
  <c r="X864" i="1"/>
  <c r="Z864" i="1"/>
  <c r="AD864" i="1"/>
  <c r="AE864" i="1"/>
  <c r="R865" i="1"/>
  <c r="S865" i="1"/>
  <c r="T865" i="1"/>
  <c r="U865" i="1"/>
  <c r="X865" i="1"/>
  <c r="Y865" i="1"/>
  <c r="Z865" i="1"/>
  <c r="AC865" i="1"/>
  <c r="AD865" i="1"/>
  <c r="AE865" i="1"/>
  <c r="R866" i="1"/>
  <c r="S866" i="1"/>
  <c r="T866" i="1"/>
  <c r="U866" i="1"/>
  <c r="X866" i="1"/>
  <c r="Y866" i="1"/>
  <c r="Z866" i="1"/>
  <c r="AA866" i="1"/>
  <c r="AB866" i="1"/>
  <c r="AD866" i="1"/>
  <c r="R867" i="1"/>
  <c r="S867" i="1"/>
  <c r="T867" i="1"/>
  <c r="U867" i="1"/>
  <c r="X867" i="1"/>
  <c r="Y867" i="1"/>
  <c r="Z867" i="1"/>
  <c r="AC867" i="1"/>
  <c r="AD867" i="1"/>
  <c r="AE867" i="1"/>
  <c r="R868" i="1"/>
  <c r="S868" i="1"/>
  <c r="T868" i="1"/>
  <c r="U868" i="1"/>
  <c r="X868" i="1"/>
  <c r="Y868" i="1"/>
  <c r="Z868" i="1"/>
  <c r="AC868" i="1"/>
  <c r="AD868" i="1"/>
  <c r="AE868" i="1"/>
  <c r="R869" i="1"/>
  <c r="S869" i="1"/>
  <c r="T869" i="1"/>
  <c r="U869" i="1"/>
  <c r="X869" i="1"/>
  <c r="Y869" i="1"/>
  <c r="Z869" i="1"/>
  <c r="AD869" i="1"/>
  <c r="AE869" i="1"/>
  <c r="R870" i="1"/>
  <c r="S870" i="1"/>
  <c r="T870" i="1"/>
  <c r="U870" i="1"/>
  <c r="X870" i="1"/>
  <c r="Y870" i="1"/>
  <c r="Z870" i="1"/>
  <c r="AA870" i="1"/>
  <c r="AB870" i="1"/>
  <c r="AC870" i="1"/>
  <c r="AD870" i="1"/>
  <c r="AE870" i="1"/>
  <c r="R871" i="1"/>
  <c r="S871" i="1"/>
  <c r="T871" i="1"/>
  <c r="U871" i="1"/>
  <c r="X871" i="1"/>
  <c r="Y871" i="1"/>
  <c r="AA871" i="1"/>
  <c r="AB871" i="1"/>
  <c r="AD871" i="1"/>
  <c r="BI871" i="1"/>
  <c r="R872" i="1"/>
  <c r="S872" i="1"/>
  <c r="T872" i="1"/>
  <c r="U872" i="1"/>
  <c r="X872" i="1"/>
  <c r="Y872" i="1"/>
  <c r="Z872" i="1"/>
  <c r="AA872" i="1"/>
  <c r="AB872" i="1"/>
  <c r="AD872" i="1"/>
  <c r="AE872" i="1"/>
  <c r="R873" i="1"/>
  <c r="S873" i="1"/>
  <c r="T873" i="1"/>
  <c r="U873" i="1"/>
  <c r="X873" i="1"/>
  <c r="Z873" i="1"/>
  <c r="AA873" i="1"/>
  <c r="AB873" i="1"/>
  <c r="AC873" i="1"/>
  <c r="AD873" i="1"/>
  <c r="AE873" i="1"/>
  <c r="R874" i="1"/>
  <c r="S874" i="1"/>
  <c r="T874" i="1"/>
  <c r="U874" i="1"/>
  <c r="X874" i="1"/>
  <c r="Y874" i="1"/>
  <c r="Z874" i="1"/>
  <c r="AA874" i="1"/>
  <c r="AB874" i="1"/>
  <c r="AC874" i="1"/>
  <c r="AD874" i="1"/>
  <c r="AE874" i="1"/>
  <c r="BI874" i="1"/>
  <c r="R875" i="1"/>
  <c r="S875" i="1"/>
  <c r="T875" i="1"/>
  <c r="U875" i="1"/>
  <c r="X875" i="1"/>
  <c r="Y875" i="1"/>
  <c r="Z875" i="1"/>
  <c r="AB875" i="1"/>
  <c r="AC875" i="1"/>
  <c r="AD875" i="1"/>
  <c r="R876" i="1"/>
  <c r="S876" i="1"/>
  <c r="T876" i="1"/>
  <c r="U876" i="1"/>
  <c r="X876" i="1"/>
  <c r="Y876" i="1"/>
  <c r="Z876" i="1"/>
  <c r="AA876" i="1"/>
  <c r="AB876" i="1"/>
  <c r="AD876" i="1"/>
  <c r="AE876" i="1"/>
  <c r="R877" i="1"/>
  <c r="S877" i="1"/>
  <c r="T877" i="1"/>
  <c r="U877" i="1"/>
  <c r="X877" i="1"/>
  <c r="Y877" i="1"/>
  <c r="Z877" i="1"/>
  <c r="AA877" i="1"/>
  <c r="AB877" i="1"/>
  <c r="AD877" i="1"/>
  <c r="AE877" i="1"/>
  <c r="R878" i="1"/>
  <c r="S878" i="1"/>
  <c r="T878" i="1"/>
  <c r="U878" i="1"/>
  <c r="X878" i="1"/>
  <c r="Y878" i="1"/>
  <c r="Z878" i="1"/>
  <c r="AC878" i="1"/>
  <c r="AD878" i="1"/>
  <c r="AE878" i="1"/>
  <c r="BI878" i="1"/>
  <c r="R879" i="1"/>
  <c r="S879" i="1"/>
  <c r="T879" i="1"/>
  <c r="U879" i="1"/>
  <c r="X879" i="1"/>
  <c r="Y879" i="1"/>
  <c r="Z879" i="1"/>
  <c r="AC879" i="1"/>
  <c r="AD879" i="1"/>
  <c r="AE879" i="1"/>
  <c r="R880" i="1"/>
  <c r="S880" i="1"/>
  <c r="T880" i="1"/>
  <c r="U880" i="1"/>
  <c r="X880" i="1"/>
  <c r="Z880" i="1"/>
  <c r="AA880" i="1"/>
  <c r="AB880" i="1"/>
  <c r="AD880" i="1"/>
  <c r="AE880" i="1"/>
  <c r="R881" i="1"/>
  <c r="S881" i="1"/>
  <c r="T881" i="1"/>
  <c r="U881" i="1"/>
  <c r="X881" i="1"/>
  <c r="Z881" i="1"/>
  <c r="AA881" i="1"/>
  <c r="AB881" i="1"/>
  <c r="AD881" i="1"/>
  <c r="AE881" i="1"/>
  <c r="R882" i="1"/>
  <c r="S882" i="1"/>
  <c r="T882" i="1"/>
  <c r="U882" i="1"/>
  <c r="X882" i="1"/>
  <c r="Z882" i="1"/>
  <c r="AA882" i="1"/>
  <c r="AB882" i="1"/>
  <c r="AC882" i="1"/>
  <c r="AD882" i="1"/>
  <c r="AE882" i="1"/>
  <c r="R883" i="1"/>
  <c r="S883" i="1"/>
  <c r="T883" i="1"/>
  <c r="U883" i="1"/>
  <c r="X883" i="1"/>
  <c r="Z883" i="1"/>
  <c r="AD883" i="1"/>
  <c r="AE883" i="1"/>
  <c r="R884" i="1"/>
  <c r="S884" i="1"/>
  <c r="T884" i="1"/>
  <c r="U884" i="1"/>
  <c r="X884" i="1"/>
  <c r="Y884" i="1"/>
  <c r="Z884" i="1"/>
  <c r="AA884" i="1"/>
  <c r="AB884" i="1"/>
  <c r="AD884" i="1"/>
  <c r="AE884" i="1"/>
  <c r="R885" i="1"/>
  <c r="S885" i="1"/>
  <c r="T885" i="1"/>
  <c r="U885" i="1"/>
  <c r="X885" i="1"/>
  <c r="Y885" i="1"/>
  <c r="Z885" i="1"/>
  <c r="AD885" i="1"/>
  <c r="AE885" i="1"/>
  <c r="R886" i="1"/>
  <c r="S886" i="1"/>
  <c r="T886" i="1"/>
  <c r="U886" i="1"/>
  <c r="X886" i="1"/>
  <c r="Z886" i="1"/>
  <c r="AD886" i="1"/>
  <c r="AE886" i="1"/>
  <c r="R887" i="1"/>
  <c r="S887" i="1"/>
  <c r="T887" i="1"/>
  <c r="U887" i="1"/>
  <c r="X887" i="1"/>
  <c r="Y887" i="1"/>
  <c r="Z887" i="1"/>
  <c r="AA887" i="1"/>
  <c r="AB887" i="1"/>
  <c r="AD887" i="1"/>
  <c r="AE887" i="1"/>
  <c r="R888" i="1"/>
  <c r="S888" i="1"/>
  <c r="T888" i="1"/>
  <c r="U888" i="1"/>
  <c r="X888" i="1"/>
  <c r="Y888" i="1"/>
  <c r="Z888" i="1"/>
  <c r="AD888" i="1"/>
  <c r="AE888" i="1"/>
  <c r="R889" i="1"/>
  <c r="S889" i="1"/>
  <c r="T889" i="1"/>
  <c r="U889" i="1"/>
  <c r="X889" i="1"/>
  <c r="Y889" i="1"/>
  <c r="Z889" i="1"/>
  <c r="AD889" i="1"/>
  <c r="AE889" i="1"/>
  <c r="R890" i="1"/>
  <c r="S890" i="1"/>
  <c r="T890" i="1"/>
  <c r="U890" i="1"/>
  <c r="X890" i="1"/>
  <c r="Y890" i="1"/>
  <c r="Z890" i="1"/>
  <c r="AD890" i="1"/>
  <c r="AE890" i="1"/>
  <c r="R891" i="1"/>
  <c r="S891" i="1"/>
  <c r="T891" i="1"/>
  <c r="U891" i="1"/>
  <c r="X891" i="1"/>
  <c r="Y891" i="1"/>
  <c r="Z891" i="1"/>
  <c r="AD891" i="1"/>
  <c r="AE891" i="1"/>
  <c r="R892" i="1"/>
  <c r="S892" i="1"/>
  <c r="T892" i="1"/>
  <c r="U892" i="1"/>
  <c r="X892" i="1"/>
  <c r="Y892" i="1"/>
  <c r="Z892" i="1"/>
  <c r="AD892" i="1"/>
  <c r="AE892" i="1"/>
  <c r="R893" i="1"/>
  <c r="S893" i="1"/>
  <c r="T893" i="1"/>
  <c r="U893" i="1"/>
  <c r="X893" i="1"/>
  <c r="Z893" i="1"/>
  <c r="AD893" i="1"/>
  <c r="AE893" i="1"/>
  <c r="R894" i="1"/>
  <c r="S894" i="1"/>
  <c r="T894" i="1"/>
  <c r="U894" i="1"/>
  <c r="X894" i="1"/>
  <c r="Z894" i="1"/>
  <c r="AD894" i="1"/>
  <c r="AE894" i="1"/>
  <c r="R895" i="1"/>
  <c r="S895" i="1"/>
  <c r="T895" i="1"/>
  <c r="U895" i="1"/>
  <c r="X895" i="1"/>
  <c r="Z895" i="1"/>
  <c r="AD895" i="1"/>
  <c r="AE895" i="1"/>
  <c r="R896" i="1"/>
  <c r="S896" i="1"/>
  <c r="T896" i="1"/>
  <c r="U896" i="1"/>
  <c r="V896" i="1"/>
  <c r="X896" i="1"/>
  <c r="Y896" i="1"/>
  <c r="Z896" i="1"/>
  <c r="AA896" i="1"/>
  <c r="AB896" i="1"/>
  <c r="AC896" i="1"/>
  <c r="AD896" i="1"/>
  <c r="AE896" i="1"/>
  <c r="R897" i="1"/>
  <c r="S897" i="1"/>
  <c r="T897" i="1"/>
  <c r="U897" i="1"/>
  <c r="X897" i="1"/>
  <c r="Y897" i="1"/>
  <c r="Z897" i="1"/>
  <c r="AA897" i="1"/>
  <c r="AB897" i="1"/>
  <c r="AC897" i="1"/>
  <c r="AD897" i="1"/>
  <c r="AE897" i="1"/>
  <c r="R898" i="1"/>
  <c r="S898" i="1"/>
  <c r="T898" i="1"/>
  <c r="U898" i="1"/>
  <c r="X898" i="1"/>
  <c r="Y898" i="1"/>
  <c r="Z898" i="1"/>
  <c r="AA898" i="1"/>
  <c r="AB898" i="1"/>
  <c r="AC898" i="1"/>
  <c r="AD898" i="1"/>
  <c r="AE898" i="1"/>
  <c r="R899" i="1"/>
  <c r="S899" i="1"/>
  <c r="T899" i="1"/>
  <c r="U899" i="1"/>
  <c r="V899" i="1"/>
  <c r="X899" i="1"/>
  <c r="Z899" i="1"/>
  <c r="AC899" i="1"/>
  <c r="AD899" i="1"/>
  <c r="AE899" i="1"/>
  <c r="AI899" i="1"/>
  <c r="AN899" i="1"/>
  <c r="AO899" i="1"/>
  <c r="AP899" i="1"/>
  <c r="AQ899" i="1"/>
  <c r="AR899" i="1"/>
  <c r="AS899" i="1"/>
  <c r="BA899" i="1"/>
  <c r="BB899" i="1"/>
  <c r="BD899" i="1"/>
  <c r="BE899" i="1"/>
  <c r="BG899" i="1"/>
  <c r="BH899" i="1"/>
  <c r="BK899" i="1"/>
  <c r="R900" i="1"/>
  <c r="S900" i="1"/>
  <c r="T900" i="1"/>
  <c r="U900" i="1"/>
  <c r="X900" i="1"/>
  <c r="Y900" i="1"/>
  <c r="Z900" i="1"/>
  <c r="AA900" i="1"/>
  <c r="AB900" i="1"/>
  <c r="AC900" i="1"/>
  <c r="AD900" i="1"/>
  <c r="AE900" i="1"/>
  <c r="R901" i="1"/>
  <c r="S901" i="1"/>
  <c r="T901" i="1"/>
  <c r="U901" i="1"/>
  <c r="V901" i="1"/>
  <c r="X901" i="1"/>
  <c r="Y901" i="1"/>
  <c r="Z901" i="1"/>
  <c r="AA901" i="1"/>
  <c r="AB901" i="1"/>
  <c r="AC901" i="1"/>
  <c r="AD901" i="1"/>
  <c r="AE901" i="1"/>
  <c r="R902" i="1"/>
  <c r="S902" i="1"/>
  <c r="T902" i="1"/>
  <c r="U902" i="1"/>
  <c r="X902" i="1"/>
  <c r="Y902" i="1"/>
  <c r="Z902" i="1"/>
  <c r="AA902" i="1"/>
  <c r="AB902" i="1"/>
  <c r="AC902" i="1"/>
  <c r="AD902" i="1"/>
  <c r="AE902" i="1"/>
  <c r="R903" i="1"/>
  <c r="S903" i="1"/>
  <c r="T903" i="1"/>
  <c r="U903" i="1"/>
  <c r="V903" i="1"/>
  <c r="X903" i="1"/>
  <c r="Y903" i="1"/>
  <c r="Z903" i="1"/>
  <c r="AA903" i="1"/>
  <c r="AB903" i="1"/>
  <c r="AC903" i="1"/>
  <c r="AD903" i="1"/>
  <c r="AE903" i="1"/>
  <c r="R904" i="1"/>
  <c r="S904" i="1"/>
  <c r="T904" i="1"/>
  <c r="U904" i="1"/>
  <c r="V904" i="1"/>
  <c r="X904" i="1"/>
  <c r="Y904" i="1"/>
  <c r="Z904" i="1"/>
  <c r="AA904" i="1"/>
  <c r="AB904" i="1"/>
  <c r="AC904" i="1"/>
  <c r="AD904" i="1"/>
  <c r="AE904" i="1"/>
  <c r="R905" i="1"/>
  <c r="S905" i="1"/>
  <c r="T905" i="1"/>
  <c r="U905" i="1"/>
  <c r="X905" i="1"/>
  <c r="Y905" i="1"/>
  <c r="Z905" i="1"/>
  <c r="AA905" i="1"/>
  <c r="AB905" i="1"/>
  <c r="AC905" i="1"/>
  <c r="AD905" i="1"/>
  <c r="AE905" i="1"/>
  <c r="R906" i="1"/>
  <c r="S906" i="1"/>
  <c r="T906" i="1"/>
  <c r="U906" i="1"/>
  <c r="V906" i="1"/>
  <c r="X906" i="1"/>
  <c r="Z906" i="1"/>
  <c r="AC906" i="1"/>
  <c r="AD906" i="1"/>
  <c r="AE906" i="1"/>
  <c r="R907" i="1"/>
  <c r="S907" i="1"/>
  <c r="T907" i="1"/>
  <c r="U907" i="1"/>
  <c r="X907" i="1"/>
  <c r="Z907" i="1"/>
  <c r="AC907" i="1"/>
  <c r="AD907" i="1"/>
  <c r="AE907" i="1"/>
  <c r="R908" i="1"/>
  <c r="S908" i="1"/>
  <c r="T908" i="1"/>
  <c r="U908" i="1"/>
  <c r="V908" i="1"/>
  <c r="X908" i="1"/>
  <c r="Z908" i="1"/>
  <c r="AC908" i="1"/>
  <c r="AD908" i="1"/>
  <c r="AE908" i="1"/>
  <c r="R909" i="1"/>
  <c r="S909" i="1"/>
  <c r="T909" i="1"/>
  <c r="U909" i="1"/>
  <c r="X909" i="1"/>
  <c r="Z909" i="1"/>
  <c r="AC909" i="1"/>
  <c r="AD909" i="1"/>
  <c r="AE909" i="1"/>
  <c r="R910" i="1"/>
  <c r="S910" i="1"/>
  <c r="T910" i="1"/>
  <c r="U910" i="1"/>
  <c r="V910" i="1"/>
  <c r="X910" i="1"/>
  <c r="Z910" i="1"/>
  <c r="AC910" i="1"/>
  <c r="AD910" i="1"/>
  <c r="AE910" i="1"/>
  <c r="R911" i="1"/>
  <c r="S911" i="1"/>
  <c r="T911" i="1"/>
  <c r="U911" i="1"/>
  <c r="X911" i="1"/>
  <c r="Y911" i="1"/>
  <c r="Z911" i="1"/>
  <c r="AC911" i="1"/>
  <c r="AD911" i="1"/>
  <c r="AE911" i="1"/>
  <c r="R912" i="1"/>
  <c r="S912" i="1"/>
  <c r="T912" i="1"/>
  <c r="U912" i="1"/>
  <c r="V912" i="1"/>
  <c r="X912" i="1"/>
  <c r="Z912" i="1"/>
  <c r="AC912" i="1"/>
  <c r="AD912" i="1"/>
  <c r="AE912" i="1"/>
  <c r="R913" i="1"/>
  <c r="S913" i="1"/>
  <c r="T913" i="1"/>
  <c r="U913" i="1"/>
  <c r="X913" i="1"/>
  <c r="Z913" i="1"/>
  <c r="AD913" i="1"/>
  <c r="AE913" i="1"/>
  <c r="R914" i="1"/>
  <c r="S914" i="1"/>
  <c r="T914" i="1"/>
  <c r="U914" i="1"/>
  <c r="V914" i="1"/>
  <c r="X914" i="1"/>
  <c r="Y914" i="1"/>
  <c r="Z914" i="1"/>
  <c r="AC914" i="1"/>
  <c r="AD914" i="1"/>
  <c r="AE914" i="1"/>
  <c r="R915" i="1"/>
  <c r="S915" i="1"/>
  <c r="T915" i="1"/>
  <c r="U915" i="1"/>
  <c r="X915" i="1"/>
  <c r="Y915" i="1"/>
  <c r="Z915" i="1"/>
  <c r="AC915" i="1"/>
  <c r="AD915" i="1"/>
  <c r="AE915" i="1"/>
  <c r="R916" i="1"/>
  <c r="S916" i="1"/>
  <c r="T916" i="1"/>
  <c r="U916" i="1"/>
  <c r="V916" i="1"/>
  <c r="X916" i="1"/>
  <c r="Y916" i="1"/>
  <c r="Z916" i="1"/>
  <c r="AA916" i="1"/>
  <c r="AB916" i="1"/>
  <c r="AC916" i="1"/>
  <c r="AD916" i="1"/>
  <c r="AE916" i="1"/>
  <c r="BB916" i="1"/>
  <c r="R917" i="1"/>
  <c r="S917" i="1"/>
  <c r="T917" i="1"/>
  <c r="U917" i="1"/>
  <c r="V917" i="1"/>
  <c r="X917" i="1"/>
  <c r="Y917" i="1"/>
  <c r="Z917" i="1"/>
  <c r="AC917" i="1"/>
  <c r="AD917" i="1"/>
  <c r="AE917" i="1"/>
  <c r="AI917" i="1"/>
  <c r="AN917" i="1"/>
  <c r="AO917" i="1"/>
  <c r="AP917" i="1"/>
  <c r="AQ917" i="1"/>
  <c r="AS917" i="1"/>
  <c r="BA917" i="1"/>
  <c r="BB917" i="1"/>
  <c r="BD917" i="1"/>
  <c r="BE917" i="1"/>
  <c r="BK917" i="1"/>
  <c r="EL917" i="1"/>
  <c r="EN917" i="1"/>
  <c r="ER917" i="1"/>
  <c r="R918" i="1"/>
  <c r="S918" i="1"/>
  <c r="T918" i="1"/>
  <c r="U918" i="1"/>
  <c r="X918" i="1"/>
  <c r="Y918" i="1"/>
  <c r="Z918" i="1"/>
  <c r="AA918" i="1"/>
  <c r="AD918" i="1"/>
  <c r="AE918" i="1"/>
  <c r="R919" i="1"/>
  <c r="S919" i="1"/>
  <c r="T919" i="1"/>
  <c r="U919" i="1"/>
  <c r="X919" i="1"/>
  <c r="Z919" i="1"/>
  <c r="AA919" i="1"/>
  <c r="AB919" i="1"/>
  <c r="AD919" i="1"/>
  <c r="AE919" i="1"/>
  <c r="R920" i="1"/>
  <c r="S920" i="1"/>
  <c r="T920" i="1"/>
  <c r="U920" i="1"/>
  <c r="X920" i="1"/>
  <c r="Z920" i="1"/>
  <c r="AA920" i="1"/>
  <c r="AB920" i="1"/>
  <c r="AD920" i="1"/>
  <c r="AE920" i="1"/>
  <c r="R921" i="1"/>
  <c r="S921" i="1"/>
  <c r="T921" i="1"/>
  <c r="U921" i="1"/>
  <c r="V921" i="1"/>
  <c r="X921" i="1"/>
  <c r="Y921" i="1"/>
  <c r="Z921" i="1"/>
  <c r="AD921" i="1"/>
  <c r="AE921" i="1"/>
  <c r="R922" i="1"/>
  <c r="S922" i="1"/>
  <c r="T922" i="1"/>
  <c r="U922" i="1"/>
  <c r="X922" i="1"/>
  <c r="Z922" i="1"/>
  <c r="AA922" i="1"/>
  <c r="AB922" i="1"/>
  <c r="AD922" i="1"/>
  <c r="AE922" i="1"/>
  <c r="R923" i="1"/>
  <c r="S923" i="1"/>
  <c r="T923" i="1"/>
  <c r="U923" i="1"/>
  <c r="X923" i="1"/>
  <c r="Z923" i="1"/>
  <c r="AA923" i="1"/>
  <c r="AB923" i="1"/>
  <c r="AD923" i="1"/>
  <c r="AE923" i="1"/>
  <c r="AN923" i="1"/>
  <c r="AO923" i="1"/>
  <c r="AP923" i="1"/>
  <c r="AS923" i="1"/>
  <c r="R924" i="1"/>
  <c r="S924" i="1"/>
  <c r="T924" i="1"/>
  <c r="U924" i="1"/>
  <c r="X924" i="1"/>
  <c r="Z924" i="1"/>
  <c r="AA924" i="1"/>
  <c r="AB924" i="1"/>
  <c r="AD924" i="1"/>
  <c r="AE924" i="1"/>
  <c r="R925" i="1"/>
  <c r="S925" i="1"/>
  <c r="T925" i="1"/>
  <c r="U925" i="1"/>
  <c r="X925" i="1"/>
  <c r="Y925" i="1"/>
  <c r="Z925" i="1"/>
  <c r="AA925" i="1"/>
  <c r="AB925" i="1"/>
  <c r="AD925" i="1"/>
  <c r="AE925" i="1"/>
  <c r="R926" i="1"/>
  <c r="S926" i="1"/>
  <c r="T926" i="1"/>
  <c r="U926" i="1"/>
  <c r="X926" i="1"/>
  <c r="Z926" i="1"/>
  <c r="AA926" i="1"/>
  <c r="AB926" i="1"/>
  <c r="AC926" i="1"/>
  <c r="AD926" i="1"/>
  <c r="AE926" i="1"/>
  <c r="R927" i="1"/>
  <c r="S927" i="1"/>
  <c r="T927" i="1"/>
  <c r="U927" i="1"/>
  <c r="X927" i="1"/>
  <c r="Z927" i="1"/>
  <c r="AA927" i="1"/>
  <c r="AB927" i="1"/>
  <c r="AC927" i="1"/>
  <c r="AD927" i="1"/>
  <c r="AE927" i="1"/>
  <c r="R928" i="1"/>
  <c r="S928" i="1"/>
  <c r="T928" i="1"/>
  <c r="U928" i="1"/>
  <c r="X928" i="1"/>
  <c r="Z928" i="1"/>
  <c r="AA928" i="1"/>
  <c r="AB928" i="1"/>
  <c r="AC928" i="1"/>
  <c r="AD928" i="1"/>
  <c r="AE928" i="1"/>
  <c r="R929" i="1"/>
  <c r="S929" i="1"/>
  <c r="T929" i="1"/>
  <c r="U929" i="1"/>
  <c r="X929" i="1"/>
  <c r="Y929" i="1"/>
  <c r="Z929" i="1"/>
  <c r="AA929" i="1"/>
  <c r="AB929" i="1"/>
  <c r="AC929" i="1"/>
  <c r="AD929" i="1"/>
  <c r="AE929" i="1"/>
  <c r="AN929" i="1"/>
  <c r="AO929" i="1"/>
  <c r="AP929" i="1"/>
  <c r="AS929" i="1"/>
  <c r="BB929" i="1"/>
  <c r="R930" i="1"/>
  <c r="S930" i="1"/>
  <c r="T930" i="1"/>
  <c r="U930" i="1"/>
  <c r="X930" i="1"/>
  <c r="Z930" i="1"/>
  <c r="AA930" i="1"/>
  <c r="AB930" i="1"/>
  <c r="AD930" i="1"/>
  <c r="AE930" i="1"/>
  <c r="R931" i="1"/>
  <c r="S931" i="1"/>
  <c r="T931" i="1"/>
  <c r="U931" i="1"/>
  <c r="X931" i="1"/>
  <c r="Z931" i="1"/>
  <c r="AA931" i="1"/>
  <c r="AB931" i="1"/>
  <c r="AD931" i="1"/>
  <c r="AE931" i="1"/>
  <c r="R932" i="1"/>
  <c r="S932" i="1"/>
  <c r="T932" i="1"/>
  <c r="U932" i="1"/>
  <c r="X932" i="1"/>
  <c r="Z932" i="1"/>
  <c r="AA932" i="1"/>
  <c r="AB932" i="1"/>
  <c r="AD932" i="1"/>
  <c r="AE932" i="1"/>
  <c r="R933" i="1"/>
  <c r="S933" i="1"/>
  <c r="T933" i="1"/>
  <c r="U933" i="1"/>
  <c r="X933" i="1"/>
  <c r="Z933" i="1"/>
  <c r="AA933" i="1"/>
  <c r="AB933" i="1"/>
  <c r="AC933" i="1"/>
  <c r="AD933" i="1"/>
  <c r="AE933" i="1"/>
  <c r="R934" i="1"/>
  <c r="S934" i="1"/>
  <c r="T934" i="1"/>
  <c r="U934" i="1"/>
  <c r="X934" i="1"/>
  <c r="Z934" i="1"/>
  <c r="AA934" i="1"/>
  <c r="AB934" i="1"/>
  <c r="AC934" i="1"/>
  <c r="AD934" i="1"/>
  <c r="AE934" i="1"/>
  <c r="AN934" i="1"/>
  <c r="AO934" i="1"/>
  <c r="AP934" i="1"/>
  <c r="AQ934" i="1"/>
  <c r="AS934" i="1"/>
  <c r="R935" i="1"/>
  <c r="S935" i="1"/>
  <c r="T935" i="1"/>
  <c r="U935" i="1"/>
  <c r="V935" i="1"/>
  <c r="X935" i="1"/>
  <c r="Z935" i="1"/>
  <c r="AD935" i="1"/>
  <c r="AE935" i="1"/>
  <c r="R936" i="1"/>
  <c r="S936" i="1"/>
  <c r="T936" i="1"/>
  <c r="U936" i="1"/>
  <c r="X936" i="1"/>
  <c r="Y936" i="1"/>
  <c r="Z936" i="1"/>
  <c r="AD936" i="1"/>
  <c r="AE936" i="1"/>
  <c r="R937" i="1"/>
  <c r="S937" i="1"/>
  <c r="T937" i="1"/>
  <c r="U937" i="1"/>
  <c r="V937" i="1"/>
  <c r="X937" i="1"/>
  <c r="Z937" i="1"/>
  <c r="AD937" i="1"/>
  <c r="AE937" i="1"/>
  <c r="R938" i="1"/>
  <c r="S938" i="1"/>
  <c r="T938" i="1"/>
  <c r="U938" i="1"/>
  <c r="V938" i="1"/>
  <c r="X938" i="1"/>
  <c r="Z938" i="1"/>
  <c r="AD938" i="1"/>
  <c r="AE938" i="1"/>
  <c r="R939" i="1"/>
  <c r="S939" i="1"/>
  <c r="T939" i="1"/>
  <c r="U939" i="1"/>
  <c r="X939" i="1"/>
  <c r="Z939" i="1"/>
  <c r="AD939" i="1"/>
  <c r="AE939" i="1"/>
  <c r="R940" i="1"/>
  <c r="S940" i="1"/>
  <c r="T940" i="1"/>
  <c r="U940" i="1"/>
  <c r="X940" i="1"/>
  <c r="Y940" i="1"/>
  <c r="Z940" i="1"/>
  <c r="AD940" i="1"/>
  <c r="AE940" i="1"/>
  <c r="R941" i="1"/>
  <c r="S941" i="1"/>
  <c r="T941" i="1"/>
  <c r="U941" i="1"/>
  <c r="V941" i="1"/>
  <c r="X941" i="1"/>
  <c r="Z941" i="1"/>
  <c r="AD941" i="1"/>
  <c r="AE941" i="1"/>
  <c r="R942" i="1"/>
  <c r="S942" i="1"/>
  <c r="T942" i="1"/>
  <c r="U942" i="1"/>
  <c r="X942" i="1"/>
  <c r="Y942" i="1"/>
  <c r="Z942" i="1"/>
  <c r="AD942" i="1"/>
  <c r="AE942" i="1"/>
  <c r="R943" i="1"/>
  <c r="S943" i="1"/>
  <c r="T943" i="1"/>
  <c r="U943" i="1"/>
  <c r="X943" i="1"/>
  <c r="Z943" i="1"/>
  <c r="AC943" i="1"/>
  <c r="AD943" i="1"/>
  <c r="AE943" i="1"/>
  <c r="R944" i="1"/>
  <c r="S944" i="1"/>
  <c r="T944" i="1"/>
  <c r="U944" i="1"/>
  <c r="X944" i="1"/>
  <c r="Z944" i="1"/>
  <c r="AD944" i="1"/>
  <c r="AE944" i="1"/>
  <c r="R945" i="1"/>
  <c r="S945" i="1"/>
  <c r="T945" i="1"/>
  <c r="U945" i="1"/>
  <c r="V945" i="1"/>
  <c r="X945" i="1"/>
  <c r="Z945" i="1"/>
  <c r="AC945" i="1"/>
  <c r="AD945" i="1"/>
  <c r="AE945" i="1"/>
  <c r="AI945" i="1"/>
  <c r="AN945" i="1"/>
  <c r="AO945" i="1"/>
  <c r="AP945" i="1"/>
  <c r="AQ945" i="1"/>
  <c r="AS945" i="1"/>
  <c r="BA945" i="1"/>
  <c r="BB945" i="1"/>
  <c r="BE945" i="1"/>
  <c r="BF945" i="1"/>
  <c r="BK945" i="1"/>
  <c r="EL945" i="1"/>
  <c r="EN945" i="1"/>
  <c r="ER945" i="1"/>
  <c r="R946" i="1"/>
  <c r="S946" i="1"/>
  <c r="T946" i="1"/>
  <c r="U946" i="1"/>
  <c r="X946" i="1"/>
  <c r="Y946" i="1"/>
  <c r="Z946" i="1"/>
  <c r="AC946" i="1"/>
  <c r="AD946" i="1"/>
  <c r="AE946" i="1"/>
  <c r="R947" i="1"/>
  <c r="S947" i="1"/>
  <c r="T947" i="1"/>
  <c r="U947" i="1"/>
  <c r="X947" i="1"/>
  <c r="Z947" i="1"/>
  <c r="AD947" i="1"/>
  <c r="AE947" i="1"/>
  <c r="AN947" i="1"/>
  <c r="AO947" i="1"/>
  <c r="AP947" i="1"/>
  <c r="AQ947" i="1"/>
  <c r="AS947" i="1"/>
  <c r="BA947" i="1"/>
  <c r="BE947" i="1"/>
  <c r="BK947" i="1"/>
  <c r="R948" i="1"/>
  <c r="S948" i="1"/>
  <c r="T948" i="1"/>
  <c r="U948" i="1"/>
  <c r="X948" i="1"/>
  <c r="Z948" i="1"/>
  <c r="AD948" i="1"/>
  <c r="AE948" i="1"/>
  <c r="R949" i="1"/>
  <c r="S949" i="1"/>
  <c r="T949" i="1"/>
  <c r="U949" i="1"/>
  <c r="X949" i="1"/>
  <c r="Z949" i="1"/>
  <c r="AD949" i="1"/>
  <c r="AE949" i="1"/>
  <c r="R950" i="1"/>
  <c r="S950" i="1"/>
  <c r="T950" i="1"/>
  <c r="U950" i="1"/>
  <c r="X950" i="1"/>
  <c r="Z950" i="1"/>
  <c r="AD950" i="1"/>
  <c r="AE950" i="1"/>
  <c r="R951" i="1"/>
  <c r="S951" i="1"/>
  <c r="T951" i="1"/>
  <c r="U951" i="1"/>
  <c r="X951" i="1"/>
  <c r="Z951" i="1"/>
  <c r="AD951" i="1"/>
  <c r="AE951" i="1"/>
  <c r="R952" i="1"/>
  <c r="S952" i="1"/>
  <c r="T952" i="1"/>
  <c r="U952" i="1"/>
  <c r="X952" i="1"/>
  <c r="Z952" i="1"/>
  <c r="AD952" i="1"/>
  <c r="AE952" i="1"/>
  <c r="R953" i="1"/>
  <c r="S953" i="1"/>
  <c r="T953" i="1"/>
  <c r="U953" i="1"/>
  <c r="X953" i="1"/>
  <c r="Z953" i="1"/>
  <c r="AD953" i="1"/>
  <c r="AE953" i="1"/>
  <c r="R954" i="1"/>
  <c r="S954" i="1"/>
  <c r="T954" i="1"/>
  <c r="U954" i="1"/>
  <c r="V954" i="1"/>
  <c r="X954" i="1"/>
  <c r="Z954" i="1"/>
  <c r="AD954" i="1"/>
  <c r="AE954" i="1"/>
  <c r="R955" i="1"/>
  <c r="S955" i="1"/>
  <c r="T955" i="1"/>
  <c r="U955" i="1"/>
  <c r="V955" i="1"/>
  <c r="X955" i="1"/>
  <c r="Z955" i="1"/>
  <c r="AD955" i="1"/>
  <c r="AE955" i="1"/>
  <c r="R956" i="1"/>
  <c r="S956" i="1"/>
  <c r="T956" i="1"/>
  <c r="U956" i="1"/>
  <c r="V956" i="1"/>
  <c r="X956" i="1"/>
  <c r="Y956" i="1"/>
  <c r="Z956" i="1"/>
  <c r="AA956" i="1"/>
  <c r="AB956" i="1"/>
  <c r="AC956" i="1"/>
  <c r="AD956" i="1"/>
  <c r="AE956" i="1"/>
  <c r="R957" i="1"/>
  <c r="S957" i="1"/>
  <c r="T957" i="1"/>
  <c r="U957" i="1"/>
  <c r="X957" i="1"/>
  <c r="Z957" i="1"/>
  <c r="AD957" i="1"/>
  <c r="AE957" i="1"/>
  <c r="R958" i="1"/>
  <c r="S958" i="1"/>
  <c r="T958" i="1"/>
  <c r="U958" i="1"/>
  <c r="X958" i="1"/>
  <c r="Z958" i="1"/>
  <c r="AD958" i="1"/>
  <c r="AE958" i="1"/>
  <c r="R959" i="1"/>
  <c r="S959" i="1"/>
  <c r="T959" i="1"/>
  <c r="U959" i="1"/>
  <c r="X959" i="1"/>
  <c r="Z959" i="1"/>
  <c r="AD959" i="1"/>
  <c r="AE959" i="1"/>
  <c r="R960" i="1"/>
  <c r="S960" i="1"/>
  <c r="T960" i="1"/>
  <c r="U960" i="1"/>
  <c r="X960" i="1"/>
  <c r="Z960" i="1"/>
  <c r="AD960" i="1"/>
  <c r="AE960" i="1"/>
  <c r="R961" i="1"/>
  <c r="S961" i="1"/>
  <c r="T961" i="1"/>
  <c r="U961" i="1"/>
  <c r="V961" i="1"/>
  <c r="X961" i="1"/>
  <c r="Z961" i="1"/>
  <c r="AD961" i="1"/>
  <c r="AE961" i="1"/>
  <c r="R962" i="1"/>
  <c r="S962" i="1"/>
  <c r="T962" i="1"/>
  <c r="U962" i="1"/>
  <c r="X962" i="1"/>
  <c r="Z962" i="1"/>
  <c r="AD962" i="1"/>
  <c r="AE962" i="1"/>
  <c r="R963" i="1"/>
  <c r="S963" i="1"/>
  <c r="T963" i="1"/>
  <c r="U963" i="1"/>
  <c r="X963" i="1"/>
  <c r="Y963" i="1"/>
  <c r="Z963" i="1"/>
  <c r="AA963" i="1"/>
  <c r="AB963" i="1"/>
  <c r="AC963" i="1"/>
  <c r="AD963" i="1"/>
  <c r="AE963" i="1"/>
  <c r="AI963" i="1"/>
  <c r="AN963" i="1"/>
  <c r="AO963" i="1"/>
  <c r="AP963" i="1"/>
  <c r="AQ963" i="1"/>
  <c r="AS963" i="1"/>
  <c r="BA963" i="1"/>
  <c r="BB963" i="1"/>
  <c r="BC963" i="1"/>
  <c r="BE963" i="1"/>
  <c r="BH963" i="1"/>
  <c r="BK963" i="1"/>
  <c r="EL963" i="1"/>
  <c r="EN963" i="1"/>
  <c r="ER963" i="1"/>
  <c r="R964" i="1"/>
  <c r="S964" i="1"/>
  <c r="T964" i="1"/>
  <c r="U964" i="1"/>
  <c r="X964" i="1"/>
  <c r="Y964" i="1"/>
  <c r="Z964" i="1"/>
  <c r="AA964" i="1"/>
  <c r="AB964" i="1"/>
  <c r="AC964" i="1"/>
  <c r="AD964" i="1"/>
  <c r="AE964" i="1"/>
  <c r="BB964" i="1"/>
  <c r="R965" i="1"/>
  <c r="S965" i="1"/>
  <c r="T965" i="1"/>
  <c r="U965" i="1"/>
  <c r="V965" i="1"/>
  <c r="X965" i="1"/>
  <c r="Z965" i="1"/>
  <c r="AC965" i="1"/>
  <c r="AD965" i="1"/>
  <c r="AE965" i="1"/>
  <c r="R966" i="1"/>
  <c r="S966" i="1"/>
  <c r="T966" i="1"/>
  <c r="U966" i="1"/>
  <c r="X966" i="1"/>
  <c r="Y966" i="1"/>
  <c r="Z966" i="1"/>
  <c r="AC966" i="1"/>
  <c r="AD966" i="1"/>
  <c r="AE966" i="1"/>
  <c r="R967" i="1"/>
  <c r="S967" i="1"/>
  <c r="T967" i="1"/>
  <c r="U967" i="1"/>
  <c r="V967" i="1"/>
  <c r="X967" i="1"/>
  <c r="Y967" i="1"/>
  <c r="Z967" i="1"/>
  <c r="AA967" i="1"/>
  <c r="AB967" i="1"/>
  <c r="AC967" i="1"/>
  <c r="AD967" i="1"/>
  <c r="AE967" i="1"/>
  <c r="AI967" i="1"/>
  <c r="AN967" i="1"/>
  <c r="AO967" i="1"/>
  <c r="AP967" i="1"/>
  <c r="AQ967" i="1"/>
  <c r="AS967" i="1"/>
  <c r="BA967" i="1"/>
  <c r="BB967" i="1"/>
  <c r="BE967" i="1"/>
  <c r="BK967" i="1"/>
  <c r="EL967" i="1"/>
  <c r="EN967" i="1"/>
  <c r="ER967" i="1"/>
  <c r="R968" i="1"/>
  <c r="S968" i="1"/>
  <c r="T968" i="1"/>
  <c r="U968" i="1"/>
  <c r="X968" i="1"/>
  <c r="Y968" i="1"/>
  <c r="Z968" i="1"/>
  <c r="AA968" i="1"/>
  <c r="AB968" i="1"/>
  <c r="AC968" i="1"/>
  <c r="AD968" i="1"/>
  <c r="AE968" i="1"/>
  <c r="BB968" i="1"/>
  <c r="R969" i="1"/>
  <c r="S969" i="1"/>
  <c r="T969" i="1"/>
  <c r="U969" i="1"/>
  <c r="X969" i="1"/>
  <c r="Y969" i="1"/>
  <c r="Z969" i="1"/>
  <c r="AA969" i="1"/>
  <c r="AB969" i="1"/>
  <c r="AC969" i="1"/>
  <c r="AD969" i="1"/>
  <c r="AE969" i="1"/>
  <c r="BB969" i="1"/>
  <c r="R970" i="1"/>
  <c r="S970" i="1"/>
  <c r="T970" i="1"/>
  <c r="U970" i="1"/>
  <c r="X970" i="1"/>
  <c r="Y970" i="1"/>
  <c r="Z970" i="1"/>
  <c r="AA970" i="1"/>
  <c r="AB970" i="1"/>
  <c r="AC970" i="1"/>
  <c r="AD970" i="1"/>
  <c r="AE970" i="1"/>
  <c r="R971" i="1"/>
  <c r="S971" i="1"/>
  <c r="T971" i="1"/>
  <c r="U971" i="1"/>
  <c r="X971" i="1"/>
  <c r="Y971" i="1"/>
  <c r="Z971" i="1"/>
  <c r="AA971" i="1"/>
  <c r="AB971" i="1"/>
  <c r="AD971" i="1"/>
  <c r="AE971" i="1"/>
  <c r="R972" i="1"/>
  <c r="S972" i="1"/>
  <c r="T972" i="1"/>
  <c r="U972" i="1"/>
  <c r="X972" i="1"/>
  <c r="Y972" i="1"/>
  <c r="Z972" i="1"/>
  <c r="AD972" i="1"/>
  <c r="AE972" i="1"/>
  <c r="R973" i="1"/>
  <c r="S973" i="1"/>
  <c r="T973" i="1"/>
  <c r="U973" i="1"/>
  <c r="X973" i="1"/>
  <c r="Y973" i="1"/>
  <c r="Z973" i="1"/>
  <c r="AD973" i="1"/>
  <c r="AE973" i="1"/>
  <c r="R974" i="1"/>
  <c r="S974" i="1"/>
  <c r="T974" i="1"/>
  <c r="U974" i="1"/>
  <c r="X974" i="1"/>
  <c r="Y974" i="1"/>
  <c r="Z974" i="1"/>
  <c r="AD974" i="1"/>
  <c r="AE974" i="1"/>
  <c r="R975" i="1"/>
  <c r="S975" i="1"/>
  <c r="T975" i="1"/>
  <c r="U975" i="1"/>
  <c r="X975" i="1"/>
  <c r="Y975" i="1"/>
  <c r="Z975" i="1"/>
  <c r="AD975" i="1"/>
  <c r="AE975" i="1"/>
  <c r="R976" i="1"/>
  <c r="S976" i="1"/>
  <c r="T976" i="1"/>
  <c r="U976" i="1"/>
  <c r="X976" i="1"/>
  <c r="Y976" i="1"/>
  <c r="Z976" i="1"/>
  <c r="AD976" i="1"/>
  <c r="AE976" i="1"/>
  <c r="R977" i="1"/>
  <c r="S977" i="1"/>
  <c r="T977" i="1"/>
  <c r="U977" i="1"/>
  <c r="X977" i="1"/>
  <c r="Z977" i="1"/>
  <c r="AC977" i="1"/>
  <c r="AD977" i="1"/>
  <c r="AE977" i="1"/>
  <c r="R978" i="1"/>
  <c r="S978" i="1"/>
  <c r="T978" i="1"/>
  <c r="U978" i="1"/>
  <c r="X978" i="1"/>
  <c r="Y978" i="1"/>
  <c r="Z978" i="1"/>
  <c r="AC978" i="1"/>
  <c r="AD978" i="1"/>
  <c r="AE978" i="1"/>
  <c r="R979" i="1"/>
  <c r="S979" i="1"/>
  <c r="T979" i="1"/>
  <c r="U979" i="1"/>
  <c r="X979" i="1"/>
  <c r="Z979" i="1"/>
  <c r="AA979" i="1"/>
  <c r="AB979" i="1"/>
  <c r="AC979" i="1"/>
  <c r="AD979" i="1"/>
  <c r="AE979" i="1"/>
  <c r="R980" i="1"/>
  <c r="S980" i="1"/>
  <c r="T980" i="1"/>
  <c r="U980" i="1"/>
  <c r="X980" i="1"/>
  <c r="Z980" i="1"/>
  <c r="AD980" i="1"/>
  <c r="AE980" i="1"/>
  <c r="AN980" i="1"/>
  <c r="AO980" i="1"/>
  <c r="AP980" i="1"/>
  <c r="AQ980" i="1"/>
  <c r="AS980" i="1"/>
  <c r="BA980" i="1"/>
  <c r="BE980" i="1"/>
  <c r="BG980" i="1"/>
  <c r="BK980" i="1"/>
  <c r="EP980" i="1"/>
  <c r="ES980" i="1"/>
  <c r="R981" i="1"/>
  <c r="S981" i="1"/>
  <c r="T981" i="1"/>
  <c r="U981" i="1"/>
  <c r="X981" i="1"/>
  <c r="Z981" i="1"/>
  <c r="AD981" i="1"/>
  <c r="AE981" i="1"/>
  <c r="R982" i="1"/>
  <c r="S982" i="1"/>
  <c r="T982" i="1"/>
  <c r="U982" i="1"/>
  <c r="X982" i="1"/>
  <c r="Z982" i="1"/>
  <c r="AD982" i="1"/>
  <c r="AE982" i="1"/>
  <c r="R983" i="1"/>
  <c r="S983" i="1"/>
  <c r="T983" i="1"/>
  <c r="U983" i="1"/>
  <c r="X983" i="1"/>
  <c r="Z983" i="1"/>
  <c r="AD983" i="1"/>
  <c r="AE983" i="1"/>
  <c r="R984" i="1"/>
  <c r="S984" i="1"/>
  <c r="T984" i="1"/>
  <c r="U984" i="1"/>
  <c r="X984" i="1"/>
  <c r="Z984" i="1"/>
  <c r="AD984" i="1"/>
  <c r="AE984" i="1"/>
  <c r="R985" i="1"/>
  <c r="S985" i="1"/>
  <c r="T985" i="1"/>
  <c r="U985" i="1"/>
  <c r="X985" i="1"/>
  <c r="Z985" i="1"/>
  <c r="AD985" i="1"/>
  <c r="AE985" i="1"/>
  <c r="R986" i="1"/>
  <c r="S986" i="1"/>
  <c r="T986" i="1"/>
  <c r="U986" i="1"/>
  <c r="X986" i="1"/>
  <c r="Z986" i="1"/>
  <c r="AD986" i="1"/>
  <c r="AE986" i="1"/>
  <c r="R987" i="1"/>
  <c r="S987" i="1"/>
  <c r="T987" i="1"/>
  <c r="U987" i="1"/>
  <c r="X987" i="1"/>
  <c r="Z987" i="1"/>
  <c r="AD987" i="1"/>
  <c r="AE987" i="1"/>
  <c r="R988" i="1"/>
  <c r="S988" i="1"/>
  <c r="T988" i="1"/>
  <c r="U988" i="1"/>
  <c r="V988" i="1"/>
  <c r="X988" i="1"/>
  <c r="Z988" i="1"/>
  <c r="AD988" i="1"/>
  <c r="AE988" i="1"/>
  <c r="AN988" i="1"/>
  <c r="AO988" i="1"/>
  <c r="AP988" i="1"/>
  <c r="AQ988" i="1"/>
  <c r="AS988" i="1"/>
  <c r="BE988" i="1"/>
  <c r="BK988" i="1"/>
  <c r="EL988" i="1"/>
  <c r="EM988" i="1"/>
  <c r="EN988" i="1"/>
  <c r="EO988" i="1"/>
  <c r="EP988" i="1"/>
  <c r="EQ988" i="1"/>
  <c r="ER988" i="1"/>
  <c r="ES988" i="1"/>
  <c r="R989" i="1"/>
  <c r="S989" i="1"/>
  <c r="T989" i="1"/>
  <c r="U989" i="1"/>
  <c r="X989" i="1"/>
  <c r="Z989" i="1"/>
  <c r="AD989" i="1"/>
  <c r="AE989" i="1"/>
  <c r="R990" i="1"/>
  <c r="S990" i="1"/>
  <c r="T990" i="1"/>
  <c r="U990" i="1"/>
  <c r="X990" i="1"/>
  <c r="Z990" i="1"/>
  <c r="AD990" i="1"/>
  <c r="AE990" i="1"/>
  <c r="R991" i="1"/>
  <c r="S991" i="1"/>
  <c r="T991" i="1"/>
  <c r="U991" i="1"/>
  <c r="V991" i="1"/>
  <c r="X991" i="1"/>
  <c r="Y991" i="1"/>
  <c r="Z991" i="1"/>
  <c r="AD991" i="1"/>
  <c r="AE991" i="1"/>
  <c r="AI991" i="1"/>
  <c r="AN991" i="1"/>
  <c r="AO991" i="1"/>
  <c r="AP991" i="1"/>
  <c r="AQ991" i="1"/>
  <c r="AS991" i="1"/>
  <c r="AY991" i="1"/>
  <c r="BA991" i="1"/>
  <c r="BE991" i="1"/>
  <c r="BF991" i="1"/>
  <c r="BK991" i="1"/>
  <c r="EL991" i="1"/>
  <c r="EM991" i="1"/>
  <c r="EN991" i="1"/>
  <c r="EO991" i="1"/>
  <c r="ER991" i="1"/>
  <c r="R992" i="1"/>
  <c r="S992" i="1"/>
  <c r="T992" i="1"/>
  <c r="U992" i="1"/>
  <c r="V992" i="1"/>
  <c r="X992" i="1"/>
  <c r="Z992" i="1"/>
  <c r="AD992" i="1"/>
  <c r="AE992" i="1"/>
  <c r="R993" i="1"/>
  <c r="S993" i="1"/>
  <c r="T993" i="1"/>
  <c r="U993" i="1"/>
  <c r="V993" i="1"/>
  <c r="X993" i="1"/>
  <c r="Z993" i="1"/>
  <c r="AD993" i="1"/>
  <c r="AE993" i="1"/>
  <c r="R994" i="1"/>
  <c r="S994" i="1"/>
  <c r="T994" i="1"/>
  <c r="U994" i="1"/>
  <c r="V994" i="1"/>
  <c r="X994" i="1"/>
  <c r="Z994" i="1"/>
  <c r="AD994" i="1"/>
  <c r="AE994" i="1"/>
  <c r="AN994" i="1"/>
  <c r="AO994" i="1"/>
  <c r="AP994" i="1"/>
  <c r="AQ994" i="1"/>
  <c r="AS994" i="1"/>
  <c r="AZ994" i="1"/>
  <c r="BE994" i="1"/>
  <c r="BK994" i="1"/>
  <c r="EL994" i="1"/>
  <c r="R995" i="1"/>
  <c r="S995" i="1"/>
  <c r="T995" i="1"/>
  <c r="U995" i="1"/>
  <c r="X995" i="1"/>
  <c r="Y995" i="1"/>
  <c r="Z995" i="1"/>
  <c r="AD995" i="1"/>
  <c r="AE995" i="1"/>
  <c r="R996" i="1"/>
  <c r="S996" i="1"/>
  <c r="T996" i="1"/>
  <c r="U996" i="1"/>
  <c r="X996" i="1"/>
  <c r="Y996" i="1"/>
  <c r="Z996" i="1"/>
  <c r="AA996" i="1"/>
  <c r="AB996" i="1"/>
  <c r="AC996" i="1"/>
  <c r="AD996" i="1"/>
  <c r="AE996" i="1"/>
  <c r="R997" i="1"/>
  <c r="S997" i="1"/>
  <c r="T997" i="1"/>
  <c r="U997" i="1"/>
  <c r="X997" i="1"/>
  <c r="Y997" i="1"/>
  <c r="Z997" i="1"/>
  <c r="AC997" i="1"/>
  <c r="AD997" i="1"/>
  <c r="AE997" i="1"/>
  <c r="AI997" i="1"/>
  <c r="AN997" i="1"/>
  <c r="AO997" i="1"/>
  <c r="AP997" i="1"/>
  <c r="AQ997" i="1"/>
  <c r="AS997" i="1"/>
  <c r="BA997" i="1"/>
  <c r="BB997" i="1"/>
  <c r="BE997" i="1"/>
  <c r="BI997" i="1"/>
  <c r="BK997" i="1"/>
  <c r="EL997" i="1"/>
  <c r="EN997" i="1"/>
  <c r="EO997" i="1"/>
  <c r="ER997" i="1"/>
  <c r="R998" i="1"/>
  <c r="S998" i="1"/>
  <c r="T998" i="1"/>
  <c r="U998" i="1"/>
  <c r="V998" i="1"/>
  <c r="X998" i="1"/>
  <c r="Y998" i="1"/>
  <c r="Z998" i="1"/>
  <c r="AA998" i="1"/>
  <c r="AB998" i="1"/>
  <c r="AC998" i="1"/>
  <c r="AD998" i="1"/>
  <c r="AE998" i="1"/>
  <c r="R999" i="1"/>
  <c r="S999" i="1"/>
  <c r="T999" i="1"/>
  <c r="U999" i="1"/>
  <c r="X999" i="1"/>
  <c r="Z999" i="1"/>
  <c r="AD999" i="1"/>
  <c r="AE999" i="1"/>
  <c r="R1000" i="1"/>
  <c r="S1000" i="1"/>
  <c r="T1000" i="1"/>
  <c r="U1000" i="1"/>
  <c r="V1000" i="1"/>
  <c r="X1000" i="1"/>
  <c r="Z1000" i="1"/>
  <c r="AD1000" i="1"/>
  <c r="AE1000" i="1"/>
  <c r="R1001" i="1"/>
  <c r="S1001" i="1"/>
  <c r="T1001" i="1"/>
  <c r="U1001" i="1"/>
  <c r="X1001" i="1"/>
  <c r="Z1001" i="1"/>
  <c r="AD1001" i="1"/>
  <c r="AE1001" i="1"/>
  <c r="AN1001" i="1"/>
  <c r="AO1001" i="1"/>
  <c r="AP1001" i="1"/>
  <c r="AQ1001" i="1"/>
  <c r="AS1001" i="1"/>
  <c r="BE1001" i="1"/>
  <c r="BK1001" i="1"/>
  <c r="R1002" i="1"/>
  <c r="S1002" i="1"/>
  <c r="T1002" i="1"/>
  <c r="U1002" i="1"/>
  <c r="V1002" i="1"/>
  <c r="X1002" i="1"/>
  <c r="Z1002" i="1"/>
  <c r="AD1002" i="1"/>
  <c r="AE1002" i="1"/>
  <c r="AN1002" i="1"/>
  <c r="AO1002" i="1"/>
  <c r="AP1002" i="1"/>
  <c r="AQ1002" i="1"/>
  <c r="AS1002" i="1"/>
  <c r="BE1002" i="1"/>
  <c r="BF1002" i="1"/>
  <c r="BH1002" i="1"/>
  <c r="BK1002" i="1"/>
  <c r="EL1002" i="1"/>
  <c r="EN1002" i="1"/>
  <c r="EO1002" i="1"/>
  <c r="ER1002" i="1"/>
  <c r="R1003" i="1"/>
  <c r="S1003" i="1"/>
  <c r="T1003" i="1"/>
  <c r="U1003" i="1"/>
  <c r="X1003" i="1"/>
  <c r="Z1003" i="1"/>
  <c r="AD1003" i="1"/>
  <c r="AE1003" i="1"/>
  <c r="R1004" i="1"/>
  <c r="S1004" i="1"/>
  <c r="T1004" i="1"/>
  <c r="U1004" i="1"/>
  <c r="X1004" i="1"/>
  <c r="Z1004" i="1"/>
  <c r="AC1004" i="1"/>
  <c r="AD1004" i="1"/>
  <c r="AE1004" i="1"/>
  <c r="R1005" i="1"/>
  <c r="S1005" i="1"/>
  <c r="T1005" i="1"/>
  <c r="U1005" i="1"/>
  <c r="X1005" i="1"/>
  <c r="Y1005" i="1"/>
  <c r="Z1005" i="1"/>
  <c r="AA1005" i="1"/>
  <c r="AB1005" i="1"/>
  <c r="AC1005" i="1"/>
  <c r="AD1005" i="1"/>
  <c r="AE1005" i="1"/>
  <c r="R1006" i="1"/>
  <c r="S1006" i="1"/>
  <c r="T1006" i="1"/>
  <c r="U1006" i="1"/>
  <c r="X1006" i="1"/>
  <c r="Y1006" i="1"/>
  <c r="Z1006" i="1"/>
  <c r="AD1006" i="1"/>
  <c r="AE1006" i="1"/>
  <c r="R1007" i="1"/>
  <c r="S1007" i="1"/>
  <c r="T1007" i="1"/>
  <c r="U1007" i="1"/>
  <c r="X1007" i="1"/>
  <c r="Y1007" i="1"/>
  <c r="Z1007" i="1"/>
  <c r="AA1007" i="1"/>
  <c r="AB1007" i="1"/>
  <c r="AC1007" i="1"/>
  <c r="AD1007" i="1"/>
  <c r="AE1007" i="1"/>
  <c r="BB1007" i="1"/>
  <c r="R1008" i="1"/>
  <c r="S1008" i="1"/>
  <c r="T1008" i="1"/>
  <c r="U1008" i="1"/>
  <c r="V1008" i="1"/>
  <c r="X1008" i="1"/>
  <c r="Z1008" i="1"/>
  <c r="AC1008" i="1"/>
  <c r="AD1008" i="1"/>
  <c r="AE1008" i="1"/>
  <c r="R1009" i="1"/>
  <c r="S1009" i="1"/>
  <c r="T1009" i="1"/>
  <c r="U1009" i="1"/>
  <c r="V1009" i="1"/>
  <c r="X1009" i="1"/>
  <c r="Y1009" i="1"/>
  <c r="Z1009" i="1"/>
  <c r="AA1009" i="1"/>
  <c r="AB1009" i="1"/>
  <c r="AC1009" i="1"/>
  <c r="AD1009" i="1"/>
  <c r="AE1009" i="1"/>
  <c r="R1010" i="1"/>
  <c r="S1010" i="1"/>
  <c r="T1010" i="1"/>
  <c r="U1010" i="1"/>
  <c r="V1010" i="1"/>
  <c r="X1010" i="1"/>
  <c r="Y1010" i="1"/>
  <c r="Z1010" i="1"/>
  <c r="AA1010" i="1"/>
  <c r="AB1010" i="1"/>
  <c r="AC1010" i="1"/>
  <c r="AD1010" i="1"/>
  <c r="AE1010" i="1"/>
  <c r="R1011" i="1"/>
  <c r="S1011" i="1"/>
  <c r="T1011" i="1"/>
  <c r="U1011" i="1"/>
  <c r="X1011" i="1"/>
  <c r="Y1011" i="1"/>
  <c r="Z1011" i="1"/>
  <c r="AA1011" i="1"/>
  <c r="AB1011" i="1"/>
  <c r="AC1011" i="1"/>
  <c r="AD1011" i="1"/>
  <c r="AE1011" i="1"/>
  <c r="BB1011" i="1"/>
  <c r="R1012" i="1"/>
  <c r="S1012" i="1"/>
  <c r="T1012" i="1"/>
  <c r="U1012" i="1"/>
  <c r="X1012" i="1"/>
  <c r="Z1012" i="1"/>
  <c r="AD1012" i="1"/>
  <c r="AE1012" i="1"/>
  <c r="R1013" i="1"/>
  <c r="S1013" i="1"/>
  <c r="T1013" i="1"/>
  <c r="U1013" i="1"/>
  <c r="X1013" i="1"/>
  <c r="Z1013" i="1"/>
  <c r="AB1013" i="1"/>
  <c r="AD1013" i="1"/>
  <c r="AE1013" i="1"/>
  <c r="R1014" i="1"/>
  <c r="S1014" i="1"/>
  <c r="T1014" i="1"/>
  <c r="U1014" i="1"/>
  <c r="X1014" i="1"/>
  <c r="Z1014" i="1"/>
  <c r="AA1014" i="1"/>
  <c r="AB1014" i="1"/>
  <c r="AD1014" i="1"/>
  <c r="AE1014" i="1"/>
  <c r="R1015" i="1"/>
  <c r="S1015" i="1"/>
  <c r="T1015" i="1"/>
  <c r="U1015" i="1"/>
  <c r="X1015" i="1"/>
  <c r="Z1015" i="1"/>
  <c r="AD1015" i="1"/>
  <c r="AE1015" i="1"/>
  <c r="AN1015" i="1"/>
  <c r="AO1015" i="1"/>
  <c r="AP1015" i="1"/>
  <c r="AQ1015" i="1"/>
  <c r="AS1015" i="1"/>
  <c r="AY1015" i="1"/>
  <c r="BA1015" i="1"/>
  <c r="BE1015" i="1"/>
  <c r="BK1015" i="1"/>
  <c r="EL1015" i="1"/>
  <c r="EM1015" i="1"/>
  <c r="EN1015" i="1"/>
  <c r="EO1015" i="1"/>
  <c r="ER1015" i="1"/>
  <c r="R1016" i="1"/>
  <c r="S1016" i="1"/>
  <c r="T1016" i="1"/>
  <c r="U1016" i="1"/>
  <c r="X1016" i="1"/>
  <c r="Z1016" i="1"/>
  <c r="AD1016" i="1"/>
  <c r="AE1016" i="1"/>
  <c r="R1017" i="1"/>
  <c r="S1017" i="1"/>
  <c r="T1017" i="1"/>
  <c r="U1017" i="1"/>
  <c r="X1017" i="1"/>
  <c r="Z1017" i="1"/>
  <c r="AD1017" i="1"/>
  <c r="AE1017" i="1"/>
  <c r="R1018" i="1"/>
  <c r="S1018" i="1"/>
  <c r="T1018" i="1"/>
  <c r="U1018" i="1"/>
  <c r="X1018" i="1"/>
  <c r="Z1018" i="1"/>
  <c r="AD1018" i="1"/>
  <c r="AE1018" i="1"/>
  <c r="R1019" i="1"/>
  <c r="S1019" i="1"/>
  <c r="T1019" i="1"/>
  <c r="U1019" i="1"/>
  <c r="X1019" i="1"/>
  <c r="Z1019" i="1"/>
  <c r="AD1019" i="1"/>
  <c r="AE1019" i="1"/>
  <c r="R1020" i="1"/>
  <c r="S1020" i="1"/>
  <c r="T1020" i="1"/>
  <c r="U1020" i="1"/>
  <c r="X1020" i="1"/>
  <c r="Z1020" i="1"/>
  <c r="AD1020" i="1"/>
  <c r="AE1020" i="1"/>
  <c r="R1021" i="1"/>
  <c r="S1021" i="1"/>
  <c r="T1021" i="1"/>
  <c r="U1021" i="1"/>
  <c r="X1021" i="1"/>
  <c r="Z1021" i="1"/>
  <c r="AD1021" i="1"/>
  <c r="AE1021" i="1"/>
  <c r="AN1021" i="1"/>
  <c r="AO1021" i="1"/>
  <c r="AP1021" i="1"/>
  <c r="AQ1021" i="1"/>
  <c r="AS1021" i="1"/>
  <c r="BA1021" i="1"/>
  <c r="BE1021" i="1"/>
  <c r="BK1021" i="1"/>
  <c r="R1022" i="1"/>
  <c r="S1022" i="1"/>
  <c r="T1022" i="1"/>
  <c r="U1022" i="1"/>
  <c r="X1022" i="1"/>
  <c r="Z1022" i="1"/>
  <c r="AD1022" i="1"/>
  <c r="AE1022" i="1"/>
  <c r="R1023" i="1"/>
  <c r="S1023" i="1"/>
  <c r="T1023" i="1"/>
  <c r="U1023" i="1"/>
  <c r="X1023" i="1"/>
  <c r="Z1023" i="1"/>
  <c r="AD1023" i="1"/>
  <c r="AE1023" i="1"/>
  <c r="R1024" i="1"/>
  <c r="S1024" i="1"/>
  <c r="T1024" i="1"/>
  <c r="U1024" i="1"/>
  <c r="X1024" i="1"/>
  <c r="Z1024" i="1"/>
  <c r="AD1024" i="1"/>
  <c r="AE1024" i="1"/>
  <c r="R1025" i="1"/>
  <c r="S1025" i="1"/>
  <c r="T1025" i="1"/>
  <c r="U1025" i="1"/>
  <c r="X1025" i="1"/>
  <c r="Z1025" i="1"/>
  <c r="AD1025" i="1"/>
  <c r="AE1025" i="1"/>
  <c r="R1026" i="1"/>
  <c r="S1026" i="1"/>
  <c r="T1026" i="1"/>
  <c r="U1026" i="1"/>
  <c r="X1026" i="1"/>
  <c r="Z1026" i="1"/>
  <c r="AD1026" i="1"/>
  <c r="AE1026" i="1"/>
  <c r="R1027" i="1"/>
  <c r="S1027" i="1"/>
  <c r="T1027" i="1"/>
  <c r="U1027" i="1"/>
  <c r="X1027" i="1"/>
  <c r="Z1027" i="1"/>
  <c r="AD1027" i="1"/>
  <c r="AE1027" i="1"/>
  <c r="R1028" i="1"/>
  <c r="S1028" i="1"/>
  <c r="T1028" i="1"/>
  <c r="U1028" i="1"/>
  <c r="X1028" i="1"/>
  <c r="Z1028" i="1"/>
  <c r="AD1028" i="1"/>
  <c r="AE1028" i="1"/>
  <c r="AN1028" i="1"/>
  <c r="AO1028" i="1"/>
  <c r="AP1028" i="1"/>
  <c r="AQ1028" i="1"/>
  <c r="AS1028" i="1"/>
  <c r="BA1028" i="1"/>
  <c r="BE1028" i="1"/>
  <c r="BG1028" i="1"/>
  <c r="BK1028" i="1"/>
  <c r="EP1028" i="1"/>
  <c r="R1029" i="1"/>
  <c r="S1029" i="1"/>
  <c r="T1029" i="1"/>
  <c r="U1029" i="1"/>
  <c r="X1029" i="1"/>
  <c r="Z1029" i="1"/>
  <c r="AD1029" i="1"/>
  <c r="AE1029" i="1"/>
  <c r="R1030" i="1"/>
  <c r="S1030" i="1"/>
  <c r="T1030" i="1"/>
  <c r="U1030" i="1"/>
  <c r="X1030" i="1"/>
  <c r="Z1030" i="1"/>
  <c r="AD1030" i="1"/>
  <c r="AE1030" i="1"/>
  <c r="R1031" i="1"/>
  <c r="S1031" i="1"/>
  <c r="T1031" i="1"/>
  <c r="U1031" i="1"/>
  <c r="X1031" i="1"/>
  <c r="Z1031" i="1"/>
  <c r="AD1031" i="1"/>
  <c r="AE1031" i="1"/>
  <c r="R1032" i="1"/>
  <c r="S1032" i="1"/>
  <c r="T1032" i="1"/>
  <c r="U1032" i="1"/>
  <c r="X1032" i="1"/>
  <c r="Z1032" i="1"/>
  <c r="AD1032" i="1"/>
  <c r="AE1032" i="1"/>
  <c r="AN1032" i="1"/>
  <c r="AO1032" i="1"/>
  <c r="AP1032" i="1"/>
  <c r="AQ1032" i="1"/>
  <c r="AS1032" i="1"/>
  <c r="BA1032" i="1"/>
  <c r="BE1032" i="1"/>
  <c r="BK1032" i="1"/>
  <c r="R1033" i="1"/>
  <c r="S1033" i="1"/>
  <c r="T1033" i="1"/>
  <c r="U1033" i="1"/>
  <c r="X1033" i="1"/>
  <c r="Y1033" i="1"/>
  <c r="Z1033" i="1"/>
  <c r="AA1033" i="1"/>
  <c r="AB1033" i="1"/>
  <c r="AC1033" i="1"/>
  <c r="AD1033" i="1"/>
  <c r="AE1033" i="1"/>
  <c r="R1034" i="1"/>
  <c r="S1034" i="1"/>
  <c r="T1034" i="1"/>
  <c r="U1034" i="1"/>
  <c r="V1034" i="1"/>
  <c r="X1034" i="1"/>
  <c r="Y1034" i="1"/>
  <c r="Z1034" i="1"/>
  <c r="AA1034" i="1"/>
  <c r="AB1034" i="1"/>
  <c r="AC1034" i="1"/>
  <c r="AD1034" i="1"/>
  <c r="AE1034" i="1"/>
  <c r="BB1034" i="1"/>
  <c r="R1035" i="1"/>
  <c r="S1035" i="1"/>
  <c r="T1035" i="1"/>
  <c r="U1035" i="1"/>
  <c r="X1035" i="1"/>
  <c r="Y1035" i="1"/>
  <c r="Z1035" i="1"/>
  <c r="AA1035" i="1"/>
  <c r="AB1035" i="1"/>
  <c r="AC1035" i="1"/>
  <c r="AD1035" i="1"/>
  <c r="AE1035" i="1"/>
  <c r="R1036" i="1"/>
  <c r="S1036" i="1"/>
  <c r="T1036" i="1"/>
  <c r="U1036" i="1"/>
  <c r="V1036" i="1"/>
  <c r="X1036" i="1"/>
  <c r="Y1036" i="1"/>
  <c r="Z1036" i="1"/>
  <c r="AA1036" i="1"/>
  <c r="AB1036" i="1"/>
  <c r="AC1036" i="1"/>
  <c r="AD1036" i="1"/>
  <c r="AE1036" i="1"/>
  <c r="R1037" i="1"/>
  <c r="S1037" i="1"/>
  <c r="T1037" i="1"/>
  <c r="U1037" i="1"/>
  <c r="X1037" i="1"/>
  <c r="Y1037" i="1"/>
  <c r="Z1037" i="1"/>
  <c r="AA1037" i="1"/>
  <c r="AB1037" i="1"/>
  <c r="AD1037" i="1"/>
  <c r="AE1037" i="1"/>
  <c r="R1038" i="1"/>
  <c r="S1038" i="1"/>
  <c r="T1038" i="1"/>
  <c r="U1038" i="1"/>
  <c r="V1038" i="1"/>
  <c r="X1038" i="1"/>
  <c r="Y1038" i="1"/>
  <c r="Z1038" i="1"/>
  <c r="AA1038" i="1"/>
  <c r="AB1038" i="1"/>
  <c r="AD1038" i="1"/>
  <c r="AE1038" i="1"/>
  <c r="AI1038" i="1"/>
  <c r="AN1038" i="1"/>
  <c r="AO1038" i="1"/>
  <c r="AP1038" i="1"/>
  <c r="AQ1038" i="1"/>
  <c r="AS1038" i="1"/>
  <c r="BA1038" i="1"/>
  <c r="BB1038" i="1"/>
  <c r="BE1038" i="1"/>
  <c r="BK1038" i="1"/>
  <c r="R1039" i="1"/>
  <c r="S1039" i="1"/>
  <c r="T1039" i="1"/>
  <c r="U1039" i="1"/>
  <c r="X1039" i="1"/>
  <c r="Z1039" i="1"/>
  <c r="AA1039" i="1"/>
  <c r="AB1039" i="1"/>
  <c r="AD1039" i="1"/>
  <c r="AE1039" i="1"/>
  <c r="R1040" i="1"/>
  <c r="S1040" i="1"/>
  <c r="T1040" i="1"/>
  <c r="U1040" i="1"/>
  <c r="X1040" i="1"/>
  <c r="Y1040" i="1"/>
  <c r="Z1040" i="1"/>
  <c r="AA1040" i="1"/>
  <c r="AB1040" i="1"/>
  <c r="AD1040" i="1"/>
  <c r="AE1040" i="1"/>
  <c r="AI1040" i="1"/>
  <c r="AN1040" i="1"/>
  <c r="AO1040" i="1"/>
  <c r="AP1040" i="1"/>
  <c r="AQ1040" i="1"/>
  <c r="AS1040" i="1"/>
  <c r="BA1040" i="1"/>
  <c r="BB1040" i="1"/>
  <c r="BC1040" i="1"/>
  <c r="BE1040" i="1"/>
  <c r="BH1040" i="1"/>
  <c r="BK1040" i="1"/>
  <c r="EL1040" i="1"/>
  <c r="EN1040" i="1"/>
  <c r="ER1040" i="1"/>
  <c r="R1041" i="1"/>
  <c r="S1041" i="1"/>
  <c r="T1041" i="1"/>
  <c r="U1041" i="1"/>
  <c r="X1041" i="1"/>
  <c r="Y1041" i="1"/>
  <c r="Z1041" i="1"/>
  <c r="AA1041" i="1"/>
  <c r="AB1041" i="1"/>
  <c r="AC1041" i="1"/>
  <c r="AD1041" i="1"/>
  <c r="AE1041" i="1"/>
  <c r="R1042" i="1"/>
  <c r="S1042" i="1"/>
  <c r="T1042" i="1"/>
  <c r="U1042" i="1"/>
  <c r="X1042" i="1"/>
  <c r="Z1042" i="1"/>
  <c r="AD1042" i="1"/>
  <c r="AE1042" i="1"/>
  <c r="R1043" i="1"/>
  <c r="S1043" i="1"/>
  <c r="T1043" i="1"/>
  <c r="U1043" i="1"/>
  <c r="X1043" i="1"/>
  <c r="Z1043" i="1"/>
  <c r="AD1043" i="1"/>
  <c r="AE1043" i="1"/>
  <c r="R1044" i="1"/>
  <c r="S1044" i="1"/>
  <c r="T1044" i="1"/>
  <c r="U1044" i="1"/>
  <c r="X1044" i="1"/>
  <c r="Z1044" i="1"/>
  <c r="AD1044" i="1"/>
  <c r="AE1044" i="1"/>
  <c r="AN1044" i="1"/>
  <c r="AO1044" i="1"/>
  <c r="AP1044" i="1"/>
  <c r="AQ1044" i="1"/>
  <c r="R1045" i="1"/>
  <c r="S1045" i="1"/>
  <c r="T1045" i="1"/>
  <c r="U1045" i="1"/>
  <c r="X1045" i="1"/>
  <c r="Z1045" i="1"/>
  <c r="AD1045" i="1"/>
  <c r="AE1045" i="1"/>
  <c r="R1046" i="1"/>
  <c r="S1046" i="1"/>
  <c r="T1046" i="1"/>
  <c r="U1046" i="1"/>
  <c r="X1046" i="1"/>
  <c r="Z1046" i="1"/>
  <c r="AD1046" i="1"/>
  <c r="AE1046" i="1"/>
  <c r="R1047" i="1"/>
  <c r="S1047" i="1"/>
  <c r="T1047" i="1"/>
  <c r="U1047" i="1"/>
  <c r="X1047" i="1"/>
  <c r="Z1047" i="1"/>
  <c r="AD1047" i="1"/>
  <c r="AE1047" i="1"/>
  <c r="R1048" i="1"/>
  <c r="S1048" i="1"/>
  <c r="T1048" i="1"/>
  <c r="U1048" i="1"/>
  <c r="X1048" i="1"/>
  <c r="Y1048" i="1"/>
  <c r="Z1048" i="1"/>
  <c r="AD1048" i="1"/>
  <c r="AE1048" i="1"/>
  <c r="AN1048" i="1"/>
  <c r="AO1048" i="1"/>
  <c r="AP1048" i="1"/>
  <c r="AQ1048" i="1"/>
  <c r="AS1048" i="1"/>
  <c r="AZ1048" i="1"/>
  <c r="BE1048" i="1"/>
  <c r="BK1048" i="1"/>
  <c r="EL1048" i="1"/>
  <c r="EM1048" i="1"/>
  <c r="EN1048" i="1"/>
  <c r="EO1048" i="1"/>
  <c r="ER1048" i="1"/>
  <c r="R1049" i="1"/>
  <c r="S1049" i="1"/>
  <c r="T1049" i="1"/>
  <c r="U1049" i="1"/>
  <c r="V1049" i="1"/>
  <c r="X1049" i="1"/>
  <c r="Z1049" i="1"/>
  <c r="AC1049" i="1"/>
  <c r="AD1049" i="1"/>
  <c r="AE1049" i="1"/>
  <c r="R1050" i="1"/>
  <c r="S1050" i="1"/>
  <c r="T1050" i="1"/>
  <c r="U1050" i="1"/>
  <c r="X1050" i="1"/>
  <c r="Z1050" i="1"/>
  <c r="AC1050" i="1"/>
  <c r="AD1050" i="1"/>
  <c r="AE1050" i="1"/>
  <c r="AI1050" i="1"/>
  <c r="AN1050" i="1"/>
  <c r="AO1050" i="1"/>
  <c r="AP1050" i="1"/>
  <c r="AQ1050" i="1"/>
  <c r="AS1050" i="1"/>
  <c r="BB1050" i="1"/>
  <c r="BE1050" i="1"/>
  <c r="BH1050" i="1"/>
  <c r="BK1050" i="1"/>
  <c r="EL1050" i="1"/>
  <c r="EN1050" i="1"/>
  <c r="EO1050" i="1"/>
  <c r="ER1050" i="1"/>
  <c r="R1051" i="1"/>
  <c r="S1051" i="1"/>
  <c r="T1051" i="1"/>
  <c r="U1051" i="1"/>
  <c r="X1051" i="1"/>
  <c r="Y1051" i="1"/>
  <c r="Z1051" i="1"/>
  <c r="AD1051" i="1"/>
  <c r="AE1051" i="1"/>
  <c r="AI1051" i="1"/>
  <c r="AN1051" i="1"/>
  <c r="AO1051" i="1"/>
  <c r="AP1051" i="1"/>
  <c r="AQ1051" i="1"/>
  <c r="BE1051" i="1"/>
  <c r="BF1051" i="1"/>
  <c r="BK1051" i="1"/>
  <c r="EL1051" i="1"/>
  <c r="EN1051" i="1"/>
  <c r="ER1051" i="1"/>
  <c r="R1052" i="1"/>
  <c r="S1052" i="1"/>
  <c r="T1052" i="1"/>
  <c r="U1052" i="1"/>
  <c r="V1052" i="1"/>
  <c r="X1052" i="1"/>
  <c r="Z1052" i="1"/>
  <c r="AC1052" i="1"/>
  <c r="AD1052" i="1"/>
  <c r="AE1052" i="1"/>
  <c r="AN1052" i="1"/>
  <c r="AO1052" i="1"/>
  <c r="AP1052" i="1"/>
  <c r="AQ1052" i="1"/>
  <c r="AS1052" i="1"/>
  <c r="BE1052" i="1"/>
  <c r="BH1052" i="1"/>
  <c r="BK1052" i="1"/>
  <c r="EL1052" i="1"/>
  <c r="EN1052" i="1"/>
  <c r="EO1052" i="1"/>
  <c r="ER1052" i="1"/>
  <c r="R1053" i="1"/>
  <c r="S1053" i="1"/>
  <c r="T1053" i="1"/>
  <c r="U1053" i="1"/>
  <c r="X1053" i="1"/>
  <c r="Y1053" i="1"/>
  <c r="Z1053" i="1"/>
  <c r="AD1053" i="1"/>
  <c r="AE1053" i="1"/>
  <c r="CF1053" i="1"/>
  <c r="R1054" i="1"/>
  <c r="S1054" i="1"/>
  <c r="T1054" i="1"/>
  <c r="U1054" i="1"/>
  <c r="X1054" i="1"/>
  <c r="Y1054" i="1"/>
  <c r="Z1054" i="1"/>
  <c r="AD1054" i="1"/>
  <c r="AE1054" i="1"/>
  <c r="R1055" i="1"/>
  <c r="S1055" i="1"/>
  <c r="T1055" i="1"/>
  <c r="U1055" i="1"/>
  <c r="X1055" i="1"/>
  <c r="Y1055" i="1"/>
  <c r="Z1055" i="1"/>
  <c r="AD1055" i="1"/>
  <c r="AE1055" i="1"/>
  <c r="R1056" i="1"/>
  <c r="S1056" i="1"/>
  <c r="T1056" i="1"/>
  <c r="U1056" i="1"/>
  <c r="W1056" i="1"/>
  <c r="X1056" i="1"/>
  <c r="Z1056" i="1"/>
  <c r="AC1056" i="1"/>
  <c r="AD1056" i="1"/>
  <c r="AE1056" i="1"/>
  <c r="R1057" i="1"/>
  <c r="S1057" i="1"/>
  <c r="T1057" i="1"/>
  <c r="U1057" i="1"/>
  <c r="V1057" i="1"/>
  <c r="X1057" i="1"/>
  <c r="Z1057" i="1"/>
  <c r="AC1057" i="1"/>
  <c r="AD1057" i="1"/>
  <c r="AE1057" i="1"/>
  <c r="R1058" i="1"/>
  <c r="S1058" i="1"/>
  <c r="T1058" i="1"/>
  <c r="U1058" i="1"/>
  <c r="V1058" i="1"/>
  <c r="X1058" i="1"/>
  <c r="Y1058" i="1"/>
  <c r="Z1058" i="1"/>
  <c r="AD1058" i="1"/>
  <c r="AE1058" i="1"/>
  <c r="R1059" i="1"/>
  <c r="S1059" i="1"/>
  <c r="T1059" i="1"/>
  <c r="U1059" i="1"/>
  <c r="V1059" i="1"/>
  <c r="X1059" i="1"/>
  <c r="Y1059" i="1"/>
  <c r="Z1059" i="1"/>
  <c r="AA1059" i="1"/>
  <c r="AB1059" i="1"/>
  <c r="AD1059" i="1"/>
  <c r="AE1059" i="1"/>
  <c r="R1060" i="1"/>
  <c r="S1060" i="1"/>
  <c r="T1060" i="1"/>
  <c r="U1060" i="1"/>
  <c r="X1060" i="1"/>
  <c r="Y1060" i="1"/>
  <c r="Z1060" i="1"/>
  <c r="AD1060" i="1"/>
  <c r="AE1060" i="1"/>
  <c r="R1061" i="1"/>
  <c r="S1061" i="1"/>
  <c r="T1061" i="1"/>
  <c r="U1061" i="1"/>
  <c r="X1061" i="1"/>
  <c r="Y1061" i="1"/>
  <c r="Z1061" i="1"/>
  <c r="AC1061" i="1"/>
  <c r="AD1061" i="1"/>
  <c r="AE1061" i="1"/>
  <c r="AN1061" i="1"/>
  <c r="AO1061" i="1"/>
  <c r="AP1061" i="1"/>
  <c r="AQ1061" i="1"/>
  <c r="AR1061" i="1"/>
  <c r="AS1061" i="1"/>
  <c r="BA1061" i="1"/>
  <c r="BB1061" i="1"/>
  <c r="BE1061" i="1"/>
  <c r="BG1061" i="1"/>
  <c r="BK1061" i="1"/>
  <c r="R1062" i="1"/>
  <c r="S1062" i="1"/>
  <c r="T1062" i="1"/>
  <c r="U1062" i="1"/>
  <c r="X1062" i="1"/>
  <c r="Z1062" i="1"/>
  <c r="AC1062" i="1"/>
  <c r="AD1062" i="1"/>
  <c r="AE1062" i="1"/>
  <c r="R1063" i="1"/>
  <c r="S1063" i="1"/>
  <c r="T1063" i="1"/>
  <c r="U1063" i="1"/>
  <c r="X1063" i="1"/>
  <c r="Z1063" i="1"/>
  <c r="AA1063" i="1"/>
  <c r="AB1063" i="1"/>
  <c r="AD1063" i="1"/>
  <c r="AE1063" i="1"/>
  <c r="R1064" i="1"/>
  <c r="S1064" i="1"/>
  <c r="T1064" i="1"/>
  <c r="U1064" i="1"/>
  <c r="V1064" i="1"/>
  <c r="X1064" i="1"/>
  <c r="Z1064" i="1"/>
  <c r="AC1064" i="1"/>
  <c r="AD1064" i="1"/>
  <c r="AE1064" i="1"/>
  <c r="R1065" i="1"/>
  <c r="S1065" i="1"/>
  <c r="T1065" i="1"/>
  <c r="U1065" i="1"/>
  <c r="X1065" i="1"/>
  <c r="Y1065" i="1"/>
  <c r="Z1065" i="1"/>
  <c r="AC1065" i="1"/>
  <c r="AD1065" i="1"/>
  <c r="AE1065" i="1"/>
  <c r="AI1065" i="1"/>
  <c r="AN1065" i="1"/>
  <c r="AO1065" i="1"/>
  <c r="AP1065" i="1"/>
  <c r="AQ1065" i="1"/>
  <c r="AS1065" i="1"/>
  <c r="BE1065" i="1"/>
  <c r="BF1065" i="1"/>
  <c r="BK1065" i="1"/>
  <c r="EL1065" i="1"/>
  <c r="EN1065" i="1"/>
  <c r="ER1065" i="1"/>
  <c r="R1066" i="1"/>
  <c r="S1066" i="1"/>
  <c r="T1066" i="1"/>
  <c r="U1066" i="1"/>
  <c r="X1066" i="1"/>
  <c r="Z1066" i="1"/>
  <c r="AC1066" i="1"/>
  <c r="AD1066" i="1"/>
  <c r="AE1066" i="1"/>
  <c r="AI1066" i="1"/>
  <c r="AN1066" i="1"/>
  <c r="AO1066" i="1"/>
  <c r="AP1066" i="1"/>
  <c r="AQ1066" i="1"/>
  <c r="AS1066" i="1"/>
  <c r="BA1066" i="1"/>
  <c r="BB1066" i="1"/>
  <c r="BE1066" i="1"/>
  <c r="BG1066" i="1"/>
  <c r="BH1066" i="1"/>
  <c r="BK1066" i="1"/>
  <c r="EL1066" i="1"/>
  <c r="EN1066" i="1"/>
  <c r="EO1066" i="1"/>
  <c r="ER1066" i="1"/>
  <c r="R1067" i="1"/>
  <c r="S1067" i="1"/>
  <c r="T1067" i="1"/>
  <c r="U1067" i="1"/>
  <c r="V1067" i="1"/>
  <c r="X1067" i="1"/>
  <c r="Y1067" i="1"/>
  <c r="Z1067" i="1"/>
  <c r="AC1067" i="1"/>
  <c r="AD1067" i="1"/>
  <c r="AE1067" i="1"/>
  <c r="AN1067" i="1"/>
  <c r="AO1067" i="1"/>
  <c r="AP1067" i="1"/>
  <c r="AQ1067" i="1"/>
  <c r="AR1067" i="1"/>
  <c r="AS1067" i="1"/>
  <c r="BA1067" i="1"/>
  <c r="BB1067" i="1"/>
  <c r="BD1067" i="1"/>
  <c r="BE1067" i="1"/>
  <c r="BH1067" i="1"/>
  <c r="BK1067" i="1"/>
  <c r="EL1067" i="1"/>
  <c r="EN1067" i="1"/>
  <c r="EO1067" i="1"/>
  <c r="ER1067" i="1"/>
  <c r="R1068" i="1"/>
  <c r="S1068" i="1"/>
  <c r="T1068" i="1"/>
  <c r="U1068" i="1"/>
  <c r="V1068" i="1"/>
  <c r="X1068" i="1"/>
  <c r="Y1068" i="1"/>
  <c r="Z1068" i="1"/>
  <c r="AD1068" i="1"/>
  <c r="AE1068" i="1"/>
  <c r="R1069" i="1"/>
  <c r="S1069" i="1"/>
  <c r="T1069" i="1"/>
  <c r="U1069" i="1"/>
  <c r="X1069" i="1"/>
  <c r="Y1069" i="1"/>
  <c r="Z1069" i="1"/>
  <c r="AA1069" i="1"/>
  <c r="AB1069" i="1"/>
  <c r="AC1069" i="1"/>
  <c r="AD1069" i="1"/>
  <c r="AE1069" i="1"/>
  <c r="R1070" i="1"/>
  <c r="S1070" i="1"/>
  <c r="T1070" i="1"/>
  <c r="U1070" i="1"/>
  <c r="V1070" i="1"/>
  <c r="X1070" i="1"/>
  <c r="Z1070" i="1"/>
  <c r="AD1070" i="1"/>
  <c r="AE1070" i="1"/>
  <c r="R1071" i="1"/>
  <c r="S1071" i="1"/>
  <c r="T1071" i="1"/>
  <c r="U1071" i="1"/>
  <c r="V1071" i="1"/>
  <c r="X1071" i="1"/>
  <c r="Y1071" i="1"/>
  <c r="Z1071" i="1"/>
  <c r="AD1071" i="1"/>
  <c r="AE1071" i="1"/>
  <c r="R1072" i="1"/>
  <c r="S1072" i="1"/>
  <c r="T1072" i="1"/>
  <c r="U1072" i="1"/>
  <c r="V1072" i="1"/>
  <c r="X1072" i="1"/>
  <c r="Y1072" i="1"/>
  <c r="Z1072" i="1"/>
  <c r="AC1072" i="1"/>
  <c r="AD1072" i="1"/>
  <c r="AE1072" i="1"/>
  <c r="R1073" i="1"/>
  <c r="S1073" i="1"/>
  <c r="T1073" i="1"/>
  <c r="U1073" i="1"/>
  <c r="V1073" i="1"/>
  <c r="X1073" i="1"/>
  <c r="Y1073" i="1"/>
  <c r="Z1073" i="1"/>
  <c r="AC1073" i="1"/>
  <c r="AD1073" i="1"/>
  <c r="AE1073" i="1"/>
  <c r="R1074" i="1"/>
  <c r="S1074" i="1"/>
  <c r="T1074" i="1"/>
  <c r="U1074" i="1"/>
  <c r="W1074" i="1"/>
  <c r="X1074" i="1"/>
  <c r="Y1074" i="1"/>
  <c r="Z1074" i="1"/>
  <c r="AA1074" i="1"/>
  <c r="AB1074" i="1"/>
  <c r="AC1074" i="1"/>
  <c r="AD1074" i="1"/>
  <c r="AE1074" i="1"/>
  <c r="R1075" i="1"/>
  <c r="S1075" i="1"/>
  <c r="T1075" i="1"/>
  <c r="U1075" i="1"/>
  <c r="V1075" i="1"/>
  <c r="X1075" i="1"/>
  <c r="Y1075" i="1"/>
  <c r="Z1075" i="1"/>
  <c r="AD1075" i="1"/>
  <c r="AE1075" i="1"/>
  <c r="AN1075" i="1"/>
  <c r="AO1075" i="1"/>
  <c r="AP1075" i="1"/>
  <c r="AQ1075" i="1"/>
  <c r="AS1075" i="1"/>
  <c r="BE1075" i="1"/>
  <c r="BK1075" i="1"/>
  <c r="EL1075" i="1"/>
  <c r="EN1075" i="1"/>
  <c r="EO1075" i="1"/>
  <c r="ER1075" i="1"/>
  <c r="R1076" i="1"/>
  <c r="S1076" i="1"/>
  <c r="T1076" i="1"/>
  <c r="U1076" i="1"/>
  <c r="X1076" i="1"/>
  <c r="Y1076" i="1"/>
  <c r="Z1076" i="1"/>
  <c r="AD1076" i="1"/>
  <c r="AE1076" i="1"/>
  <c r="R1077" i="1"/>
  <c r="S1077" i="1"/>
  <c r="T1077" i="1"/>
  <c r="U1077" i="1"/>
  <c r="X1077" i="1"/>
  <c r="Y1077" i="1"/>
  <c r="Z1077" i="1"/>
  <c r="AD1077" i="1"/>
  <c r="AE1077" i="1"/>
  <c r="R1078" i="1"/>
  <c r="S1078" i="1"/>
  <c r="T1078" i="1"/>
  <c r="U1078" i="1"/>
  <c r="V1078" i="1"/>
  <c r="X1078" i="1"/>
  <c r="Z1078" i="1"/>
  <c r="AC1078" i="1"/>
  <c r="AD1078" i="1"/>
  <c r="AE1078" i="1"/>
  <c r="AI1078" i="1"/>
  <c r="AL1078" i="1"/>
  <c r="AN1078" i="1"/>
  <c r="AO1078" i="1"/>
  <c r="AP1078" i="1"/>
  <c r="AQ1078" i="1"/>
  <c r="AS1078" i="1"/>
  <c r="BA1078" i="1"/>
  <c r="BB1078" i="1"/>
  <c r="BC1078" i="1"/>
  <c r="BD1078" i="1"/>
  <c r="BE1078" i="1"/>
  <c r="BH1078" i="1"/>
  <c r="BK1078" i="1"/>
  <c r="EL1078" i="1"/>
  <c r="EN1078" i="1"/>
  <c r="EO1078" i="1"/>
  <c r="ER1078" i="1"/>
  <c r="R1079" i="1"/>
  <c r="S1079" i="1"/>
  <c r="T1079" i="1"/>
  <c r="U1079" i="1"/>
  <c r="V1079" i="1"/>
  <c r="X1079" i="1"/>
  <c r="Z1079" i="1"/>
  <c r="AC1079" i="1"/>
  <c r="AD1079" i="1"/>
  <c r="AE1079" i="1"/>
  <c r="R1080" i="1"/>
  <c r="S1080" i="1"/>
  <c r="T1080" i="1"/>
  <c r="U1080" i="1"/>
  <c r="X1080" i="1"/>
  <c r="Y1080" i="1"/>
  <c r="Z1080" i="1"/>
  <c r="AA1080" i="1"/>
  <c r="AB1080" i="1"/>
  <c r="AD1080" i="1"/>
  <c r="AE1080" i="1"/>
  <c r="R1081" i="1"/>
  <c r="S1081" i="1"/>
  <c r="T1081" i="1"/>
  <c r="U1081" i="1"/>
  <c r="X1081" i="1"/>
  <c r="Y1081" i="1"/>
  <c r="Z1081" i="1"/>
  <c r="AA1081" i="1"/>
  <c r="AB1081" i="1"/>
  <c r="AD1081" i="1"/>
  <c r="AE1081" i="1"/>
  <c r="R1082" i="1"/>
  <c r="S1082" i="1"/>
  <c r="T1082" i="1"/>
  <c r="U1082" i="1"/>
  <c r="X1082" i="1"/>
  <c r="Z1082" i="1"/>
  <c r="AA1082" i="1"/>
  <c r="AB1082" i="1"/>
  <c r="AD1082" i="1"/>
  <c r="AE1082" i="1"/>
  <c r="R1083" i="1"/>
  <c r="S1083" i="1"/>
  <c r="T1083" i="1"/>
  <c r="U1083" i="1"/>
  <c r="X1083" i="1"/>
  <c r="Z1083" i="1"/>
  <c r="AA1083" i="1"/>
  <c r="AB1083" i="1"/>
  <c r="AD1083" i="1"/>
  <c r="AE1083" i="1"/>
  <c r="R1084" i="1"/>
  <c r="S1084" i="1"/>
  <c r="T1084" i="1"/>
  <c r="U1084" i="1"/>
  <c r="X1084" i="1"/>
  <c r="Z1084" i="1"/>
  <c r="AA1084" i="1"/>
  <c r="AB1084" i="1"/>
  <c r="AD1084" i="1"/>
  <c r="AE1084" i="1"/>
  <c r="R1085" i="1"/>
  <c r="S1085" i="1"/>
  <c r="T1085" i="1"/>
  <c r="U1085" i="1"/>
  <c r="V1085" i="1"/>
  <c r="X1085" i="1"/>
  <c r="Z1085" i="1"/>
  <c r="AC1085" i="1"/>
  <c r="AD1085" i="1"/>
  <c r="AE1085" i="1"/>
  <c r="AN1085" i="1"/>
  <c r="AO1085" i="1"/>
  <c r="AP1085" i="1"/>
  <c r="AQ1085" i="1"/>
  <c r="AS1085" i="1"/>
  <c r="BA1085" i="1"/>
  <c r="BB1085" i="1"/>
  <c r="BD1085" i="1"/>
  <c r="BE1085" i="1"/>
  <c r="BK1085" i="1"/>
  <c r="R1086" i="1"/>
  <c r="S1086" i="1"/>
  <c r="T1086" i="1"/>
  <c r="U1086" i="1"/>
  <c r="X1086" i="1"/>
  <c r="Z1086" i="1"/>
  <c r="AA1086" i="1"/>
  <c r="AB1086" i="1"/>
  <c r="AC1086" i="1"/>
  <c r="AD1086" i="1"/>
  <c r="AE1086" i="1"/>
  <c r="AN1086" i="1"/>
  <c r="AO1086" i="1"/>
  <c r="AP1086" i="1"/>
  <c r="AQ1086" i="1"/>
  <c r="AS1086" i="1"/>
  <c r="R1087" i="1"/>
  <c r="S1087" i="1"/>
  <c r="T1087" i="1"/>
  <c r="U1087" i="1"/>
  <c r="X1087" i="1"/>
  <c r="Y1087" i="1"/>
  <c r="Z1087" i="1"/>
  <c r="AA1087" i="1"/>
  <c r="AB1087" i="1"/>
  <c r="AD1087" i="1"/>
  <c r="AE1087" i="1"/>
  <c r="R1088" i="1"/>
  <c r="S1088" i="1"/>
  <c r="T1088" i="1"/>
  <c r="U1088" i="1"/>
  <c r="X1088" i="1"/>
  <c r="Y1088" i="1"/>
  <c r="Z1088" i="1"/>
  <c r="AA1088" i="1"/>
  <c r="AB1088" i="1"/>
  <c r="AD1088" i="1"/>
  <c r="AE1088" i="1"/>
  <c r="AN1088" i="1"/>
  <c r="AO1088" i="1"/>
  <c r="AP1088" i="1"/>
  <c r="AQ1088" i="1"/>
  <c r="AS1088" i="1"/>
  <c r="BB1088" i="1"/>
  <c r="R1089" i="1"/>
  <c r="S1089" i="1"/>
  <c r="T1089" i="1"/>
  <c r="U1089" i="1"/>
  <c r="V1089" i="1"/>
  <c r="X1089" i="1"/>
  <c r="Y1089" i="1"/>
  <c r="Z1089" i="1"/>
  <c r="AA1089" i="1"/>
  <c r="AB1089" i="1"/>
  <c r="AD1089" i="1"/>
  <c r="AE1089" i="1"/>
  <c r="R1090" i="1"/>
  <c r="S1090" i="1"/>
  <c r="T1090" i="1"/>
  <c r="U1090" i="1"/>
  <c r="X1090" i="1"/>
  <c r="Z1090" i="1"/>
  <c r="AA1090" i="1"/>
  <c r="AB1090" i="1"/>
  <c r="AD1090" i="1"/>
  <c r="AE1090" i="1"/>
  <c r="R1091" i="1"/>
  <c r="S1091" i="1"/>
  <c r="T1091" i="1"/>
  <c r="U1091" i="1"/>
  <c r="X1091" i="1"/>
  <c r="Y1091" i="1"/>
  <c r="Z1091" i="1"/>
  <c r="AA1091" i="1"/>
  <c r="AB1091" i="1"/>
  <c r="AD1091" i="1"/>
  <c r="AE1091" i="1"/>
  <c r="R1092" i="1"/>
  <c r="S1092" i="1"/>
  <c r="T1092" i="1"/>
  <c r="U1092" i="1"/>
  <c r="X1092" i="1"/>
  <c r="Y1092" i="1"/>
  <c r="Z1092" i="1"/>
  <c r="AA1092" i="1"/>
  <c r="AB1092" i="1"/>
  <c r="AD1092" i="1"/>
  <c r="AE1092" i="1"/>
  <c r="R1093" i="1"/>
  <c r="S1093" i="1"/>
  <c r="T1093" i="1"/>
  <c r="U1093" i="1"/>
  <c r="X1093" i="1"/>
  <c r="Z1093" i="1"/>
  <c r="AA1093" i="1"/>
  <c r="AB1093" i="1"/>
  <c r="AD1093" i="1"/>
  <c r="AE1093" i="1"/>
  <c r="R1094" i="1"/>
  <c r="S1094" i="1"/>
  <c r="T1094" i="1"/>
  <c r="U1094" i="1"/>
  <c r="X1094" i="1"/>
  <c r="Y1094" i="1"/>
  <c r="Z1094" i="1"/>
  <c r="AD1094" i="1"/>
  <c r="AE1094" i="1"/>
  <c r="AN1094" i="1"/>
  <c r="AO1094" i="1"/>
  <c r="AP1094" i="1"/>
  <c r="AZ1094" i="1"/>
  <c r="BE1094" i="1"/>
  <c r="BK1094" i="1"/>
  <c r="EL1094" i="1"/>
  <c r="ER1094" i="1"/>
  <c r="R1095" i="1"/>
  <c r="S1095" i="1"/>
  <c r="T1095" i="1"/>
  <c r="U1095" i="1"/>
  <c r="V1095" i="1"/>
  <c r="X1095" i="1"/>
  <c r="Y1095" i="1"/>
  <c r="Z1095" i="1"/>
  <c r="AD1095" i="1"/>
  <c r="AE1095" i="1"/>
  <c r="R1096" i="1"/>
  <c r="S1096" i="1"/>
  <c r="T1096" i="1"/>
  <c r="U1096" i="1"/>
  <c r="V1096" i="1"/>
  <c r="X1096" i="1"/>
  <c r="Y1096" i="1"/>
  <c r="Z1096" i="1"/>
  <c r="AA1096" i="1"/>
  <c r="AB1096" i="1"/>
  <c r="AC1096" i="1"/>
  <c r="AD1096" i="1"/>
  <c r="AE1096" i="1"/>
  <c r="AN1096" i="1"/>
  <c r="AO1096" i="1"/>
  <c r="AP1096" i="1"/>
  <c r="AQ1096" i="1"/>
  <c r="AS1096" i="1"/>
  <c r="AY1096" i="1"/>
  <c r="BA1096" i="1"/>
  <c r="BB1096" i="1"/>
  <c r="BE1096" i="1"/>
  <c r="BH1096" i="1"/>
  <c r="EL1096" i="1"/>
  <c r="EN1096" i="1"/>
  <c r="ER1096" i="1"/>
  <c r="R1097" i="1"/>
  <c r="S1097" i="1"/>
  <c r="T1097" i="1"/>
  <c r="U1097" i="1"/>
  <c r="V1097" i="1"/>
  <c r="X1097" i="1"/>
  <c r="Z1097" i="1"/>
  <c r="AB1097" i="1"/>
  <c r="AC1097" i="1"/>
  <c r="AD1097" i="1"/>
  <c r="AE1097" i="1"/>
  <c r="AN1097" i="1"/>
  <c r="AO1097" i="1"/>
  <c r="AP1097" i="1"/>
  <c r="AQ1097" i="1"/>
  <c r="AS1097" i="1"/>
  <c r="BA1097" i="1"/>
  <c r="BE1097" i="1"/>
  <c r="BK1097" i="1"/>
  <c r="EL1097" i="1"/>
  <c r="EN1097" i="1"/>
  <c r="EO1097" i="1"/>
  <c r="ER1097" i="1"/>
  <c r="R1098" i="1"/>
  <c r="S1098" i="1"/>
  <c r="T1098" i="1"/>
  <c r="U1098" i="1"/>
  <c r="V1098" i="1"/>
  <c r="X1098" i="1"/>
  <c r="Z1098" i="1"/>
  <c r="AD1098" i="1"/>
  <c r="AE1098" i="1"/>
  <c r="R1099" i="1"/>
  <c r="S1099" i="1"/>
  <c r="T1099" i="1"/>
  <c r="U1099" i="1"/>
  <c r="V1099" i="1"/>
  <c r="X1099" i="1"/>
  <c r="Y1099" i="1"/>
  <c r="Z1099" i="1"/>
  <c r="AC1099" i="1"/>
  <c r="AD1099" i="1"/>
  <c r="AE1099" i="1"/>
  <c r="R1100" i="1"/>
  <c r="S1100" i="1"/>
  <c r="T1100" i="1"/>
  <c r="U1100" i="1"/>
  <c r="V1100" i="1"/>
  <c r="X1100" i="1"/>
  <c r="Y1100" i="1"/>
  <c r="Z1100" i="1"/>
  <c r="AA1100" i="1"/>
  <c r="AB1100" i="1"/>
  <c r="AC1100" i="1"/>
  <c r="AD1100" i="1"/>
  <c r="AE1100" i="1"/>
  <c r="R1101" i="1"/>
  <c r="S1101" i="1"/>
  <c r="T1101" i="1"/>
  <c r="U1101" i="1"/>
  <c r="X1101" i="1"/>
  <c r="Y1101" i="1"/>
  <c r="Z1101" i="1"/>
  <c r="AD1101" i="1"/>
  <c r="AE1101" i="1"/>
  <c r="R1102" i="1"/>
  <c r="S1102" i="1"/>
  <c r="T1102" i="1"/>
  <c r="U1102" i="1"/>
  <c r="X1102" i="1"/>
  <c r="Z1102" i="1"/>
  <c r="AA1102" i="1"/>
  <c r="AB1102" i="1"/>
  <c r="AD1102" i="1"/>
  <c r="AE1102" i="1"/>
  <c r="R1103" i="1"/>
  <c r="S1103" i="1"/>
  <c r="T1103" i="1"/>
  <c r="U1103" i="1"/>
  <c r="X1103" i="1"/>
  <c r="Z1103" i="1"/>
  <c r="AC1103" i="1"/>
  <c r="AD1103" i="1"/>
  <c r="AE1103" i="1"/>
  <c r="R1104" i="1"/>
  <c r="S1104" i="1"/>
  <c r="T1104" i="1"/>
  <c r="U1104" i="1"/>
  <c r="X1104" i="1"/>
  <c r="Z1104" i="1"/>
  <c r="AA1104" i="1"/>
  <c r="AB1104" i="1"/>
  <c r="AC1104" i="1"/>
  <c r="AD1104" i="1"/>
  <c r="AE1104" i="1"/>
  <c r="AN1104" i="1"/>
  <c r="AO1104" i="1"/>
  <c r="AP1104" i="1"/>
  <c r="AQ1104" i="1"/>
  <c r="AS1104" i="1"/>
  <c r="R1105" i="1"/>
  <c r="S1105" i="1"/>
  <c r="T1105" i="1"/>
  <c r="U1105" i="1"/>
  <c r="V1105" i="1"/>
  <c r="X1105" i="1"/>
  <c r="Y1105" i="1"/>
  <c r="Z1105" i="1"/>
  <c r="AA1105" i="1"/>
  <c r="AB1105" i="1"/>
  <c r="AD1105" i="1"/>
  <c r="AE1105" i="1"/>
  <c r="AN1105" i="1"/>
  <c r="AO1105" i="1"/>
  <c r="AP1105" i="1"/>
  <c r="AS1105" i="1"/>
  <c r="BB1105" i="1"/>
  <c r="R1106" i="1"/>
  <c r="S1106" i="1"/>
  <c r="T1106" i="1"/>
  <c r="U1106" i="1"/>
  <c r="X1106" i="1"/>
  <c r="Z1106" i="1"/>
  <c r="AD1106" i="1"/>
  <c r="AE1106" i="1"/>
  <c r="R1107" i="1"/>
  <c r="S1107" i="1"/>
  <c r="T1107" i="1"/>
  <c r="U1107" i="1"/>
  <c r="V1107" i="1"/>
  <c r="X1107" i="1"/>
  <c r="Z1107" i="1"/>
  <c r="AA1107" i="1"/>
  <c r="AB1107" i="1"/>
  <c r="AD1107" i="1"/>
  <c r="AE1107" i="1"/>
  <c r="AN1107" i="1"/>
  <c r="AO1107" i="1"/>
  <c r="AP1107" i="1"/>
  <c r="AQ1107" i="1"/>
  <c r="AS1107" i="1"/>
  <c r="BE1107" i="1"/>
  <c r="BF1107" i="1"/>
  <c r="BH1107" i="1"/>
  <c r="BK1107" i="1"/>
  <c r="EN1107" i="1"/>
  <c r="EO1107" i="1"/>
  <c r="ER1107" i="1"/>
  <c r="R1108" i="1"/>
  <c r="S1108" i="1"/>
  <c r="T1108" i="1"/>
  <c r="U1108" i="1"/>
  <c r="X1108" i="1"/>
  <c r="Y1108" i="1"/>
  <c r="Z1108" i="1"/>
  <c r="AD1108" i="1"/>
  <c r="AE1108" i="1"/>
  <c r="AN1108" i="1"/>
  <c r="AO1108" i="1"/>
  <c r="AP1108" i="1"/>
  <c r="AQ1108" i="1"/>
  <c r="AS1108" i="1"/>
  <c r="BE1108" i="1"/>
  <c r="BH1108" i="1"/>
  <c r="BK1108" i="1"/>
  <c r="EL1108" i="1"/>
  <c r="EN1108" i="1"/>
  <c r="EO1108" i="1"/>
  <c r="ER1108" i="1"/>
  <c r="R1109" i="1"/>
  <c r="S1109" i="1"/>
  <c r="T1109" i="1"/>
  <c r="U1109" i="1"/>
  <c r="X1109" i="1"/>
  <c r="Y1109" i="1"/>
  <c r="Z1109" i="1"/>
  <c r="AC1109" i="1"/>
  <c r="AD1109" i="1"/>
  <c r="AE1109" i="1"/>
  <c r="R1110" i="1"/>
  <c r="S1110" i="1"/>
  <c r="T1110" i="1"/>
  <c r="U1110" i="1"/>
  <c r="V1110" i="1"/>
  <c r="X1110" i="1"/>
  <c r="Z1110" i="1"/>
  <c r="AC1110" i="1"/>
  <c r="AD1110" i="1"/>
  <c r="AE1110" i="1"/>
  <c r="AN1110" i="1"/>
  <c r="AO1110" i="1"/>
  <c r="AP1110" i="1"/>
  <c r="AQ1110" i="1"/>
  <c r="AS1110" i="1"/>
  <c r="BE1110" i="1"/>
  <c r="BH1110" i="1"/>
  <c r="BK1110" i="1"/>
  <c r="EL1110" i="1"/>
  <c r="EM1110" i="1"/>
  <c r="EN1110" i="1"/>
  <c r="EO1110" i="1"/>
  <c r="ER1110" i="1"/>
  <c r="R1111" i="1"/>
  <c r="S1111" i="1"/>
  <c r="T1111" i="1"/>
  <c r="U1111" i="1"/>
  <c r="X1111" i="1"/>
  <c r="Z1111" i="1"/>
  <c r="AD1111" i="1"/>
  <c r="AE1111" i="1"/>
  <c r="AN1111" i="1"/>
  <c r="AO1111" i="1"/>
  <c r="AP1111" i="1"/>
  <c r="AQ1111" i="1"/>
  <c r="AS1111" i="1"/>
  <c r="BH1111" i="1"/>
  <c r="BK1111" i="1"/>
  <c r="R1112" i="1"/>
  <c r="S1112" i="1"/>
  <c r="T1112" i="1"/>
  <c r="U1112" i="1"/>
  <c r="X1112" i="1"/>
  <c r="Z1112" i="1"/>
  <c r="AD1112" i="1"/>
  <c r="AE1112" i="1"/>
  <c r="AN1112" i="1"/>
  <c r="AO1112" i="1"/>
  <c r="AP1112" i="1"/>
  <c r="AQ1112" i="1"/>
  <c r="BK1112" i="1"/>
  <c r="R1113" i="1"/>
  <c r="S1113" i="1"/>
  <c r="T1113" i="1"/>
  <c r="U1113" i="1"/>
  <c r="X1113" i="1"/>
  <c r="Z1113" i="1"/>
  <c r="AD1113" i="1"/>
  <c r="AE1113" i="1"/>
  <c r="AN1113" i="1"/>
  <c r="AO1113" i="1"/>
  <c r="AP1113" i="1"/>
  <c r="AQ1113" i="1"/>
  <c r="AS1113" i="1"/>
  <c r="BE1113" i="1"/>
  <c r="BK1113" i="1"/>
  <c r="EL1113" i="1"/>
  <c r="EN1113" i="1"/>
  <c r="ER1113" i="1"/>
  <c r="R1114" i="1"/>
  <c r="S1114" i="1"/>
  <c r="T1114" i="1"/>
  <c r="U1114" i="1"/>
  <c r="X1114" i="1"/>
  <c r="Y1114" i="1"/>
  <c r="Z1114" i="1"/>
  <c r="AD1114" i="1"/>
  <c r="AE1114" i="1"/>
  <c r="R1115" i="1"/>
  <c r="S1115" i="1"/>
  <c r="T1115" i="1"/>
  <c r="U1115" i="1"/>
  <c r="V1115" i="1"/>
  <c r="X1115" i="1"/>
  <c r="Z1115" i="1"/>
  <c r="AD1115" i="1"/>
  <c r="AE1115" i="1"/>
  <c r="AN1115" i="1"/>
  <c r="AO1115" i="1"/>
  <c r="AP1115" i="1"/>
  <c r="AQ1115" i="1"/>
  <c r="AS1115" i="1"/>
  <c r="BE1115" i="1"/>
  <c r="BF1115" i="1"/>
  <c r="BH1115" i="1"/>
  <c r="BK1115" i="1"/>
  <c r="EL1115" i="1"/>
  <c r="EN1115" i="1"/>
  <c r="EO1115" i="1"/>
  <c r="ER1115" i="1"/>
  <c r="R1116" i="1"/>
  <c r="S1116" i="1"/>
  <c r="T1116" i="1"/>
  <c r="U1116" i="1"/>
  <c r="X1116" i="1"/>
  <c r="Y1116" i="1"/>
  <c r="Z1116" i="1"/>
  <c r="AD1116" i="1"/>
  <c r="AE1116" i="1"/>
  <c r="R1117" i="1"/>
  <c r="S1117" i="1"/>
  <c r="T1117" i="1"/>
  <c r="U1117" i="1"/>
  <c r="X1117" i="1"/>
  <c r="Z1117" i="1"/>
  <c r="AD1117" i="1"/>
  <c r="AE1117" i="1"/>
  <c r="R1118" i="1"/>
  <c r="S1118" i="1"/>
  <c r="T1118" i="1"/>
  <c r="U1118" i="1"/>
  <c r="X1118" i="1"/>
  <c r="Z1118" i="1"/>
  <c r="AB1118" i="1"/>
  <c r="AD1118" i="1"/>
  <c r="AE1118" i="1"/>
  <c r="AN1118" i="1"/>
  <c r="AO1118" i="1"/>
  <c r="AP1118" i="1"/>
  <c r="AQ1118" i="1"/>
  <c r="AS1118" i="1"/>
  <c r="BA1118" i="1"/>
  <c r="BE1118" i="1"/>
  <c r="BK1118" i="1"/>
  <c r="EL1118" i="1"/>
  <c r="EN1118" i="1"/>
  <c r="EO1118" i="1"/>
  <c r="ER1118" i="1"/>
  <c r="R1119" i="1"/>
  <c r="S1119" i="1"/>
  <c r="T1119" i="1"/>
  <c r="U1119" i="1"/>
  <c r="X1119" i="1"/>
  <c r="Z1119" i="1"/>
  <c r="AD1119" i="1"/>
  <c r="AE1119" i="1"/>
  <c r="AN1119" i="1"/>
  <c r="AO1119" i="1"/>
  <c r="AP1119" i="1"/>
  <c r="AQ1119" i="1"/>
  <c r="AS1119" i="1"/>
  <c r="BE1119" i="1"/>
  <c r="BK1119" i="1"/>
  <c r="EL1119" i="1"/>
  <c r="EN1119" i="1"/>
  <c r="EO1119" i="1"/>
  <c r="ER1119" i="1"/>
  <c r="R1120" i="1"/>
  <c r="S1120" i="1"/>
  <c r="T1120" i="1"/>
  <c r="U1120" i="1"/>
  <c r="X1120" i="1"/>
  <c r="Y1120" i="1"/>
  <c r="Z1120" i="1"/>
  <c r="AD1120" i="1"/>
  <c r="AE1120" i="1"/>
  <c r="AN1120" i="1"/>
  <c r="AO1120" i="1"/>
  <c r="AP1120" i="1"/>
  <c r="AQ1120" i="1"/>
  <c r="AS1120" i="1"/>
  <c r="AZ1120" i="1"/>
  <c r="BE1120" i="1"/>
  <c r="BH1120" i="1"/>
  <c r="BK1120" i="1"/>
  <c r="EL1120" i="1"/>
  <c r="EN1120" i="1"/>
  <c r="EO1120" i="1"/>
  <c r="ER1120" i="1"/>
  <c r="R1121" i="1"/>
  <c r="S1121" i="1"/>
  <c r="T1121" i="1"/>
  <c r="U1121" i="1"/>
  <c r="V1121" i="1"/>
  <c r="X1121" i="1"/>
  <c r="Z1121" i="1"/>
  <c r="AD1121" i="1"/>
  <c r="AE1121" i="1"/>
  <c r="R1122" i="1"/>
  <c r="S1122" i="1"/>
  <c r="T1122" i="1"/>
  <c r="U1122" i="1"/>
  <c r="V1122" i="1"/>
  <c r="X1122" i="1"/>
  <c r="Z1122" i="1"/>
  <c r="AC1122" i="1"/>
  <c r="AD1122" i="1"/>
  <c r="AE1122" i="1"/>
  <c r="R1123" i="1"/>
  <c r="S1123" i="1"/>
  <c r="T1123" i="1"/>
  <c r="U1123" i="1"/>
  <c r="X1123" i="1"/>
  <c r="Z1123" i="1"/>
  <c r="AB1123" i="1"/>
  <c r="AD1123" i="1"/>
  <c r="AE1123" i="1"/>
  <c r="AN1123" i="1"/>
  <c r="AO1123" i="1"/>
  <c r="AP1123" i="1"/>
  <c r="AQ1123" i="1"/>
  <c r="AS1123" i="1"/>
  <c r="BE1123" i="1"/>
  <c r="BK1123" i="1"/>
  <c r="EL1123" i="1"/>
  <c r="EN1123" i="1"/>
  <c r="EO1123" i="1"/>
  <c r="ER1123" i="1"/>
  <c r="R1124" i="1"/>
  <c r="S1124" i="1"/>
  <c r="T1124" i="1"/>
  <c r="U1124" i="1"/>
  <c r="X1124" i="1"/>
  <c r="Y1124" i="1"/>
  <c r="Z1124" i="1"/>
  <c r="AA1124" i="1"/>
  <c r="AB1124" i="1"/>
  <c r="AD1124" i="1"/>
  <c r="AE1124" i="1"/>
  <c r="R1125" i="1"/>
  <c r="S1125" i="1"/>
  <c r="T1125" i="1"/>
  <c r="U1125" i="1"/>
  <c r="V1125" i="1"/>
  <c r="X1125" i="1"/>
  <c r="Y1125" i="1"/>
  <c r="Z1125" i="1"/>
  <c r="AA1125" i="1"/>
  <c r="AB1125" i="1"/>
  <c r="AC1125" i="1"/>
  <c r="AD1125" i="1"/>
  <c r="AE1125" i="1"/>
  <c r="R1126" i="1"/>
  <c r="S1126" i="1"/>
  <c r="T1126" i="1"/>
  <c r="U1126" i="1"/>
  <c r="X1126" i="1"/>
  <c r="Z1126" i="1"/>
  <c r="AC1126" i="1"/>
  <c r="AD1126" i="1"/>
  <c r="AE1126" i="1"/>
  <c r="R1127" i="1"/>
  <c r="S1127" i="1"/>
  <c r="T1127" i="1"/>
  <c r="U1127" i="1"/>
  <c r="V1127" i="1"/>
  <c r="X1127" i="1"/>
  <c r="Y1127" i="1"/>
  <c r="Z1127" i="1"/>
  <c r="AA1127" i="1"/>
  <c r="AB1127" i="1"/>
  <c r="AD1127" i="1"/>
  <c r="AE1127" i="1"/>
  <c r="R1128" i="1"/>
  <c r="S1128" i="1"/>
  <c r="T1128" i="1"/>
  <c r="U1128" i="1"/>
  <c r="W1128" i="1"/>
  <c r="X1128" i="1"/>
  <c r="Z1128" i="1"/>
  <c r="AA1128" i="1"/>
  <c r="AB1128" i="1"/>
  <c r="AD1128" i="1"/>
  <c r="AE1128" i="1"/>
  <c r="R1129" i="1"/>
  <c r="S1129" i="1"/>
  <c r="T1129" i="1"/>
  <c r="U1129" i="1"/>
  <c r="X1129" i="1"/>
  <c r="Y1129" i="1"/>
  <c r="Z1129" i="1"/>
  <c r="AA1129" i="1"/>
  <c r="AB1129" i="1"/>
  <c r="AD1129" i="1"/>
  <c r="AE1129" i="1"/>
  <c r="R1130" i="1"/>
  <c r="S1130" i="1"/>
  <c r="T1130" i="1"/>
  <c r="U1130" i="1"/>
  <c r="V1130" i="1"/>
  <c r="X1130" i="1"/>
  <c r="Z1130" i="1"/>
  <c r="AD1130" i="1"/>
  <c r="AE1130" i="1"/>
  <c r="R1131" i="1"/>
  <c r="S1131" i="1"/>
  <c r="T1131" i="1"/>
  <c r="U1131" i="1"/>
  <c r="X1131" i="1"/>
  <c r="Z1131" i="1"/>
  <c r="AD1131" i="1"/>
  <c r="AE1131" i="1"/>
  <c r="AI1131" i="1"/>
  <c r="AN1131" i="1"/>
  <c r="AO1131" i="1"/>
  <c r="AP1131" i="1"/>
  <c r="AQ1131" i="1"/>
  <c r="AR1131" i="1"/>
  <c r="AS1131" i="1"/>
  <c r="AY1131" i="1"/>
  <c r="BA1131" i="1"/>
  <c r="BE1131" i="1"/>
  <c r="BH1131" i="1"/>
  <c r="BK1131" i="1"/>
  <c r="EL1131" i="1"/>
  <c r="EM1131" i="1"/>
  <c r="EN1131" i="1"/>
  <c r="EO1131" i="1"/>
  <c r="ER1131" i="1"/>
  <c r="R1132" i="1"/>
  <c r="S1132" i="1"/>
  <c r="T1132" i="1"/>
  <c r="U1132" i="1"/>
  <c r="X1132" i="1"/>
  <c r="Z1132" i="1"/>
  <c r="AD1132" i="1"/>
  <c r="AE1132" i="1"/>
  <c r="R1133" i="1"/>
  <c r="S1133" i="1"/>
  <c r="T1133" i="1"/>
  <c r="U1133" i="1"/>
  <c r="X1133" i="1"/>
  <c r="Y1133" i="1"/>
  <c r="Z1133" i="1"/>
  <c r="AA1133" i="1"/>
  <c r="AB1133" i="1"/>
  <c r="AC1133" i="1"/>
  <c r="AD1133" i="1"/>
  <c r="AE1133" i="1"/>
  <c r="AI1133" i="1"/>
  <c r="AN1133" i="1"/>
  <c r="AO1133" i="1"/>
  <c r="AP1133" i="1"/>
  <c r="AQ1133" i="1"/>
  <c r="AS1133" i="1"/>
  <c r="AY1133" i="1"/>
  <c r="BA1133" i="1"/>
  <c r="BB1133" i="1"/>
  <c r="BC1133" i="1"/>
  <c r="BD1133" i="1"/>
  <c r="BE1133" i="1"/>
  <c r="BK1133" i="1"/>
  <c r="EL1133" i="1"/>
  <c r="ER1133" i="1"/>
  <c r="R1134" i="1"/>
  <c r="S1134" i="1"/>
  <c r="T1134" i="1"/>
  <c r="U1134" i="1"/>
  <c r="X1134" i="1"/>
  <c r="Y1134" i="1"/>
  <c r="Z1134" i="1"/>
  <c r="AD1134" i="1"/>
  <c r="AE1134" i="1"/>
  <c r="AN1134" i="1"/>
  <c r="AO1134" i="1"/>
  <c r="AP1134" i="1"/>
  <c r="AQ1134" i="1"/>
  <c r="BE1134" i="1"/>
  <c r="BK1134" i="1"/>
  <c r="EL1134" i="1"/>
  <c r="R1135" i="1"/>
  <c r="S1135" i="1"/>
  <c r="T1135" i="1"/>
  <c r="U1135" i="1"/>
  <c r="X1135" i="1"/>
  <c r="Y1135" i="1"/>
  <c r="Z1135" i="1"/>
  <c r="AA1135" i="1"/>
  <c r="AB1135" i="1"/>
  <c r="AC1135" i="1"/>
  <c r="AD1135" i="1"/>
  <c r="AE1135" i="1"/>
  <c r="R1136" i="1"/>
  <c r="S1136" i="1"/>
  <c r="T1136" i="1"/>
  <c r="U1136" i="1"/>
  <c r="V1136" i="1"/>
  <c r="X1136" i="1"/>
  <c r="Y1136" i="1"/>
  <c r="Z1136" i="1"/>
  <c r="AA1136" i="1"/>
  <c r="AB1136" i="1"/>
  <c r="AD1136" i="1"/>
  <c r="AE1136" i="1"/>
  <c r="AN1136" i="1"/>
  <c r="AO1136" i="1"/>
  <c r="AP1136" i="1"/>
  <c r="AQ1136" i="1"/>
  <c r="AS1136" i="1"/>
  <c r="AY1136" i="1"/>
  <c r="BA1136" i="1"/>
  <c r="BB1136" i="1"/>
  <c r="BC1136" i="1"/>
  <c r="BD1136" i="1"/>
  <c r="BE1136" i="1"/>
  <c r="BJ1136" i="1"/>
  <c r="BK1136" i="1"/>
  <c r="R1137" i="1"/>
  <c r="S1137" i="1"/>
  <c r="T1137" i="1"/>
  <c r="U1137" i="1"/>
  <c r="X1137" i="1"/>
  <c r="Z1137" i="1"/>
  <c r="AD1137" i="1"/>
  <c r="AE1137" i="1"/>
  <c r="R1138" i="1"/>
  <c r="S1138" i="1"/>
  <c r="T1138" i="1"/>
  <c r="U1138" i="1"/>
  <c r="V1138" i="1"/>
  <c r="X1138" i="1"/>
  <c r="Z1138" i="1"/>
  <c r="AD1138" i="1"/>
  <c r="AE1138" i="1"/>
  <c r="R1139" i="1"/>
  <c r="S1139" i="1"/>
  <c r="T1139" i="1"/>
  <c r="U1139" i="1"/>
  <c r="X1139" i="1"/>
  <c r="Y1139" i="1"/>
  <c r="Z1139" i="1"/>
  <c r="AA1139" i="1"/>
  <c r="AB1139" i="1"/>
  <c r="AC1139" i="1"/>
  <c r="AD1139" i="1"/>
  <c r="AE1139" i="1"/>
  <c r="AI1139" i="1"/>
  <c r="AN1139" i="1"/>
  <c r="AO1139" i="1"/>
  <c r="AP1139" i="1"/>
  <c r="AQ1139" i="1"/>
  <c r="AS1139" i="1"/>
  <c r="AY1139" i="1"/>
  <c r="AZ1139" i="1"/>
  <c r="BA1139" i="1"/>
  <c r="BB1139" i="1"/>
  <c r="BC1139" i="1"/>
  <c r="BE1139" i="1"/>
  <c r="BF1139" i="1"/>
  <c r="BG1139" i="1"/>
  <c r="BH1139" i="1"/>
  <c r="BK1139" i="1"/>
  <c r="EL1139" i="1"/>
  <c r="EN1139" i="1"/>
  <c r="ER1139" i="1"/>
  <c r="R1140" i="1"/>
  <c r="S1140" i="1"/>
  <c r="T1140" i="1"/>
  <c r="U1140" i="1"/>
  <c r="X1140" i="1"/>
  <c r="Y1140" i="1"/>
  <c r="Z1140" i="1"/>
  <c r="AD1140" i="1"/>
  <c r="AE1140" i="1"/>
  <c r="R1141" i="1"/>
  <c r="S1141" i="1"/>
  <c r="T1141" i="1"/>
  <c r="U1141" i="1"/>
  <c r="X1141" i="1"/>
  <c r="Z1141" i="1"/>
  <c r="AA1141" i="1"/>
  <c r="AB1141" i="1"/>
  <c r="AD1141" i="1"/>
  <c r="AE1141" i="1"/>
  <c r="R1142" i="1"/>
  <c r="S1142" i="1"/>
  <c r="T1142" i="1"/>
  <c r="U1142" i="1"/>
  <c r="X1142" i="1"/>
  <c r="Z1142" i="1"/>
  <c r="AA1142" i="1"/>
  <c r="AB1142" i="1"/>
  <c r="AD1142" i="1"/>
  <c r="AE1142" i="1"/>
  <c r="AN1142" i="1"/>
  <c r="AO1142" i="1"/>
  <c r="AP1142" i="1"/>
  <c r="AS1142" i="1"/>
  <c r="R1143" i="1"/>
  <c r="S1143" i="1"/>
  <c r="T1143" i="1"/>
  <c r="U1143" i="1"/>
  <c r="V1143" i="1"/>
  <c r="X1143" i="1"/>
  <c r="Y1143" i="1"/>
  <c r="Z1143" i="1"/>
  <c r="AD1143" i="1"/>
  <c r="AE1143" i="1"/>
  <c r="R1144" i="1"/>
  <c r="S1144" i="1"/>
  <c r="T1144" i="1"/>
  <c r="U1144" i="1"/>
  <c r="X1144" i="1"/>
  <c r="Y1144" i="1"/>
  <c r="Z1144" i="1"/>
  <c r="AA1144" i="1"/>
  <c r="AB1144" i="1"/>
  <c r="AC1144" i="1"/>
  <c r="AD1144" i="1"/>
  <c r="AE1144" i="1"/>
  <c r="AI1144" i="1"/>
  <c r="AN1144" i="1"/>
  <c r="AO1144" i="1"/>
  <c r="AP1144" i="1"/>
  <c r="AQ1144" i="1"/>
  <c r="AS1144" i="1"/>
  <c r="AY1144" i="1"/>
  <c r="BA1144" i="1"/>
  <c r="BB1144" i="1"/>
  <c r="BC1144" i="1"/>
  <c r="BE1144" i="1"/>
  <c r="BK1144" i="1"/>
  <c r="EL1144" i="1"/>
  <c r="EN1144" i="1"/>
  <c r="ER1144" i="1"/>
  <c r="R1145" i="1"/>
  <c r="S1145" i="1"/>
  <c r="T1145" i="1"/>
  <c r="U1145" i="1"/>
  <c r="X1145" i="1"/>
  <c r="Z1145" i="1"/>
  <c r="AC1145" i="1"/>
  <c r="AD1145" i="1"/>
  <c r="AE1145" i="1"/>
  <c r="AI1145" i="1"/>
  <c r="AN1145" i="1"/>
  <c r="AO1145" i="1"/>
  <c r="AP1145" i="1"/>
  <c r="AQ1145" i="1"/>
  <c r="AS1145" i="1"/>
  <c r="AY1145" i="1"/>
  <c r="BA1145" i="1"/>
  <c r="BB1145" i="1"/>
  <c r="BE1145" i="1"/>
  <c r="BK1145" i="1"/>
  <c r="EL1145" i="1"/>
  <c r="EN1145" i="1"/>
  <c r="EO1145" i="1"/>
  <c r="ER1145" i="1"/>
  <c r="R1146" i="1"/>
  <c r="S1146" i="1"/>
  <c r="T1146" i="1"/>
  <c r="U1146" i="1"/>
  <c r="V1146" i="1"/>
  <c r="X1146" i="1"/>
  <c r="Z1146" i="1"/>
  <c r="AB1146" i="1"/>
  <c r="AD1146" i="1"/>
  <c r="AE1146" i="1"/>
  <c r="R1147" i="1"/>
  <c r="S1147" i="1"/>
  <c r="T1147" i="1"/>
  <c r="U1147" i="1"/>
  <c r="X1147" i="1"/>
  <c r="Y1147" i="1"/>
  <c r="Z1147" i="1"/>
  <c r="AD1147" i="1"/>
  <c r="AE1147" i="1"/>
  <c r="AI1147" i="1"/>
  <c r="AN1147" i="1"/>
  <c r="AO1147" i="1"/>
  <c r="AP1147" i="1"/>
  <c r="AQ1147" i="1"/>
  <c r="AS1147" i="1"/>
  <c r="BA1147" i="1"/>
  <c r="BE1147" i="1"/>
  <c r="BK1147" i="1"/>
  <c r="CF1147" i="1"/>
  <c r="EL1147" i="1"/>
  <c r="EM1147" i="1"/>
  <c r="EN1147" i="1"/>
  <c r="EO1147" i="1"/>
  <c r="ER1147" i="1"/>
  <c r="R1148" i="1"/>
  <c r="S1148" i="1"/>
  <c r="T1148" i="1"/>
  <c r="U1148" i="1"/>
  <c r="X1148" i="1"/>
  <c r="Z1148" i="1"/>
  <c r="AA1148" i="1"/>
  <c r="AD1148" i="1"/>
  <c r="AE1148" i="1"/>
  <c r="R1149" i="1"/>
  <c r="S1149" i="1"/>
  <c r="T1149" i="1"/>
  <c r="U1149" i="1"/>
  <c r="V1149" i="1"/>
  <c r="X1149" i="1"/>
  <c r="Z1149" i="1"/>
  <c r="AC1149" i="1"/>
  <c r="AD1149" i="1"/>
  <c r="AE1149" i="1"/>
  <c r="R1150" i="1"/>
  <c r="S1150" i="1"/>
  <c r="T1150" i="1"/>
  <c r="U1150" i="1"/>
  <c r="V1150" i="1"/>
  <c r="X1150" i="1"/>
  <c r="Y1150" i="1"/>
  <c r="Z1150" i="1"/>
  <c r="AD1150" i="1"/>
  <c r="AE1150" i="1"/>
  <c r="R1151" i="1"/>
  <c r="S1151" i="1"/>
  <c r="T1151" i="1"/>
  <c r="U1151" i="1"/>
  <c r="X1151" i="1"/>
  <c r="Z1151" i="1"/>
  <c r="AD1151" i="1"/>
  <c r="AE1151" i="1"/>
  <c r="R1152" i="1"/>
  <c r="S1152" i="1"/>
  <c r="T1152" i="1"/>
  <c r="U1152" i="1"/>
  <c r="X1152" i="1"/>
  <c r="Z1152" i="1"/>
  <c r="AD1152" i="1"/>
  <c r="AE1152" i="1"/>
  <c r="R1153" i="1"/>
  <c r="S1153" i="1"/>
  <c r="T1153" i="1"/>
  <c r="U1153" i="1"/>
  <c r="X1153" i="1"/>
  <c r="Y1153" i="1"/>
  <c r="Z1153" i="1"/>
  <c r="AC1153" i="1"/>
  <c r="AD1153" i="1"/>
  <c r="AE1153" i="1"/>
  <c r="AN1153" i="1"/>
  <c r="AO1153" i="1"/>
  <c r="AP1153" i="1"/>
  <c r="AQ1153" i="1"/>
  <c r="AR1153" i="1"/>
  <c r="AS1153" i="1"/>
  <c r="BA1153" i="1"/>
  <c r="BD1153" i="1"/>
  <c r="BE1153" i="1"/>
  <c r="BF1153" i="1"/>
  <c r="BG1153" i="1"/>
  <c r="BK1153" i="1"/>
  <c r="CI1153" i="1"/>
  <c r="CR1153" i="1"/>
  <c r="R1154" i="1"/>
  <c r="S1154" i="1"/>
  <c r="T1154" i="1"/>
  <c r="U1154" i="1"/>
  <c r="X1154" i="1"/>
  <c r="Y1154" i="1"/>
  <c r="Z1154" i="1"/>
  <c r="AD1154" i="1"/>
  <c r="AE1154" i="1"/>
  <c r="AN1154" i="1"/>
  <c r="AO1154" i="1"/>
  <c r="AP1154" i="1"/>
  <c r="AQ1154" i="1"/>
  <c r="AS1154" i="1"/>
  <c r="BA1154" i="1"/>
  <c r="BB1154" i="1"/>
  <c r="BD1154" i="1"/>
  <c r="BE1154" i="1"/>
  <c r="BH1154" i="1"/>
  <c r="BK1154" i="1"/>
  <c r="EL1154" i="1"/>
  <c r="EN1154" i="1"/>
  <c r="EO1154" i="1"/>
  <c r="ER1154" i="1"/>
  <c r="R1155" i="1"/>
  <c r="S1155" i="1"/>
  <c r="T1155" i="1"/>
  <c r="U1155" i="1"/>
  <c r="V1155" i="1"/>
  <c r="W1155" i="1"/>
  <c r="X1155" i="1"/>
  <c r="Z1155" i="1"/>
  <c r="AC1155" i="1"/>
  <c r="AD1155" i="1"/>
  <c r="AE1155" i="1"/>
  <c r="R1156" i="1"/>
  <c r="S1156" i="1"/>
  <c r="T1156" i="1"/>
  <c r="U1156" i="1"/>
  <c r="X1156" i="1"/>
  <c r="Z1156" i="1"/>
  <c r="AC1156" i="1"/>
  <c r="AD1156" i="1"/>
  <c r="AE1156" i="1"/>
  <c r="R1157" i="1"/>
  <c r="S1157" i="1"/>
  <c r="T1157" i="1"/>
  <c r="U1157" i="1"/>
  <c r="X1157" i="1"/>
  <c r="Y1157" i="1"/>
  <c r="Z1157" i="1"/>
  <c r="AD1157" i="1"/>
  <c r="AE1157" i="1"/>
  <c r="CF1157" i="1"/>
  <c r="R1158" i="1"/>
  <c r="S1158" i="1"/>
  <c r="T1158" i="1"/>
  <c r="U1158" i="1"/>
  <c r="X1158" i="1"/>
  <c r="Z1158" i="1"/>
  <c r="AA1158" i="1"/>
  <c r="AB1158" i="1"/>
  <c r="AD1158" i="1"/>
  <c r="AE1158" i="1"/>
  <c r="R1159" i="1"/>
  <c r="S1159" i="1"/>
  <c r="T1159" i="1"/>
  <c r="U1159" i="1"/>
  <c r="X1159" i="1"/>
  <c r="Y1159" i="1"/>
  <c r="Z1159" i="1"/>
  <c r="AD1159" i="1"/>
  <c r="AE1159" i="1"/>
  <c r="R1160" i="1"/>
  <c r="S1160" i="1"/>
  <c r="T1160" i="1"/>
  <c r="U1160" i="1"/>
  <c r="X1160" i="1"/>
  <c r="Z1160" i="1"/>
  <c r="AD1160" i="1"/>
  <c r="AE1160" i="1"/>
  <c r="R1161" i="1"/>
  <c r="S1161" i="1"/>
  <c r="T1161" i="1"/>
  <c r="U1161" i="1"/>
  <c r="X1161" i="1"/>
  <c r="Y1161" i="1"/>
  <c r="Z1161" i="1"/>
  <c r="AA1161" i="1"/>
  <c r="AB1161" i="1"/>
  <c r="AD1161" i="1"/>
  <c r="AE1161" i="1"/>
  <c r="AN1161" i="1"/>
  <c r="AO1161" i="1"/>
  <c r="AP1161" i="1"/>
  <c r="AQ1161" i="1"/>
  <c r="AS1161" i="1"/>
  <c r="R1162" i="1"/>
  <c r="S1162" i="1"/>
  <c r="T1162" i="1"/>
  <c r="U1162" i="1"/>
  <c r="V1162" i="1"/>
  <c r="X1162" i="1"/>
  <c r="Y1162" i="1"/>
  <c r="Z1162" i="1"/>
  <c r="AD1162" i="1"/>
  <c r="AE1162" i="1"/>
  <c r="AN1162" i="1"/>
  <c r="AO1162" i="1"/>
  <c r="AP1162" i="1"/>
  <c r="AQ1162" i="1"/>
  <c r="AS1162" i="1"/>
  <c r="BE1162" i="1"/>
  <c r="BH1162" i="1"/>
  <c r="BK1162" i="1"/>
  <c r="EL1162" i="1"/>
  <c r="EN1162" i="1"/>
  <c r="EO1162" i="1"/>
  <c r="ER1162" i="1"/>
  <c r="R1163" i="1"/>
  <c r="S1163" i="1"/>
  <c r="T1163" i="1"/>
  <c r="U1163" i="1"/>
  <c r="W1163" i="1"/>
  <c r="X1163" i="1"/>
  <c r="Z1163" i="1"/>
  <c r="AD1163" i="1"/>
  <c r="AE1163" i="1"/>
  <c r="R1164" i="1"/>
  <c r="S1164" i="1"/>
  <c r="T1164" i="1"/>
  <c r="U1164" i="1"/>
  <c r="X1164" i="1"/>
  <c r="Z1164" i="1"/>
  <c r="AD1164" i="1"/>
  <c r="AE1164" i="1"/>
  <c r="R1165" i="1"/>
  <c r="S1165" i="1"/>
  <c r="T1165" i="1"/>
  <c r="U1165" i="1"/>
  <c r="X1165" i="1"/>
  <c r="Z1165" i="1"/>
  <c r="AA1165" i="1"/>
  <c r="AB1165" i="1"/>
  <c r="AC1165" i="1"/>
  <c r="AD1165" i="1"/>
  <c r="AE1165" i="1"/>
  <c r="R1166" i="1"/>
  <c r="S1166" i="1"/>
  <c r="T1166" i="1"/>
  <c r="U1166" i="1"/>
  <c r="X1166" i="1"/>
  <c r="Y1166" i="1"/>
  <c r="Z1166" i="1"/>
  <c r="AD1166" i="1"/>
  <c r="AE1166" i="1"/>
  <c r="AI1166" i="1"/>
  <c r="AN1166" i="1"/>
  <c r="AO1166" i="1"/>
  <c r="AP1166" i="1"/>
  <c r="AQ1166" i="1"/>
  <c r="AS1166" i="1"/>
  <c r="BA1166" i="1"/>
  <c r="BB1166" i="1"/>
  <c r="BD1166" i="1"/>
  <c r="BE1166" i="1"/>
  <c r="BK1166" i="1"/>
  <c r="EL1166" i="1"/>
  <c r="EN1166" i="1"/>
  <c r="EO1166" i="1"/>
  <c r="ER1166" i="1"/>
  <c r="R1167" i="1"/>
  <c r="S1167" i="1"/>
  <c r="T1167" i="1"/>
  <c r="U1167" i="1"/>
  <c r="X1167" i="1"/>
  <c r="Y1167" i="1"/>
  <c r="Z1167" i="1"/>
  <c r="AA1167" i="1"/>
  <c r="AB1167" i="1"/>
  <c r="AD1167" i="1"/>
  <c r="AE1167" i="1"/>
  <c r="R1168" i="1"/>
  <c r="S1168" i="1"/>
  <c r="T1168" i="1"/>
  <c r="U1168" i="1"/>
  <c r="X1168" i="1"/>
  <c r="Z1168" i="1"/>
  <c r="AC1168" i="1"/>
  <c r="AD1168" i="1"/>
  <c r="AE1168" i="1"/>
  <c r="R1169" i="1"/>
  <c r="S1169" i="1"/>
  <c r="T1169" i="1"/>
  <c r="U1169" i="1"/>
  <c r="X1169" i="1"/>
  <c r="Z1169" i="1"/>
  <c r="AD1169" i="1"/>
  <c r="AE1169" i="1"/>
  <c r="AN1169" i="1"/>
  <c r="AO1169" i="1"/>
  <c r="AP1169" i="1"/>
  <c r="AQ1169" i="1"/>
  <c r="AS1169" i="1"/>
  <c r="BE1169" i="1"/>
  <c r="BH1169" i="1"/>
  <c r="BK1169" i="1"/>
  <c r="R1170" i="1"/>
  <c r="S1170" i="1"/>
  <c r="T1170" i="1"/>
  <c r="U1170" i="1"/>
  <c r="X1170" i="1"/>
  <c r="Y1170" i="1"/>
  <c r="Z1170" i="1"/>
  <c r="AA1170" i="1"/>
  <c r="AB1170" i="1"/>
  <c r="AD1170" i="1"/>
  <c r="AE1170" i="1"/>
  <c r="AI1170" i="1"/>
  <c r="AN1170" i="1"/>
  <c r="AO1170" i="1"/>
  <c r="AP1170" i="1"/>
  <c r="AQ1170" i="1"/>
  <c r="AS1170" i="1"/>
  <c r="BA1170" i="1"/>
  <c r="BB1170" i="1"/>
  <c r="BE1170" i="1"/>
  <c r="BK1170" i="1"/>
  <c r="EL1170" i="1"/>
  <c r="EN1170" i="1"/>
  <c r="ER1170" i="1"/>
  <c r="R1171" i="1"/>
  <c r="S1171" i="1"/>
  <c r="T1171" i="1"/>
  <c r="U1171" i="1"/>
  <c r="X1171" i="1"/>
  <c r="Y1171" i="1"/>
  <c r="Z1171" i="1"/>
  <c r="AA1171" i="1"/>
  <c r="AB1171" i="1"/>
  <c r="AC1171" i="1"/>
  <c r="AD1171" i="1"/>
  <c r="AE1171" i="1"/>
  <c r="AI1171" i="1"/>
  <c r="AN1171" i="1"/>
  <c r="AO1171" i="1"/>
  <c r="AP1171" i="1"/>
  <c r="AQ1171" i="1"/>
  <c r="AS1171" i="1"/>
  <c r="AY1171" i="1"/>
  <c r="BA1171" i="1"/>
  <c r="BB1171" i="1"/>
  <c r="BE1171" i="1"/>
  <c r="EL1171" i="1"/>
  <c r="EN1171" i="1"/>
  <c r="ER1171" i="1"/>
  <c r="R1172" i="1"/>
  <c r="S1172" i="1"/>
  <c r="T1172" i="1"/>
  <c r="U1172" i="1"/>
  <c r="V1172" i="1"/>
  <c r="X1172" i="1"/>
  <c r="Y1172" i="1"/>
  <c r="Z1172" i="1"/>
  <c r="AA1172" i="1"/>
  <c r="AB1172" i="1"/>
  <c r="AD1172" i="1"/>
  <c r="AE1172" i="1"/>
  <c r="AI1172" i="1"/>
  <c r="AN1172" i="1"/>
  <c r="AO1172" i="1"/>
  <c r="AP1172" i="1"/>
  <c r="AQ1172" i="1"/>
  <c r="AS1172" i="1"/>
  <c r="BA1172" i="1"/>
  <c r="BB1172" i="1"/>
  <c r="BE1172" i="1"/>
  <c r="BK1172" i="1"/>
  <c r="EO1172" i="1"/>
  <c r="ER1172" i="1"/>
  <c r="R1173" i="1"/>
  <c r="S1173" i="1"/>
  <c r="T1173" i="1"/>
  <c r="U1173" i="1"/>
  <c r="X1173" i="1"/>
  <c r="Z1173" i="1"/>
  <c r="AD1173" i="1"/>
  <c r="AE1173" i="1"/>
  <c r="AN1173" i="1"/>
  <c r="AO1173" i="1"/>
  <c r="AP1173" i="1"/>
  <c r="AQ1173" i="1"/>
  <c r="AS1173" i="1"/>
  <c r="BE1173" i="1"/>
  <c r="BK1173" i="1"/>
  <c r="EL1173" i="1"/>
  <c r="EN1173" i="1"/>
  <c r="EO1173" i="1"/>
  <c r="ER1173" i="1"/>
  <c r="R1174" i="1"/>
  <c r="S1174" i="1"/>
  <c r="T1174" i="1"/>
  <c r="U1174" i="1"/>
  <c r="X1174" i="1"/>
  <c r="Y1174" i="1"/>
  <c r="Z1174" i="1"/>
  <c r="AD1174" i="1"/>
  <c r="AE1174" i="1"/>
  <c r="R1175" i="1"/>
  <c r="S1175" i="1"/>
  <c r="T1175" i="1"/>
  <c r="U1175" i="1"/>
  <c r="X1175" i="1"/>
  <c r="Y1175" i="1"/>
  <c r="Z1175" i="1"/>
  <c r="AA1175" i="1"/>
  <c r="AB1175" i="1"/>
  <c r="AD1175" i="1"/>
  <c r="AE1175" i="1"/>
  <c r="R1176" i="1"/>
  <c r="S1176" i="1"/>
  <c r="T1176" i="1"/>
  <c r="U1176" i="1"/>
  <c r="X1176" i="1"/>
  <c r="Z1176" i="1"/>
  <c r="AB1176" i="1"/>
  <c r="AD1176" i="1"/>
  <c r="AE1176" i="1"/>
  <c r="R1177" i="1"/>
  <c r="S1177" i="1"/>
  <c r="T1177" i="1"/>
  <c r="U1177" i="1"/>
  <c r="V1177" i="1"/>
  <c r="X1177" i="1"/>
  <c r="Y1177" i="1"/>
  <c r="Z1177" i="1"/>
  <c r="AC1177" i="1"/>
  <c r="AD1177" i="1"/>
  <c r="AE1177" i="1"/>
  <c r="R1178" i="1"/>
  <c r="S1178" i="1"/>
  <c r="T1178" i="1"/>
  <c r="U1178" i="1"/>
  <c r="X1178" i="1"/>
  <c r="Y1178" i="1"/>
  <c r="Z1178" i="1"/>
  <c r="AD1178" i="1"/>
  <c r="AE1178" i="1"/>
  <c r="AN1178" i="1"/>
  <c r="AO1178" i="1"/>
  <c r="AP1178" i="1"/>
  <c r="AQ1178" i="1"/>
  <c r="AS1178" i="1"/>
  <c r="BA1178" i="1"/>
  <c r="BE1178" i="1"/>
  <c r="BK1178" i="1"/>
  <c r="CF1178" i="1"/>
  <c r="CI1178" i="1"/>
  <c r="CR1178" i="1"/>
  <c r="R1179" i="1"/>
  <c r="S1179" i="1"/>
  <c r="T1179" i="1"/>
  <c r="U1179" i="1"/>
  <c r="X1179" i="1"/>
  <c r="Y1179" i="1"/>
  <c r="Z1179" i="1"/>
  <c r="AD1179" i="1"/>
  <c r="AE1179" i="1"/>
  <c r="R1180" i="1"/>
  <c r="S1180" i="1"/>
  <c r="T1180" i="1"/>
  <c r="U1180" i="1"/>
  <c r="X1180" i="1"/>
  <c r="Z1180" i="1"/>
  <c r="AA1180" i="1"/>
  <c r="AB1180" i="1"/>
  <c r="AD1180" i="1"/>
  <c r="AE1180" i="1"/>
  <c r="R1181" i="1"/>
  <c r="S1181" i="1"/>
  <c r="T1181" i="1"/>
  <c r="U1181" i="1"/>
  <c r="X1181" i="1"/>
  <c r="Z1181" i="1"/>
  <c r="AD1181" i="1"/>
  <c r="AE1181" i="1"/>
  <c r="AN1181" i="1"/>
  <c r="AO1181" i="1"/>
  <c r="AP1181" i="1"/>
  <c r="AQ1181" i="1"/>
  <c r="AS1181" i="1"/>
  <c r="BA1181" i="1"/>
  <c r="BE1181" i="1"/>
  <c r="BG1181" i="1"/>
  <c r="BH1181" i="1"/>
  <c r="BK1181" i="1"/>
  <c r="CI1181" i="1"/>
  <c r="CR1181" i="1"/>
  <c r="R1182" i="1"/>
  <c r="S1182" i="1"/>
  <c r="T1182" i="1"/>
  <c r="U1182" i="1"/>
  <c r="V1182" i="1"/>
  <c r="X1182" i="1"/>
  <c r="Y1182" i="1"/>
  <c r="Z1182" i="1"/>
  <c r="AC1182" i="1"/>
  <c r="AD1182" i="1"/>
  <c r="AE1182" i="1"/>
  <c r="AN1182" i="1"/>
  <c r="AO1182" i="1"/>
  <c r="AP1182" i="1"/>
  <c r="AQ1182" i="1"/>
  <c r="AS1182" i="1"/>
  <c r="BE1182" i="1"/>
  <c r="BK1182" i="1"/>
  <c r="EL1182" i="1"/>
  <c r="EM1182" i="1"/>
  <c r="EN1182" i="1"/>
  <c r="EO1182" i="1"/>
  <c r="ER1182" i="1"/>
  <c r="R1183" i="1"/>
  <c r="S1183" i="1"/>
  <c r="T1183" i="1"/>
  <c r="U1183" i="1"/>
  <c r="X1183" i="1"/>
  <c r="Y1183" i="1"/>
  <c r="Z1183" i="1"/>
  <c r="AD1183" i="1"/>
  <c r="AE1183" i="1"/>
  <c r="R1184" i="1"/>
  <c r="S1184" i="1"/>
  <c r="T1184" i="1"/>
  <c r="U1184" i="1"/>
  <c r="V1184" i="1"/>
  <c r="X1184" i="1"/>
  <c r="Y1184" i="1"/>
  <c r="Z1184" i="1"/>
  <c r="AC1184" i="1"/>
  <c r="AD1184" i="1"/>
  <c r="AE1184" i="1"/>
  <c r="AN1184" i="1"/>
  <c r="AO1184" i="1"/>
  <c r="AP1184" i="1"/>
  <c r="AQ1184" i="1"/>
  <c r="AS1184" i="1"/>
  <c r="BE1184" i="1"/>
  <c r="BK1184" i="1"/>
  <c r="EL1184" i="1"/>
  <c r="EM1184" i="1"/>
  <c r="EN1184" i="1"/>
  <c r="EO1184" i="1"/>
  <c r="ER1184" i="1"/>
  <c r="R1185" i="1"/>
  <c r="S1185" i="1"/>
  <c r="T1185" i="1"/>
  <c r="U1185" i="1"/>
  <c r="X1185" i="1"/>
  <c r="Y1185" i="1"/>
  <c r="Z1185" i="1"/>
  <c r="AD1185" i="1"/>
  <c r="AE1185" i="1"/>
  <c r="R1186" i="1"/>
  <c r="S1186" i="1"/>
  <c r="T1186" i="1"/>
  <c r="U1186" i="1"/>
  <c r="X1186" i="1"/>
  <c r="Y1186" i="1"/>
  <c r="Z1186" i="1"/>
  <c r="AD1186" i="1"/>
  <c r="AE1186" i="1"/>
  <c r="AN1186" i="1"/>
  <c r="AO1186" i="1"/>
  <c r="AP1186" i="1"/>
  <c r="AQ1186" i="1"/>
  <c r="AS1186" i="1"/>
  <c r="BA1186" i="1"/>
  <c r="BE1186" i="1"/>
  <c r="BK1186" i="1"/>
  <c r="EL1186" i="1"/>
  <c r="EM1186" i="1"/>
  <c r="EO1186" i="1"/>
  <c r="EP1186" i="1"/>
  <c r="ER1186" i="1"/>
  <c r="R1187" i="1"/>
  <c r="S1187" i="1"/>
  <c r="T1187" i="1"/>
  <c r="U1187" i="1"/>
  <c r="X1187" i="1"/>
  <c r="Z1187" i="1"/>
  <c r="AB1187" i="1"/>
  <c r="AD1187" i="1"/>
  <c r="AE1187" i="1"/>
  <c r="R1188" i="1"/>
  <c r="S1188" i="1"/>
  <c r="T1188" i="1"/>
  <c r="U1188" i="1"/>
  <c r="X1188" i="1"/>
  <c r="Y1188" i="1"/>
  <c r="Z1188" i="1"/>
  <c r="AD1188" i="1"/>
  <c r="AE1188" i="1"/>
  <c r="R1189" i="1"/>
  <c r="S1189" i="1"/>
  <c r="T1189" i="1"/>
  <c r="U1189" i="1"/>
  <c r="X1189" i="1"/>
  <c r="Z1189" i="1"/>
  <c r="AC1189" i="1"/>
  <c r="AD1189" i="1"/>
  <c r="AE1189" i="1"/>
  <c r="AI1189" i="1"/>
  <c r="AN1189" i="1"/>
  <c r="AO1189" i="1"/>
  <c r="AP1189" i="1"/>
  <c r="AQ1189" i="1"/>
  <c r="AS1189" i="1"/>
  <c r="BE1189" i="1"/>
  <c r="BF1189" i="1"/>
  <c r="BK1189" i="1"/>
  <c r="EL1189" i="1"/>
  <c r="EN1189" i="1"/>
  <c r="EO1189" i="1"/>
  <c r="ER1189" i="1"/>
  <c r="R1190" i="1"/>
  <c r="S1190" i="1"/>
  <c r="T1190" i="1"/>
  <c r="U1190" i="1"/>
  <c r="X1190" i="1"/>
  <c r="Z1190" i="1"/>
  <c r="AC1190" i="1"/>
  <c r="AD1190" i="1"/>
  <c r="AE1190" i="1"/>
  <c r="AN1190" i="1"/>
  <c r="AO1190" i="1"/>
  <c r="AP1190" i="1"/>
  <c r="AQ1190" i="1"/>
  <c r="AS1190" i="1"/>
  <c r="BA1190" i="1"/>
  <c r="BE1190" i="1"/>
  <c r="BF1190" i="1"/>
  <c r="BK1190" i="1"/>
  <c r="EL1190" i="1"/>
  <c r="EN1190" i="1"/>
  <c r="EO1190" i="1"/>
  <c r="ER1190" i="1"/>
  <c r="R1191" i="1"/>
  <c r="S1191" i="1"/>
  <c r="T1191" i="1"/>
  <c r="U1191" i="1"/>
  <c r="X1191" i="1"/>
  <c r="Y1191" i="1"/>
  <c r="Z1191" i="1"/>
  <c r="AC1191" i="1"/>
  <c r="AD1191" i="1"/>
  <c r="AE1191" i="1"/>
  <c r="R1192" i="1"/>
  <c r="S1192" i="1"/>
  <c r="T1192" i="1"/>
  <c r="U1192" i="1"/>
  <c r="W1192" i="1"/>
  <c r="X1192" i="1"/>
  <c r="Z1192" i="1"/>
  <c r="AC1192" i="1"/>
  <c r="AD1192" i="1"/>
  <c r="AE1192" i="1"/>
  <c r="AI1192" i="1"/>
  <c r="AN1192" i="1"/>
  <c r="AO1192" i="1"/>
  <c r="AP1192" i="1"/>
  <c r="AQ1192" i="1"/>
  <c r="AS1192" i="1"/>
  <c r="BF1192" i="1"/>
  <c r="BK1192" i="1"/>
  <c r="R1193" i="1"/>
  <c r="S1193" i="1"/>
  <c r="T1193" i="1"/>
  <c r="U1193" i="1"/>
  <c r="X1193" i="1"/>
  <c r="Z1193" i="1"/>
  <c r="AA1193" i="1"/>
  <c r="AB1193" i="1"/>
  <c r="AC1193" i="1"/>
  <c r="AD1193" i="1"/>
  <c r="AE1193" i="1"/>
  <c r="R1194" i="1"/>
  <c r="S1194" i="1"/>
  <c r="T1194" i="1"/>
  <c r="U1194" i="1"/>
  <c r="V1194" i="1"/>
  <c r="X1194" i="1"/>
  <c r="Y1194" i="1"/>
  <c r="Z1194" i="1"/>
  <c r="AD1194" i="1"/>
  <c r="AE1194" i="1"/>
  <c r="R1195" i="1"/>
  <c r="S1195" i="1"/>
  <c r="T1195" i="1"/>
  <c r="U1195" i="1"/>
  <c r="V1195" i="1"/>
  <c r="X1195" i="1"/>
  <c r="Y1195" i="1"/>
  <c r="Z1195" i="1"/>
  <c r="AD1195" i="1"/>
  <c r="AE1195" i="1"/>
  <c r="R1196" i="1"/>
  <c r="S1196" i="1"/>
  <c r="T1196" i="1"/>
  <c r="U1196" i="1"/>
  <c r="X1196" i="1"/>
  <c r="Z1196" i="1"/>
  <c r="AC1196" i="1"/>
  <c r="AD1196" i="1"/>
  <c r="AE1196" i="1"/>
  <c r="AN1196" i="1"/>
  <c r="AO1196" i="1"/>
  <c r="AP1196" i="1"/>
  <c r="AQ1196" i="1"/>
  <c r="AS1196" i="1"/>
  <c r="AY1196" i="1"/>
  <c r="AZ1196" i="1"/>
  <c r="BE1196" i="1"/>
  <c r="BH1196" i="1"/>
  <c r="BK1196" i="1"/>
  <c r="EL1196" i="1"/>
  <c r="EM1196" i="1"/>
  <c r="EN1196" i="1"/>
  <c r="EO1196" i="1"/>
  <c r="ER1196" i="1"/>
  <c r="R1197" i="1"/>
  <c r="S1197" i="1"/>
  <c r="T1197" i="1"/>
  <c r="U1197" i="1"/>
  <c r="X1197" i="1"/>
  <c r="Z1197" i="1"/>
  <c r="AD1197" i="1"/>
  <c r="AE1197" i="1"/>
  <c r="AI1197" i="1"/>
  <c r="AN1197" i="1"/>
  <c r="AO1197" i="1"/>
  <c r="AP1197" i="1"/>
  <c r="AQ1197" i="1"/>
  <c r="AR1197" i="1"/>
  <c r="AS1197" i="1"/>
  <c r="BA1197" i="1"/>
  <c r="BB1197" i="1"/>
  <c r="BD1197" i="1"/>
  <c r="BE1197" i="1"/>
  <c r="BG1197" i="1"/>
  <c r="BH1197" i="1"/>
  <c r="BK1197" i="1"/>
  <c r="R1198" i="1"/>
  <c r="S1198" i="1"/>
  <c r="T1198" i="1"/>
  <c r="U1198" i="1"/>
  <c r="V1198" i="1"/>
  <c r="X1198" i="1"/>
  <c r="Y1198" i="1"/>
  <c r="Z1198" i="1"/>
  <c r="AC1198" i="1"/>
  <c r="AD1198" i="1"/>
  <c r="AE1198" i="1"/>
  <c r="AI1198" i="1"/>
  <c r="AN1198" i="1"/>
  <c r="AO1198" i="1"/>
  <c r="AP1198" i="1"/>
  <c r="AQ1198" i="1"/>
  <c r="AS1198" i="1"/>
  <c r="AY1198" i="1"/>
  <c r="AZ1198" i="1"/>
  <c r="BA1198" i="1"/>
  <c r="BB1198" i="1"/>
  <c r="BE1198" i="1"/>
  <c r="BK1198" i="1"/>
  <c r="EL1198" i="1"/>
  <c r="EN1198" i="1"/>
  <c r="ER1198" i="1"/>
  <c r="R1199" i="1"/>
  <c r="S1199" i="1"/>
  <c r="T1199" i="1"/>
  <c r="U1199" i="1"/>
  <c r="X1199" i="1"/>
  <c r="Y1199" i="1"/>
  <c r="Z1199" i="1"/>
  <c r="AD1199" i="1"/>
  <c r="AE1199" i="1"/>
  <c r="AI1199" i="1"/>
  <c r="AN1199" i="1"/>
  <c r="AO1199" i="1"/>
  <c r="AP1199" i="1"/>
  <c r="AQ1199" i="1"/>
  <c r="AR1199" i="1"/>
  <c r="AS1199" i="1"/>
  <c r="BA1199" i="1"/>
  <c r="BD1199" i="1"/>
  <c r="BE1199" i="1"/>
  <c r="BH1199" i="1"/>
  <c r="BK1199" i="1"/>
  <c r="CI1199" i="1"/>
  <c r="CR1199" i="1"/>
  <c r="EO1199" i="1"/>
  <c r="ER1199" i="1"/>
  <c r="R1200" i="1"/>
  <c r="S1200" i="1"/>
  <c r="T1200" i="1"/>
  <c r="U1200" i="1"/>
  <c r="V1200" i="1"/>
  <c r="X1200" i="1"/>
  <c r="Y1200" i="1"/>
  <c r="Z1200" i="1"/>
  <c r="AC1200" i="1"/>
  <c r="AD1200" i="1"/>
  <c r="AE1200" i="1"/>
  <c r="AN1200" i="1"/>
  <c r="AO1200" i="1"/>
  <c r="AP1200" i="1"/>
  <c r="AQ1200" i="1"/>
  <c r="AS1200" i="1"/>
  <c r="AZ1200" i="1"/>
  <c r="BE1200" i="1"/>
  <c r="BK1200" i="1"/>
  <c r="EL1200" i="1"/>
  <c r="EN1200" i="1"/>
  <c r="EO1200" i="1"/>
  <c r="ER1200" i="1"/>
  <c r="R1201" i="1"/>
  <c r="S1201" i="1"/>
  <c r="T1201" i="1"/>
  <c r="U1201" i="1"/>
  <c r="X1201" i="1"/>
  <c r="Y1201" i="1"/>
  <c r="Z1201" i="1"/>
  <c r="AC1201" i="1"/>
  <c r="AD1201" i="1"/>
  <c r="AE1201" i="1"/>
  <c r="AN1201" i="1"/>
  <c r="AO1201" i="1"/>
  <c r="AP1201" i="1"/>
  <c r="AQ1201" i="1"/>
  <c r="AS1201" i="1"/>
  <c r="AZ1201" i="1"/>
  <c r="BE1201" i="1"/>
  <c r="BG1201" i="1"/>
  <c r="BK1201" i="1"/>
  <c r="EL1201" i="1"/>
  <c r="EM1201" i="1"/>
  <c r="EO1201" i="1"/>
  <c r="ER1201" i="1"/>
  <c r="R1202" i="1"/>
  <c r="S1202" i="1"/>
  <c r="T1202" i="1"/>
  <c r="U1202" i="1"/>
  <c r="V1202" i="1"/>
  <c r="X1202" i="1"/>
  <c r="Y1202" i="1"/>
  <c r="Z1202" i="1"/>
  <c r="AD1202" i="1"/>
  <c r="AE1202" i="1"/>
  <c r="R1203" i="1"/>
  <c r="S1203" i="1"/>
  <c r="T1203" i="1"/>
  <c r="U1203" i="1"/>
  <c r="X1203" i="1"/>
  <c r="Y1203" i="1"/>
  <c r="Z1203" i="1"/>
  <c r="AD1203" i="1"/>
  <c r="AE1203" i="1"/>
  <c r="R1204" i="1"/>
  <c r="S1204" i="1"/>
  <c r="T1204" i="1"/>
  <c r="U1204" i="1"/>
  <c r="X1204" i="1"/>
  <c r="Y1204" i="1"/>
  <c r="Z1204" i="1"/>
  <c r="AD1204" i="1"/>
  <c r="AE1204" i="1"/>
  <c r="R1205" i="1"/>
  <c r="S1205" i="1"/>
  <c r="T1205" i="1"/>
  <c r="U1205" i="1"/>
  <c r="V1205" i="1"/>
  <c r="X1205" i="1"/>
  <c r="Z1205" i="1"/>
  <c r="AC1205" i="1"/>
  <c r="AD1205" i="1"/>
  <c r="AE1205" i="1"/>
  <c r="R1206" i="1"/>
  <c r="S1206" i="1"/>
  <c r="T1206" i="1"/>
  <c r="U1206" i="1"/>
  <c r="X1206" i="1"/>
  <c r="Y1206" i="1"/>
  <c r="Z1206" i="1"/>
  <c r="AC1206" i="1"/>
  <c r="AD1206" i="1"/>
  <c r="AE1206" i="1"/>
  <c r="AN1206" i="1"/>
  <c r="AO1206" i="1"/>
  <c r="AP1206" i="1"/>
  <c r="AQ1206" i="1"/>
  <c r="AR1206" i="1"/>
  <c r="AS1206" i="1"/>
  <c r="BA1206" i="1"/>
  <c r="BC1206" i="1"/>
  <c r="BE1206" i="1"/>
  <c r="BK1206" i="1"/>
  <c r="EL1206" i="1"/>
  <c r="EM1206" i="1"/>
  <c r="EN1206" i="1"/>
  <c r="EO1206" i="1"/>
  <c r="ER1206" i="1"/>
  <c r="R1207" i="1"/>
  <c r="S1207" i="1"/>
  <c r="T1207" i="1"/>
  <c r="U1207" i="1"/>
  <c r="X1207" i="1"/>
  <c r="Z1207" i="1"/>
  <c r="AA1207" i="1"/>
  <c r="AB1207" i="1"/>
  <c r="AD1207" i="1"/>
  <c r="AE1207" i="1"/>
  <c r="R1208" i="1"/>
  <c r="S1208" i="1"/>
  <c r="T1208" i="1"/>
  <c r="U1208" i="1"/>
  <c r="X1208" i="1"/>
  <c r="Y1208" i="1"/>
  <c r="Z1208" i="1"/>
  <c r="AC1208" i="1"/>
  <c r="AD1208" i="1"/>
  <c r="AE1208" i="1"/>
  <c r="AN1208" i="1"/>
  <c r="AO1208" i="1"/>
  <c r="AP1208" i="1"/>
  <c r="AQ1208" i="1"/>
  <c r="AS1208" i="1"/>
  <c r="BK1208" i="1"/>
  <c r="EL1208" i="1"/>
  <c r="EN1208" i="1"/>
  <c r="EO1208" i="1"/>
  <c r="ER1208" i="1"/>
  <c r="R1209" i="1"/>
  <c r="S1209" i="1"/>
  <c r="T1209" i="1"/>
  <c r="U1209" i="1"/>
  <c r="X1209" i="1"/>
  <c r="Y1209" i="1"/>
  <c r="Z1209" i="1"/>
  <c r="AA1209" i="1"/>
  <c r="AB1209" i="1"/>
  <c r="AC1209" i="1"/>
  <c r="AD1209" i="1"/>
  <c r="AE1209" i="1"/>
  <c r="AN1209" i="1"/>
  <c r="AO1209" i="1"/>
  <c r="AP1209" i="1"/>
  <c r="AS1209" i="1"/>
  <c r="AZ1209" i="1"/>
  <c r="R1210" i="1"/>
  <c r="S1210" i="1"/>
  <c r="T1210" i="1"/>
  <c r="U1210" i="1"/>
  <c r="X1210" i="1"/>
  <c r="Z1210" i="1"/>
  <c r="AC1210" i="1"/>
  <c r="AD1210" i="1"/>
  <c r="AE1210" i="1"/>
  <c r="R1211" i="1"/>
  <c r="S1211" i="1"/>
  <c r="T1211" i="1"/>
  <c r="U1211" i="1"/>
  <c r="X1211" i="1"/>
  <c r="Z1211" i="1"/>
  <c r="AA1211" i="1"/>
  <c r="AB1211" i="1"/>
  <c r="AD1211" i="1"/>
  <c r="AE1211" i="1"/>
  <c r="AN1211" i="1"/>
  <c r="AO1211" i="1"/>
  <c r="AS1211" i="1"/>
  <c r="R1212" i="1"/>
  <c r="S1212" i="1"/>
  <c r="T1212" i="1"/>
  <c r="U1212" i="1"/>
  <c r="X1212" i="1"/>
  <c r="Z1212" i="1"/>
  <c r="AD1212" i="1"/>
  <c r="AE1212" i="1"/>
  <c r="R1213" i="1"/>
  <c r="S1213" i="1"/>
  <c r="T1213" i="1"/>
  <c r="U1213" i="1"/>
  <c r="X1213" i="1"/>
  <c r="Y1213" i="1"/>
  <c r="Z1213" i="1"/>
  <c r="AA1213" i="1"/>
  <c r="AB1213" i="1"/>
  <c r="AD1213" i="1"/>
  <c r="AE1213" i="1"/>
  <c r="AP1213" i="1"/>
  <c r="AQ1213" i="1"/>
  <c r="AS1213" i="1"/>
  <c r="AZ1213" i="1"/>
  <c r="R1214" i="1"/>
  <c r="S1214" i="1"/>
  <c r="T1214" i="1"/>
  <c r="U1214" i="1"/>
  <c r="V1214" i="1"/>
  <c r="X1214" i="1"/>
  <c r="Z1214" i="1"/>
  <c r="AC1214" i="1"/>
  <c r="AD1214" i="1"/>
  <c r="AE1214" i="1"/>
  <c r="AN1214" i="1"/>
  <c r="AO1214" i="1"/>
  <c r="AP1214" i="1"/>
  <c r="AQ1214" i="1"/>
  <c r="AS1214" i="1"/>
  <c r="BE1214" i="1"/>
  <c r="BK1214" i="1"/>
  <c r="EL1214" i="1"/>
  <c r="EM1214" i="1"/>
  <c r="EN1214" i="1"/>
  <c r="EO1214" i="1"/>
  <c r="ER1214" i="1"/>
  <c r="R1215" i="1"/>
  <c r="S1215" i="1"/>
  <c r="T1215" i="1"/>
  <c r="U1215" i="1"/>
  <c r="X1215" i="1"/>
  <c r="Z1215" i="1"/>
  <c r="AA1215" i="1"/>
  <c r="AB1215" i="1"/>
  <c r="AD1215" i="1"/>
  <c r="AE1215" i="1"/>
  <c r="R1216" i="1"/>
  <c r="S1216" i="1"/>
  <c r="T1216" i="1"/>
  <c r="U1216" i="1"/>
  <c r="V1216" i="1"/>
  <c r="X1216" i="1"/>
  <c r="Y1216" i="1"/>
  <c r="Z1216" i="1"/>
  <c r="AA1216" i="1"/>
  <c r="AB1216" i="1"/>
  <c r="AD1216" i="1"/>
  <c r="AE1216" i="1"/>
  <c r="AN1216" i="1"/>
  <c r="AO1216" i="1"/>
  <c r="AP1216" i="1"/>
  <c r="AQ1216" i="1"/>
  <c r="AS1216" i="1"/>
  <c r="R1217" i="1"/>
  <c r="S1217" i="1"/>
  <c r="T1217" i="1"/>
  <c r="U1217" i="1"/>
  <c r="V1217" i="1"/>
  <c r="X1217" i="1"/>
  <c r="Z1217" i="1"/>
  <c r="AD1217" i="1"/>
  <c r="AE1217" i="1"/>
  <c r="AN1217" i="1"/>
  <c r="AO1217" i="1"/>
  <c r="AP1217" i="1"/>
  <c r="AQ1217" i="1"/>
  <c r="AS1217" i="1"/>
  <c r="BE1217" i="1"/>
  <c r="BF1217" i="1"/>
  <c r="BH1217" i="1"/>
  <c r="BK1217" i="1"/>
  <c r="EL1217" i="1"/>
  <c r="EN1217" i="1"/>
  <c r="EO1217" i="1"/>
  <c r="ER1217" i="1"/>
  <c r="R1218" i="1"/>
  <c r="S1218" i="1"/>
  <c r="T1218" i="1"/>
  <c r="U1218" i="1"/>
  <c r="V1218" i="1"/>
  <c r="X1218" i="1"/>
  <c r="Z1218" i="1"/>
  <c r="AD1218" i="1"/>
  <c r="AE1218" i="1"/>
  <c r="AN1218" i="1"/>
  <c r="AO1218" i="1"/>
  <c r="AP1218" i="1"/>
  <c r="AQ1218" i="1"/>
  <c r="AS1218" i="1"/>
  <c r="BE1218" i="1"/>
  <c r="BK1218" i="1"/>
  <c r="EL1218" i="1"/>
  <c r="EM1218" i="1"/>
  <c r="EN1218" i="1"/>
  <c r="EO1218" i="1"/>
  <c r="ER1218" i="1"/>
  <c r="R1219" i="1"/>
  <c r="S1219" i="1"/>
  <c r="T1219" i="1"/>
  <c r="U1219" i="1"/>
  <c r="V1219" i="1"/>
  <c r="X1219" i="1"/>
  <c r="Z1219" i="1"/>
  <c r="AB1219" i="1"/>
  <c r="AD1219" i="1"/>
  <c r="AE1219" i="1"/>
  <c r="AN1219" i="1"/>
  <c r="AO1219" i="1"/>
  <c r="AP1219" i="1"/>
  <c r="AQ1219" i="1"/>
  <c r="AS1219" i="1"/>
  <c r="BE1219" i="1"/>
  <c r="BK1219" i="1"/>
  <c r="R1220" i="1"/>
  <c r="S1220" i="1"/>
  <c r="T1220" i="1"/>
  <c r="U1220" i="1"/>
  <c r="X1220" i="1"/>
  <c r="Y1220" i="1"/>
  <c r="Z1220" i="1"/>
  <c r="AD1220" i="1"/>
  <c r="AE1220" i="1"/>
  <c r="AN1220" i="1"/>
  <c r="AO1220" i="1"/>
  <c r="AP1220" i="1"/>
  <c r="AQ1220" i="1"/>
  <c r="AS1220" i="1"/>
  <c r="BE1220" i="1"/>
  <c r="BH1220" i="1"/>
  <c r="BK1220" i="1"/>
  <c r="EL1220" i="1"/>
  <c r="EN1220" i="1"/>
  <c r="ER1220" i="1"/>
  <c r="R1221" i="1"/>
  <c r="S1221" i="1"/>
  <c r="T1221" i="1"/>
  <c r="U1221" i="1"/>
  <c r="V1221" i="1"/>
  <c r="X1221" i="1"/>
  <c r="Z1221" i="1"/>
  <c r="AD1221" i="1"/>
  <c r="AE1221" i="1"/>
  <c r="R1222" i="1"/>
  <c r="S1222" i="1"/>
  <c r="T1222" i="1"/>
  <c r="U1222" i="1"/>
  <c r="X1222" i="1"/>
  <c r="Y1222" i="1"/>
  <c r="Z1222" i="1"/>
  <c r="AC1222" i="1"/>
  <c r="AD1222" i="1"/>
  <c r="AE1222" i="1"/>
  <c r="AN1222" i="1"/>
  <c r="AO1222" i="1"/>
  <c r="AP1222" i="1"/>
  <c r="AQ1222" i="1"/>
  <c r="AS1222" i="1"/>
  <c r="BE1222" i="1"/>
  <c r="BK1222" i="1"/>
  <c r="EL1222" i="1"/>
  <c r="EN1222" i="1"/>
  <c r="EO1222" i="1"/>
  <c r="ER1222" i="1"/>
  <c r="R1223" i="1"/>
  <c r="S1223" i="1"/>
  <c r="T1223" i="1"/>
  <c r="U1223" i="1"/>
  <c r="X1223" i="1"/>
  <c r="Y1223" i="1"/>
  <c r="Z1223" i="1"/>
  <c r="AD1223" i="1"/>
  <c r="AE1223" i="1"/>
  <c r="R1224" i="1"/>
  <c r="S1224" i="1"/>
  <c r="T1224" i="1"/>
  <c r="U1224" i="1"/>
  <c r="V1224" i="1"/>
  <c r="X1224" i="1"/>
  <c r="Y1224" i="1"/>
  <c r="Z1224" i="1"/>
  <c r="AD1224" i="1"/>
  <c r="AE1224" i="1"/>
  <c r="R1225" i="1"/>
  <c r="S1225" i="1"/>
  <c r="T1225" i="1"/>
  <c r="U1225" i="1"/>
  <c r="V1225" i="1"/>
  <c r="X1225" i="1"/>
  <c r="Y1225" i="1"/>
  <c r="Z1225" i="1"/>
  <c r="AA1225" i="1"/>
  <c r="AB1225" i="1"/>
  <c r="AC1225" i="1"/>
  <c r="AD1225" i="1"/>
  <c r="AE1225" i="1"/>
  <c r="R1226" i="1"/>
  <c r="S1226" i="1"/>
  <c r="T1226" i="1"/>
  <c r="U1226" i="1"/>
  <c r="V1226" i="1"/>
  <c r="X1226" i="1"/>
  <c r="Y1226" i="1"/>
  <c r="Z1226" i="1"/>
  <c r="AB1226" i="1"/>
  <c r="AD1226" i="1"/>
  <c r="AE1226" i="1"/>
  <c r="R1227" i="1"/>
  <c r="S1227" i="1"/>
  <c r="T1227" i="1"/>
  <c r="U1227" i="1"/>
  <c r="X1227" i="1"/>
  <c r="Z1227" i="1"/>
  <c r="AD1227" i="1"/>
  <c r="AE1227" i="1"/>
  <c r="R1228" i="1"/>
  <c r="S1228" i="1"/>
  <c r="T1228" i="1"/>
  <c r="U1228" i="1"/>
  <c r="X1228" i="1"/>
  <c r="Z1228" i="1"/>
  <c r="AC1228" i="1"/>
  <c r="AD1228" i="1"/>
  <c r="AE1228" i="1"/>
  <c r="AN1228" i="1"/>
  <c r="AO1228" i="1"/>
  <c r="AP1228" i="1"/>
  <c r="AQ1228" i="1"/>
  <c r="AS1228" i="1"/>
  <c r="BE1228" i="1"/>
  <c r="BK1228" i="1"/>
  <c r="EL1228" i="1"/>
  <c r="EN1228" i="1"/>
  <c r="EO1228" i="1"/>
  <c r="ER1228" i="1"/>
  <c r="R1229" i="1"/>
  <c r="S1229" i="1"/>
  <c r="T1229" i="1"/>
  <c r="U1229" i="1"/>
  <c r="X1229" i="1"/>
  <c r="Z1229" i="1"/>
  <c r="AD1229" i="1"/>
  <c r="AE1229" i="1"/>
  <c r="AN1229" i="1"/>
  <c r="AO1229" i="1"/>
  <c r="AP1229" i="1"/>
  <c r="AQ1229" i="1"/>
  <c r="AS1229" i="1"/>
  <c r="BE1229" i="1"/>
  <c r="BF1229" i="1"/>
  <c r="BK1229" i="1"/>
  <c r="R1230" i="1"/>
  <c r="S1230" i="1"/>
  <c r="T1230" i="1"/>
  <c r="U1230" i="1"/>
  <c r="V1230" i="1"/>
  <c r="X1230" i="1"/>
  <c r="Y1230" i="1"/>
  <c r="Z1230" i="1"/>
  <c r="AC1230" i="1"/>
  <c r="AD1230" i="1"/>
  <c r="AE1230" i="1"/>
  <c r="AN1230" i="1"/>
  <c r="AO1230" i="1"/>
  <c r="AP1230" i="1"/>
  <c r="AQ1230" i="1"/>
  <c r="AS1230" i="1"/>
  <c r="AY1230" i="1"/>
  <c r="AZ1230" i="1"/>
  <c r="BE1230" i="1"/>
  <c r="BK1230" i="1"/>
  <c r="CF1230" i="1"/>
  <c r="EL1230" i="1"/>
  <c r="EM1230" i="1"/>
  <c r="EN1230" i="1"/>
  <c r="EO1230" i="1"/>
  <c r="ER1230" i="1"/>
  <c r="R1231" i="1"/>
  <c r="S1231" i="1"/>
  <c r="T1231" i="1"/>
  <c r="U1231" i="1"/>
  <c r="X1231" i="1"/>
  <c r="Z1231" i="1"/>
  <c r="AC1231" i="1"/>
  <c r="AD1231" i="1"/>
  <c r="AE1231" i="1"/>
  <c r="R1232" i="1"/>
  <c r="S1232" i="1"/>
  <c r="T1232" i="1"/>
  <c r="U1232" i="1"/>
  <c r="V1232" i="1"/>
  <c r="X1232" i="1"/>
  <c r="Z1232" i="1"/>
  <c r="AD1232" i="1"/>
  <c r="AE1232" i="1"/>
  <c r="R1233" i="1"/>
  <c r="S1233" i="1"/>
  <c r="T1233" i="1"/>
  <c r="U1233" i="1"/>
  <c r="V1233" i="1"/>
  <c r="X1233" i="1"/>
  <c r="Y1233" i="1"/>
  <c r="Z1233" i="1"/>
  <c r="AA1233" i="1"/>
  <c r="AD1233" i="1"/>
  <c r="AE1233" i="1"/>
  <c r="R1234" i="1"/>
  <c r="S1234" i="1"/>
  <c r="T1234" i="1"/>
  <c r="U1234" i="1"/>
  <c r="X1234" i="1"/>
  <c r="Y1234" i="1"/>
  <c r="Z1234" i="1"/>
  <c r="AA1234" i="1"/>
  <c r="AB1234" i="1"/>
  <c r="AC1234" i="1"/>
  <c r="AD1234" i="1"/>
  <c r="AE1234" i="1"/>
  <c r="AN1234" i="1"/>
  <c r="AO1234" i="1"/>
  <c r="AP1234" i="1"/>
  <c r="AS1234" i="1"/>
  <c r="AZ1234" i="1"/>
  <c r="BB1234" i="1"/>
  <c r="R1235" i="1"/>
  <c r="S1235" i="1"/>
  <c r="T1235" i="1"/>
  <c r="U1235" i="1"/>
  <c r="X1235" i="1"/>
  <c r="Z1235" i="1"/>
  <c r="AD1235" i="1"/>
  <c r="AE1235" i="1"/>
  <c r="R1236" i="1"/>
  <c r="S1236" i="1"/>
  <c r="T1236" i="1"/>
  <c r="U1236" i="1"/>
  <c r="V1236" i="1"/>
  <c r="X1236" i="1"/>
  <c r="Z1236" i="1"/>
  <c r="AD1236" i="1"/>
  <c r="AE1236" i="1"/>
  <c r="AN1236" i="1"/>
  <c r="AO1236" i="1"/>
  <c r="AP1236" i="1"/>
  <c r="AQ1236" i="1"/>
  <c r="AS1236" i="1"/>
  <c r="BE1236" i="1"/>
  <c r="BK1236" i="1"/>
  <c r="EL1236" i="1"/>
  <c r="EN1236" i="1"/>
  <c r="ER1236" i="1"/>
  <c r="R1237" i="1"/>
  <c r="S1237" i="1"/>
  <c r="T1237" i="1"/>
  <c r="U1237" i="1"/>
  <c r="V1237" i="1"/>
  <c r="X1237" i="1"/>
  <c r="Z1237" i="1"/>
  <c r="AD1237" i="1"/>
  <c r="AE1237" i="1"/>
  <c r="AN1237" i="1"/>
  <c r="AO1237" i="1"/>
  <c r="AP1237" i="1"/>
  <c r="AQ1237" i="1"/>
  <c r="AS1237" i="1"/>
  <c r="BE1237" i="1"/>
  <c r="BF1237" i="1"/>
  <c r="BH1237" i="1"/>
  <c r="BK1237" i="1"/>
  <c r="EL1237" i="1"/>
  <c r="EM1237" i="1"/>
  <c r="EN1237" i="1"/>
  <c r="EO1237" i="1"/>
  <c r="ER1237" i="1"/>
  <c r="R1238" i="1"/>
  <c r="S1238" i="1"/>
  <c r="T1238" i="1"/>
  <c r="U1238" i="1"/>
  <c r="V1238" i="1"/>
  <c r="X1238" i="1"/>
  <c r="Z1238" i="1"/>
  <c r="AD1238" i="1"/>
  <c r="AE1238" i="1"/>
  <c r="R1239" i="1"/>
  <c r="S1239" i="1"/>
  <c r="T1239" i="1"/>
  <c r="U1239" i="1"/>
  <c r="V1239" i="1"/>
  <c r="X1239" i="1"/>
  <c r="Y1239" i="1"/>
  <c r="Z1239" i="1"/>
  <c r="AB1239" i="1"/>
  <c r="AD1239" i="1"/>
  <c r="AE1239" i="1"/>
  <c r="AN1239" i="1"/>
  <c r="AO1239" i="1"/>
  <c r="AP1239" i="1"/>
  <c r="AQ1239" i="1"/>
  <c r="AS1239" i="1"/>
  <c r="BB1239" i="1"/>
  <c r="BE1239" i="1"/>
  <c r="BI1239" i="1"/>
  <c r="BK1239" i="1"/>
  <c r="CI1239" i="1"/>
  <c r="CR1239" i="1"/>
  <c r="EL1239" i="1"/>
  <c r="EM1239" i="1"/>
  <c r="EN1239" i="1"/>
  <c r="EO1239" i="1"/>
  <c r="ER1239" i="1"/>
  <c r="R1240" i="1"/>
  <c r="S1240" i="1"/>
  <c r="T1240" i="1"/>
  <c r="U1240" i="1"/>
  <c r="X1240" i="1"/>
  <c r="Z1240" i="1"/>
  <c r="AC1240" i="1"/>
  <c r="AD1240" i="1"/>
  <c r="AE1240" i="1"/>
  <c r="AN1240" i="1"/>
  <c r="AO1240" i="1"/>
  <c r="AP1240" i="1"/>
  <c r="AQ1240" i="1"/>
  <c r="AS1240" i="1"/>
  <c r="BE1240" i="1"/>
  <c r="BK1240" i="1"/>
  <c r="EL1240" i="1"/>
  <c r="EM1240" i="1"/>
  <c r="EN1240" i="1"/>
  <c r="EO1240" i="1"/>
  <c r="ER1240" i="1"/>
  <c r="R1241" i="1"/>
  <c r="S1241" i="1"/>
  <c r="T1241" i="1"/>
  <c r="U1241" i="1"/>
  <c r="X1241" i="1"/>
  <c r="Z1241" i="1"/>
  <c r="AC1241" i="1"/>
  <c r="AD1241" i="1"/>
  <c r="AE1241" i="1"/>
  <c r="AN1241" i="1"/>
  <c r="AO1241" i="1"/>
  <c r="AP1241" i="1"/>
  <c r="AQ1241" i="1"/>
  <c r="AS1241" i="1"/>
  <c r="BE1241" i="1"/>
  <c r="BK1241" i="1"/>
  <c r="EL1241" i="1"/>
  <c r="EN1241" i="1"/>
  <c r="EO1241" i="1"/>
  <c r="ER1241" i="1"/>
  <c r="R1242" i="1"/>
  <c r="S1242" i="1"/>
  <c r="T1242" i="1"/>
  <c r="U1242" i="1"/>
  <c r="X1242" i="1"/>
  <c r="Y1242" i="1"/>
  <c r="Z1242" i="1"/>
  <c r="AD1242" i="1"/>
  <c r="AE1242" i="1"/>
  <c r="R1243" i="1"/>
  <c r="S1243" i="1"/>
  <c r="T1243" i="1"/>
  <c r="U1243" i="1"/>
  <c r="X1243" i="1"/>
  <c r="Z1243" i="1"/>
  <c r="AD1243" i="1"/>
  <c r="AE1243" i="1"/>
  <c r="R1244" i="1"/>
  <c r="S1244" i="1"/>
  <c r="T1244" i="1"/>
  <c r="U1244" i="1"/>
  <c r="V1244" i="1"/>
  <c r="X1244" i="1"/>
  <c r="Z1244" i="1"/>
  <c r="AC1244" i="1"/>
  <c r="AD1244" i="1"/>
  <c r="AE1244" i="1"/>
  <c r="AN1244" i="1"/>
  <c r="AO1244" i="1"/>
  <c r="AP1244" i="1"/>
  <c r="AQ1244" i="1"/>
  <c r="AS1244" i="1"/>
  <c r="BE1244" i="1"/>
  <c r="BF1244" i="1"/>
  <c r="BI1244" i="1"/>
  <c r="BK1244" i="1"/>
  <c r="EL1244" i="1"/>
  <c r="EN1244" i="1"/>
  <c r="EO1244" i="1"/>
  <c r="ER1244" i="1"/>
  <c r="R1245" i="1"/>
  <c r="S1245" i="1"/>
  <c r="T1245" i="1"/>
  <c r="U1245" i="1"/>
  <c r="V1245" i="1"/>
  <c r="X1245" i="1"/>
  <c r="Z1245" i="1"/>
  <c r="AD1245" i="1"/>
  <c r="AE1245" i="1"/>
  <c r="R1246" i="1"/>
  <c r="S1246" i="1"/>
  <c r="T1246" i="1"/>
  <c r="U1246" i="1"/>
  <c r="V1246" i="1"/>
  <c r="X1246" i="1"/>
  <c r="Z1246" i="1"/>
  <c r="AD1246" i="1"/>
  <c r="AE1246" i="1"/>
  <c r="R1247" i="1"/>
  <c r="S1247" i="1"/>
  <c r="T1247" i="1"/>
  <c r="U1247" i="1"/>
  <c r="X1247" i="1"/>
  <c r="Z1247" i="1"/>
  <c r="AA1247" i="1"/>
  <c r="AB1247" i="1"/>
  <c r="AD1247" i="1"/>
  <c r="AE1247" i="1"/>
  <c r="R1248" i="1"/>
  <c r="S1248" i="1"/>
  <c r="T1248" i="1"/>
  <c r="U1248" i="1"/>
  <c r="V1248" i="1"/>
  <c r="X1248" i="1"/>
  <c r="Z1248" i="1"/>
  <c r="AD1248" i="1"/>
  <c r="AE1248" i="1"/>
  <c r="AN1248" i="1"/>
  <c r="AO1248" i="1"/>
  <c r="AP1248" i="1"/>
  <c r="AQ1248" i="1"/>
  <c r="AS1248" i="1"/>
  <c r="BE1248" i="1"/>
  <c r="BH1248" i="1"/>
  <c r="BK1248" i="1"/>
  <c r="EN1248" i="1"/>
  <c r="EO1248" i="1"/>
  <c r="ER1248" i="1"/>
  <c r="R1249" i="1"/>
  <c r="S1249" i="1"/>
  <c r="T1249" i="1"/>
  <c r="U1249" i="1"/>
  <c r="V1249" i="1"/>
  <c r="X1249" i="1"/>
  <c r="Z1249" i="1"/>
  <c r="AC1249" i="1"/>
  <c r="AD1249" i="1"/>
  <c r="AE1249" i="1"/>
  <c r="AN1249" i="1"/>
  <c r="AO1249" i="1"/>
  <c r="AP1249" i="1"/>
  <c r="AQ1249" i="1"/>
  <c r="AS1249" i="1"/>
  <c r="BE1249" i="1"/>
  <c r="BK1249" i="1"/>
  <c r="EL1249" i="1"/>
  <c r="EN1249" i="1"/>
  <c r="EO1249" i="1"/>
  <c r="ER1249" i="1"/>
  <c r="R1250" i="1"/>
  <c r="S1250" i="1"/>
  <c r="T1250" i="1"/>
  <c r="U1250" i="1"/>
  <c r="V1250" i="1"/>
  <c r="X1250" i="1"/>
  <c r="Z1250" i="1"/>
  <c r="AC1250" i="1"/>
  <c r="AD1250" i="1"/>
  <c r="AE1250" i="1"/>
  <c r="AI1250" i="1"/>
  <c r="AN1250" i="1"/>
  <c r="AO1250" i="1"/>
  <c r="AP1250" i="1"/>
  <c r="AQ1250" i="1"/>
  <c r="AS1250" i="1"/>
  <c r="BE1250" i="1"/>
  <c r="BF1250" i="1"/>
  <c r="BH1250" i="1"/>
  <c r="BI1250" i="1"/>
  <c r="BK1250" i="1"/>
  <c r="R1251" i="1"/>
  <c r="S1251" i="1"/>
  <c r="T1251" i="1"/>
  <c r="U1251" i="1"/>
  <c r="V1251" i="1"/>
  <c r="X1251" i="1"/>
  <c r="Y1251" i="1"/>
  <c r="Z1251" i="1"/>
  <c r="AC1251" i="1"/>
  <c r="AD1251" i="1"/>
  <c r="AE1251" i="1"/>
  <c r="AN1251" i="1"/>
  <c r="AO1251" i="1"/>
  <c r="AP1251" i="1"/>
  <c r="AQ1251" i="1"/>
  <c r="AS1251" i="1"/>
  <c r="BE1251" i="1"/>
  <c r="BK1251" i="1"/>
  <c r="EL1251" i="1"/>
  <c r="EN1251" i="1"/>
  <c r="EO1251" i="1"/>
  <c r="ER1251" i="1"/>
  <c r="R1252" i="1"/>
  <c r="S1252" i="1"/>
  <c r="T1252" i="1"/>
  <c r="U1252" i="1"/>
  <c r="V1252" i="1"/>
  <c r="X1252" i="1"/>
  <c r="Y1252" i="1"/>
  <c r="Z1252" i="1"/>
  <c r="AD1252" i="1"/>
  <c r="AE1252" i="1"/>
  <c r="R1253" i="1"/>
  <c r="S1253" i="1"/>
  <c r="T1253" i="1"/>
  <c r="U1253" i="1"/>
  <c r="X1253" i="1"/>
  <c r="Z1253" i="1"/>
  <c r="AD1253" i="1"/>
  <c r="AE1253" i="1"/>
  <c r="AN1253" i="1"/>
  <c r="AO1253" i="1"/>
  <c r="AP1253" i="1"/>
  <c r="AQ1253" i="1"/>
  <c r="AS1253" i="1"/>
  <c r="BE1253" i="1"/>
  <c r="BH1253" i="1"/>
  <c r="BK1253" i="1"/>
  <c r="EN1253" i="1"/>
  <c r="EO1253" i="1"/>
  <c r="ER1253" i="1"/>
  <c r="R1254" i="1"/>
  <c r="S1254" i="1"/>
  <c r="T1254" i="1"/>
  <c r="U1254" i="1"/>
  <c r="X1254" i="1"/>
  <c r="Z1254" i="1"/>
  <c r="AC1254" i="1"/>
  <c r="AD1254" i="1"/>
  <c r="AE1254" i="1"/>
  <c r="AN1254" i="1"/>
  <c r="AO1254" i="1"/>
  <c r="AP1254" i="1"/>
  <c r="AQ1254" i="1"/>
  <c r="AS1254" i="1"/>
  <c r="BE1254" i="1"/>
  <c r="BF1254" i="1"/>
  <c r="BH1254" i="1"/>
  <c r="BK1254" i="1"/>
  <c r="EL1254" i="1"/>
  <c r="EN1254" i="1"/>
  <c r="EO1254" i="1"/>
  <c r="ER1254" i="1"/>
  <c r="R1255" i="1"/>
  <c r="S1255" i="1"/>
  <c r="T1255" i="1"/>
  <c r="U1255" i="1"/>
  <c r="X1255" i="1"/>
  <c r="Y1255" i="1"/>
  <c r="Z1255" i="1"/>
  <c r="AD1255" i="1"/>
  <c r="AE1255" i="1"/>
  <c r="AN1255" i="1"/>
  <c r="AO1255" i="1"/>
  <c r="AP1255" i="1"/>
  <c r="AQ1255" i="1"/>
  <c r="AS1255" i="1"/>
  <c r="BE1255" i="1"/>
  <c r="BF1255" i="1"/>
  <c r="BH1255" i="1"/>
  <c r="BK1255" i="1"/>
  <c r="EL1255" i="1"/>
  <c r="EM1255" i="1"/>
  <c r="EN1255" i="1"/>
  <c r="EO1255" i="1"/>
  <c r="ER1255" i="1"/>
  <c r="R1256" i="1"/>
  <c r="S1256" i="1"/>
  <c r="T1256" i="1"/>
  <c r="U1256" i="1"/>
  <c r="X1256" i="1"/>
  <c r="Z1256" i="1"/>
  <c r="AD1256" i="1"/>
  <c r="AE1256" i="1"/>
  <c r="AN1256" i="1"/>
  <c r="AO1256" i="1"/>
  <c r="AP1256" i="1"/>
  <c r="AQ1256" i="1"/>
  <c r="AS1256" i="1"/>
  <c r="BE1256" i="1"/>
  <c r="BF1256" i="1"/>
  <c r="BK1256" i="1"/>
  <c r="EL1256" i="1"/>
  <c r="EM1256" i="1"/>
  <c r="EN1256" i="1"/>
  <c r="EO1256" i="1"/>
  <c r="ER1256" i="1"/>
  <c r="R1257" i="1"/>
  <c r="S1257" i="1"/>
  <c r="T1257" i="1"/>
  <c r="U1257" i="1"/>
  <c r="V1257" i="1"/>
  <c r="X1257" i="1"/>
  <c r="Z1257" i="1"/>
  <c r="AD1257" i="1"/>
  <c r="AE1257" i="1"/>
  <c r="R1258" i="1"/>
  <c r="S1258" i="1"/>
  <c r="T1258" i="1"/>
  <c r="U1258" i="1"/>
  <c r="X1258" i="1"/>
  <c r="Y1258" i="1"/>
  <c r="Z1258" i="1"/>
  <c r="AC1258" i="1"/>
  <c r="AD1258" i="1"/>
  <c r="AE1258" i="1"/>
  <c r="AN1258" i="1"/>
  <c r="AO1258" i="1"/>
  <c r="AP1258" i="1"/>
  <c r="AQ1258" i="1"/>
  <c r="AR1258" i="1"/>
  <c r="BE1258" i="1"/>
  <c r="BF1258" i="1"/>
  <c r="BK1258" i="1"/>
  <c r="R1259" i="1"/>
  <c r="S1259" i="1"/>
  <c r="T1259" i="1"/>
  <c r="U1259" i="1"/>
  <c r="X1259" i="1"/>
  <c r="Z1259" i="1"/>
  <c r="AD1259" i="1"/>
  <c r="AE1259" i="1"/>
  <c r="AN1259" i="1"/>
  <c r="AO1259" i="1"/>
  <c r="AP1259" i="1"/>
  <c r="AQ1259" i="1"/>
  <c r="AS1259" i="1"/>
  <c r="AZ1259" i="1"/>
  <c r="BB1259" i="1"/>
  <c r="BE1259" i="1"/>
  <c r="BG1259" i="1"/>
  <c r="BH1259" i="1"/>
  <c r="BK1259" i="1"/>
  <c r="R1260" i="1"/>
  <c r="S1260" i="1"/>
  <c r="T1260" i="1"/>
  <c r="U1260" i="1"/>
  <c r="X1260" i="1"/>
  <c r="Y1260" i="1"/>
  <c r="Z1260" i="1"/>
  <c r="AA1260" i="1"/>
  <c r="AB1260" i="1"/>
  <c r="AC1260" i="1"/>
  <c r="AD1260" i="1"/>
  <c r="AE1260" i="1"/>
  <c r="AN1260" i="1"/>
  <c r="AO1260" i="1"/>
  <c r="AP1260" i="1"/>
  <c r="AQ1260" i="1"/>
  <c r="AS1260" i="1"/>
  <c r="BI1260" i="1"/>
  <c r="R1261" i="1"/>
  <c r="S1261" i="1"/>
  <c r="T1261" i="1"/>
  <c r="U1261" i="1"/>
  <c r="X1261" i="1"/>
  <c r="Z1261" i="1"/>
  <c r="AD1261" i="1"/>
  <c r="AE1261" i="1"/>
  <c r="AN1261" i="1"/>
  <c r="AO1261" i="1"/>
  <c r="AP1261" i="1"/>
  <c r="AQ1261" i="1"/>
  <c r="AS1261" i="1"/>
  <c r="BE1261" i="1"/>
  <c r="BH1261" i="1"/>
  <c r="BK1261" i="1"/>
  <c r="EL1261" i="1"/>
  <c r="EN1261" i="1"/>
  <c r="EO1261" i="1"/>
  <c r="ER1261" i="1"/>
  <c r="R1262" i="1"/>
  <c r="S1262" i="1"/>
  <c r="T1262" i="1"/>
  <c r="U1262" i="1"/>
  <c r="X1262" i="1"/>
  <c r="Z1262" i="1"/>
  <c r="AD1262" i="1"/>
  <c r="AE1262" i="1"/>
  <c r="AN1262" i="1"/>
  <c r="AO1262" i="1"/>
  <c r="AP1262" i="1"/>
  <c r="AQ1262" i="1"/>
  <c r="AS1262" i="1"/>
  <c r="BE1262" i="1"/>
  <c r="BH1262" i="1"/>
  <c r="BK1262" i="1"/>
  <c r="EM1262" i="1"/>
  <c r="EO1262" i="1"/>
  <c r="ER1262" i="1"/>
  <c r="R1263" i="1"/>
  <c r="S1263" i="1"/>
  <c r="T1263" i="1"/>
  <c r="U1263" i="1"/>
  <c r="V1263" i="1"/>
  <c r="X1263" i="1"/>
  <c r="Z1263" i="1"/>
  <c r="AD1263" i="1"/>
  <c r="AE1263" i="1"/>
  <c r="R1264" i="1"/>
  <c r="S1264" i="1"/>
  <c r="T1264" i="1"/>
  <c r="U1264" i="1"/>
  <c r="X1264" i="1"/>
  <c r="Z1264" i="1"/>
  <c r="AD1264" i="1"/>
  <c r="AE1264" i="1"/>
  <c r="R1265" i="1"/>
  <c r="S1265" i="1"/>
  <c r="T1265" i="1"/>
  <c r="U1265" i="1"/>
  <c r="V1265" i="1"/>
  <c r="X1265" i="1"/>
  <c r="Z1265" i="1"/>
  <c r="AC1265" i="1"/>
  <c r="AD1265" i="1"/>
  <c r="AE1265" i="1"/>
  <c r="AN1265" i="1"/>
  <c r="AO1265" i="1"/>
  <c r="AP1265" i="1"/>
  <c r="AQ1265" i="1"/>
  <c r="AS1265" i="1"/>
  <c r="BE1265" i="1"/>
  <c r="BH1265" i="1"/>
  <c r="BI1265" i="1"/>
  <c r="BK1265" i="1"/>
  <c r="EL1265" i="1"/>
  <c r="EN1265" i="1"/>
  <c r="EO1265" i="1"/>
  <c r="ER1265" i="1"/>
  <c r="R1266" i="1"/>
  <c r="S1266" i="1"/>
  <c r="T1266" i="1"/>
  <c r="U1266" i="1"/>
  <c r="V1266" i="1"/>
  <c r="X1266" i="1"/>
  <c r="Z1266" i="1"/>
  <c r="AC1266" i="1"/>
  <c r="AD1266" i="1"/>
  <c r="AE1266" i="1"/>
  <c r="AS1266" i="1"/>
  <c r="BA1266" i="1"/>
  <c r="BB1266" i="1"/>
  <c r="BD1266" i="1"/>
  <c r="BE1266" i="1"/>
  <c r="BK1266" i="1"/>
  <c r="R1267" i="1"/>
  <c r="S1267" i="1"/>
  <c r="T1267" i="1"/>
  <c r="U1267" i="1"/>
  <c r="X1267" i="1"/>
  <c r="Z1267" i="1"/>
  <c r="AC1267" i="1"/>
  <c r="AD1267" i="1"/>
  <c r="AE1267" i="1"/>
  <c r="R1268" i="1"/>
  <c r="S1268" i="1"/>
  <c r="T1268" i="1"/>
  <c r="U1268" i="1"/>
  <c r="X1268" i="1"/>
  <c r="Y1268" i="1"/>
  <c r="Z1268" i="1"/>
  <c r="AA1268" i="1"/>
  <c r="AD1268" i="1"/>
  <c r="AE1268" i="1"/>
  <c r="R1269" i="1"/>
  <c r="S1269" i="1"/>
  <c r="T1269" i="1"/>
  <c r="U1269" i="1"/>
  <c r="X1269" i="1"/>
  <c r="Y1269" i="1"/>
  <c r="Z1269" i="1"/>
  <c r="AD1269" i="1"/>
  <c r="AE1269" i="1"/>
  <c r="R1270" i="1"/>
  <c r="S1270" i="1"/>
  <c r="T1270" i="1"/>
  <c r="U1270" i="1"/>
  <c r="V1270" i="1"/>
  <c r="X1270" i="1"/>
  <c r="Y1270" i="1"/>
  <c r="Z1270" i="1"/>
  <c r="AA1270" i="1"/>
  <c r="AD1270" i="1"/>
  <c r="AE1270" i="1"/>
  <c r="CF1270" i="1"/>
  <c r="R1271" i="1"/>
  <c r="S1271" i="1"/>
  <c r="T1271" i="1"/>
  <c r="U1271" i="1"/>
  <c r="X1271" i="1"/>
  <c r="Y1271" i="1"/>
  <c r="Z1271" i="1"/>
  <c r="AD1271" i="1"/>
  <c r="AE1271" i="1"/>
  <c r="R1272" i="1"/>
  <c r="S1272" i="1"/>
  <c r="T1272" i="1"/>
  <c r="U1272" i="1"/>
  <c r="X1272" i="1"/>
  <c r="Y1272" i="1"/>
  <c r="Z1272" i="1"/>
  <c r="AD1272" i="1"/>
  <c r="AE1272" i="1"/>
  <c r="AN1272" i="1"/>
  <c r="AO1272" i="1"/>
  <c r="AP1272" i="1"/>
  <c r="AQ1272" i="1"/>
  <c r="AR1272" i="1"/>
  <c r="AS1272" i="1"/>
  <c r="BA1272" i="1"/>
  <c r="BE1272" i="1"/>
  <c r="BH1272" i="1"/>
  <c r="BK1272" i="1"/>
  <c r="CF1272" i="1"/>
  <c r="CG1272" i="1"/>
  <c r="EL1272" i="1"/>
  <c r="EM1272" i="1"/>
  <c r="EN1272" i="1"/>
  <c r="EO1272" i="1"/>
  <c r="ER1272" i="1"/>
  <c r="R1273" i="1"/>
  <c r="S1273" i="1"/>
  <c r="T1273" i="1"/>
  <c r="U1273" i="1"/>
  <c r="X1273" i="1"/>
  <c r="Y1273" i="1"/>
  <c r="Z1273" i="1"/>
  <c r="AD1273" i="1"/>
  <c r="AE1273" i="1"/>
  <c r="EQ1273" i="1"/>
  <c r="R1274" i="1"/>
  <c r="S1274" i="1"/>
  <c r="T1274" i="1"/>
  <c r="U1274" i="1"/>
  <c r="X1274" i="1"/>
  <c r="Z1274" i="1"/>
  <c r="AB1274" i="1"/>
  <c r="AD1274" i="1"/>
  <c r="AE1274" i="1"/>
  <c r="AN1274" i="1"/>
  <c r="AO1274" i="1"/>
  <c r="AP1274" i="1"/>
  <c r="AQ1274" i="1"/>
  <c r="AS1274" i="1"/>
  <c r="BE1274" i="1"/>
  <c r="BH1274" i="1"/>
  <c r="BK1274" i="1"/>
  <c r="CI1274" i="1"/>
  <c r="CR1274" i="1"/>
  <c r="R1275" i="1"/>
  <c r="S1275" i="1"/>
  <c r="T1275" i="1"/>
  <c r="U1275" i="1"/>
  <c r="X1275" i="1"/>
  <c r="Z1275" i="1"/>
  <c r="AD1275" i="1"/>
  <c r="AE1275" i="1"/>
  <c r="R1276" i="1"/>
  <c r="S1276" i="1"/>
  <c r="T1276" i="1"/>
  <c r="U1276" i="1"/>
  <c r="X1276" i="1"/>
  <c r="Z1276" i="1"/>
  <c r="AD1276" i="1"/>
  <c r="AE1276" i="1"/>
  <c r="R1277" i="1"/>
  <c r="S1277" i="1"/>
  <c r="T1277" i="1"/>
  <c r="U1277" i="1"/>
  <c r="V1277" i="1"/>
  <c r="X1277" i="1"/>
  <c r="Y1277" i="1"/>
  <c r="Z1277" i="1"/>
  <c r="AA1277" i="1"/>
  <c r="AB1277" i="1"/>
  <c r="AC1277" i="1"/>
  <c r="AD1277" i="1"/>
  <c r="AE1277" i="1"/>
  <c r="R1278" i="1"/>
  <c r="S1278" i="1"/>
  <c r="T1278" i="1"/>
  <c r="U1278" i="1"/>
  <c r="X1278" i="1"/>
  <c r="Y1278" i="1"/>
  <c r="Z1278" i="1"/>
  <c r="AA1278" i="1"/>
  <c r="AB1278" i="1"/>
  <c r="AC1278" i="1"/>
  <c r="AD1278" i="1"/>
  <c r="AE1278" i="1"/>
  <c r="R1279" i="1"/>
  <c r="S1279" i="1"/>
  <c r="T1279" i="1"/>
  <c r="U1279" i="1"/>
  <c r="X1279" i="1"/>
  <c r="Y1279" i="1"/>
  <c r="Z1279" i="1"/>
  <c r="AA1279" i="1"/>
  <c r="AB1279" i="1"/>
  <c r="AC1279" i="1"/>
  <c r="AD1279" i="1"/>
  <c r="AE1279" i="1"/>
  <c r="R1280" i="1"/>
  <c r="S1280" i="1"/>
  <c r="T1280" i="1"/>
  <c r="U1280" i="1"/>
  <c r="V1280" i="1"/>
  <c r="X1280" i="1"/>
  <c r="Y1280" i="1"/>
  <c r="Z1280" i="1"/>
  <c r="AA1280" i="1"/>
  <c r="AB1280" i="1"/>
  <c r="AC1280" i="1"/>
  <c r="AD1280" i="1"/>
  <c r="AE1280" i="1"/>
  <c r="R1281" i="1"/>
  <c r="S1281" i="1"/>
  <c r="T1281" i="1"/>
  <c r="U1281" i="1"/>
  <c r="V1281" i="1"/>
  <c r="X1281" i="1"/>
  <c r="Y1281" i="1"/>
  <c r="Z1281" i="1"/>
  <c r="AA1281" i="1"/>
  <c r="AB1281" i="1"/>
  <c r="AC1281" i="1"/>
  <c r="AD1281" i="1"/>
  <c r="AE1281" i="1"/>
  <c r="R1282" i="1"/>
  <c r="S1282" i="1"/>
  <c r="T1282" i="1"/>
  <c r="U1282" i="1"/>
  <c r="V1282" i="1"/>
  <c r="X1282" i="1"/>
  <c r="Y1282" i="1"/>
  <c r="Z1282" i="1"/>
  <c r="AA1282" i="1"/>
  <c r="AB1282" i="1"/>
  <c r="AC1282" i="1"/>
  <c r="AD1282" i="1"/>
  <c r="AE1282" i="1"/>
  <c r="R1283" i="1"/>
  <c r="S1283" i="1"/>
  <c r="T1283" i="1"/>
  <c r="U1283" i="1"/>
  <c r="X1283" i="1"/>
  <c r="Y1283" i="1"/>
  <c r="Z1283" i="1"/>
  <c r="AA1283" i="1"/>
  <c r="AB1283" i="1"/>
  <c r="AC1283" i="1"/>
  <c r="AD1283" i="1"/>
  <c r="AE1283" i="1"/>
  <c r="R1284" i="1"/>
  <c r="S1284" i="1"/>
  <c r="T1284" i="1"/>
  <c r="U1284" i="1"/>
  <c r="X1284" i="1"/>
  <c r="Y1284" i="1"/>
  <c r="Z1284" i="1"/>
  <c r="AA1284" i="1"/>
  <c r="AB1284" i="1"/>
  <c r="AC1284" i="1"/>
  <c r="AD1284" i="1"/>
  <c r="AE1284" i="1"/>
  <c r="R1285" i="1"/>
  <c r="S1285" i="1"/>
  <c r="T1285" i="1"/>
  <c r="U1285" i="1"/>
  <c r="V1285" i="1"/>
  <c r="X1285" i="1"/>
  <c r="Y1285" i="1"/>
  <c r="Z1285" i="1"/>
  <c r="AA1285" i="1"/>
  <c r="AB1285" i="1"/>
  <c r="AC1285" i="1"/>
  <c r="AD1285" i="1"/>
  <c r="AE1285" i="1"/>
  <c r="R1286" i="1"/>
  <c r="S1286" i="1"/>
  <c r="T1286" i="1"/>
  <c r="U1286" i="1"/>
  <c r="V1286" i="1"/>
  <c r="X1286" i="1"/>
  <c r="Z1286" i="1"/>
  <c r="AC1286" i="1"/>
  <c r="AD1286" i="1"/>
  <c r="AE1286" i="1"/>
  <c r="R1287" i="1"/>
  <c r="S1287" i="1"/>
  <c r="T1287" i="1"/>
  <c r="U1287" i="1"/>
  <c r="V1287" i="1"/>
  <c r="X1287" i="1"/>
  <c r="Z1287" i="1"/>
  <c r="AC1287" i="1"/>
  <c r="AD1287" i="1"/>
  <c r="AE1287" i="1"/>
  <c r="R1288" i="1"/>
  <c r="S1288" i="1"/>
  <c r="T1288" i="1"/>
  <c r="U1288" i="1"/>
  <c r="X1288" i="1"/>
  <c r="Y1288" i="1"/>
  <c r="Z1288" i="1"/>
  <c r="AC1288" i="1"/>
  <c r="AD1288" i="1"/>
  <c r="AE1288" i="1"/>
  <c r="R1289" i="1"/>
  <c r="S1289" i="1"/>
  <c r="T1289" i="1"/>
  <c r="U1289" i="1"/>
  <c r="X1289" i="1"/>
  <c r="Z1289" i="1"/>
  <c r="AC1289" i="1"/>
  <c r="AD1289" i="1"/>
  <c r="AE1289" i="1"/>
  <c r="AN1289" i="1"/>
  <c r="AO1289" i="1"/>
  <c r="AP1289" i="1"/>
  <c r="AQ1289" i="1"/>
  <c r="AR1289" i="1"/>
  <c r="AS1289" i="1"/>
  <c r="BA1289" i="1"/>
  <c r="BE1289" i="1"/>
  <c r="BH1289" i="1"/>
  <c r="BK1289" i="1"/>
  <c r="EM1289" i="1"/>
  <c r="EN1289" i="1"/>
  <c r="EO1289" i="1"/>
  <c r="ER1289" i="1"/>
  <c r="R1290" i="1"/>
  <c r="S1290" i="1"/>
  <c r="T1290" i="1"/>
  <c r="U1290" i="1"/>
  <c r="V1290" i="1"/>
  <c r="X1290" i="1"/>
  <c r="Z1290" i="1"/>
  <c r="AC1290" i="1"/>
  <c r="AD1290" i="1"/>
  <c r="AE1290" i="1"/>
  <c r="BB1290" i="1"/>
  <c r="R1291" i="1"/>
  <c r="S1291" i="1"/>
  <c r="T1291" i="1"/>
  <c r="U1291" i="1"/>
  <c r="V1291" i="1"/>
  <c r="X1291" i="1"/>
  <c r="Z1291" i="1"/>
  <c r="AC1291" i="1"/>
  <c r="AD1291" i="1"/>
  <c r="AE1291" i="1"/>
  <c r="R1292" i="1"/>
  <c r="S1292" i="1"/>
  <c r="T1292" i="1"/>
  <c r="U1292" i="1"/>
  <c r="X1292" i="1"/>
  <c r="Y1292" i="1"/>
  <c r="Z1292" i="1"/>
  <c r="AC1292" i="1"/>
  <c r="AD1292" i="1"/>
  <c r="AE1292" i="1"/>
  <c r="R1293" i="1"/>
  <c r="S1293" i="1"/>
  <c r="T1293" i="1"/>
  <c r="U1293" i="1"/>
  <c r="V1293" i="1"/>
  <c r="X1293" i="1"/>
  <c r="Y1293" i="1"/>
  <c r="Z1293" i="1"/>
  <c r="AB1293" i="1"/>
  <c r="AC1293" i="1"/>
  <c r="AD1293" i="1"/>
  <c r="AE1293" i="1"/>
  <c r="R1294" i="1"/>
  <c r="S1294" i="1"/>
  <c r="T1294" i="1"/>
  <c r="U1294" i="1"/>
  <c r="X1294" i="1"/>
  <c r="Y1294" i="1"/>
  <c r="Z1294" i="1"/>
  <c r="AC1294" i="1"/>
  <c r="AD1294" i="1"/>
  <c r="AE1294" i="1"/>
  <c r="R1295" i="1"/>
  <c r="S1295" i="1"/>
  <c r="T1295" i="1"/>
  <c r="U1295" i="1"/>
  <c r="V1295" i="1"/>
  <c r="X1295" i="1"/>
  <c r="Z1295" i="1"/>
  <c r="AC1295" i="1"/>
  <c r="AD1295" i="1"/>
  <c r="AE1295" i="1"/>
  <c r="R1296" i="1"/>
  <c r="S1296" i="1"/>
  <c r="T1296" i="1"/>
  <c r="U1296" i="1"/>
  <c r="V1296" i="1"/>
  <c r="X1296" i="1"/>
  <c r="Y1296" i="1"/>
  <c r="Z1296" i="1"/>
  <c r="AA1296" i="1"/>
  <c r="AB1296" i="1"/>
  <c r="AC1296" i="1"/>
  <c r="AD1296" i="1"/>
  <c r="AE1296" i="1"/>
  <c r="BB1296" i="1"/>
  <c r="R1297" i="1"/>
  <c r="S1297" i="1"/>
  <c r="T1297" i="1"/>
  <c r="U1297" i="1"/>
  <c r="X1297" i="1"/>
  <c r="Y1297" i="1"/>
  <c r="Z1297" i="1"/>
  <c r="AD1297" i="1"/>
  <c r="AE1297" i="1"/>
  <c r="R1298" i="1"/>
  <c r="S1298" i="1"/>
  <c r="T1298" i="1"/>
  <c r="U1298" i="1"/>
  <c r="W1298" i="1"/>
  <c r="X1298" i="1"/>
  <c r="Z1298" i="1"/>
  <c r="AC1298" i="1"/>
  <c r="AD1298" i="1"/>
  <c r="AE1298" i="1"/>
  <c r="R1299" i="1"/>
  <c r="S1299" i="1"/>
  <c r="T1299" i="1"/>
  <c r="U1299" i="1"/>
  <c r="V1299" i="1"/>
  <c r="X1299" i="1"/>
  <c r="Y1299" i="1"/>
  <c r="Z1299" i="1"/>
  <c r="AC1299" i="1"/>
  <c r="AD1299" i="1"/>
  <c r="AE1299" i="1"/>
  <c r="R1300" i="1"/>
  <c r="S1300" i="1"/>
  <c r="T1300" i="1"/>
  <c r="U1300" i="1"/>
  <c r="X1300" i="1"/>
  <c r="Z1300" i="1"/>
  <c r="AA1300" i="1"/>
  <c r="AB1300" i="1"/>
  <c r="AD1300" i="1"/>
  <c r="AE1300" i="1"/>
  <c r="AN1300" i="1"/>
  <c r="AO1300" i="1"/>
  <c r="AP1300" i="1"/>
  <c r="AQ1300" i="1"/>
  <c r="AS1300" i="1"/>
  <c r="EL1300" i="1"/>
  <c r="ER1300" i="1"/>
  <c r="R1301" i="1"/>
  <c r="S1301" i="1"/>
  <c r="T1301" i="1"/>
  <c r="U1301" i="1"/>
  <c r="X1301" i="1"/>
  <c r="Z1301" i="1"/>
  <c r="AC1301" i="1"/>
  <c r="AD1301" i="1"/>
  <c r="AE1301" i="1"/>
  <c r="R1302" i="1"/>
  <c r="S1302" i="1"/>
  <c r="T1302" i="1"/>
  <c r="U1302" i="1"/>
  <c r="X1302" i="1"/>
  <c r="Z1302" i="1"/>
  <c r="AA1302" i="1"/>
  <c r="AB1302" i="1"/>
  <c r="AD1302" i="1"/>
  <c r="AE1302" i="1"/>
  <c r="R1303" i="1"/>
  <c r="S1303" i="1"/>
  <c r="T1303" i="1"/>
  <c r="U1303" i="1"/>
  <c r="X1303" i="1"/>
  <c r="Z1303" i="1"/>
  <c r="AB1303" i="1"/>
  <c r="AD1303" i="1"/>
  <c r="AE1303" i="1"/>
  <c r="AI1303" i="1"/>
  <c r="AN1303" i="1"/>
  <c r="AO1303" i="1"/>
  <c r="AP1303" i="1"/>
  <c r="AQ1303" i="1"/>
  <c r="AR1303" i="1"/>
  <c r="AS1303" i="1"/>
  <c r="AY1303" i="1"/>
  <c r="BA1303" i="1"/>
  <c r="BB1303" i="1"/>
  <c r="BD1303" i="1"/>
  <c r="BE1303" i="1"/>
  <c r="BH1303" i="1"/>
  <c r="BK1303" i="1"/>
  <c r="EM1303" i="1"/>
  <c r="EO1303" i="1"/>
  <c r="ER1303" i="1"/>
  <c r="R1304" i="1"/>
  <c r="S1304" i="1"/>
  <c r="T1304" i="1"/>
  <c r="U1304" i="1"/>
  <c r="X1304" i="1"/>
  <c r="Y1304" i="1"/>
  <c r="Z1304" i="1"/>
  <c r="AD1304" i="1"/>
  <c r="AE1304" i="1"/>
  <c r="R1305" i="1"/>
  <c r="S1305" i="1"/>
  <c r="T1305" i="1"/>
  <c r="U1305" i="1"/>
  <c r="X1305" i="1"/>
  <c r="Z1305" i="1"/>
  <c r="AA1305" i="1"/>
  <c r="AB1305" i="1"/>
  <c r="AD1305" i="1"/>
  <c r="AE1305" i="1"/>
  <c r="R1306" i="1"/>
  <c r="S1306" i="1"/>
  <c r="T1306" i="1"/>
  <c r="U1306" i="1"/>
  <c r="X1306" i="1"/>
  <c r="Z1306" i="1"/>
  <c r="AA1306" i="1"/>
  <c r="AB1306" i="1"/>
  <c r="AD1306" i="1"/>
  <c r="AE1306" i="1"/>
  <c r="R1307" i="1"/>
  <c r="S1307" i="1"/>
  <c r="T1307" i="1"/>
  <c r="U1307" i="1"/>
  <c r="X1307" i="1"/>
  <c r="Z1307" i="1"/>
  <c r="AA1307" i="1"/>
  <c r="AB1307" i="1"/>
  <c r="AD1307" i="1"/>
  <c r="AE1307" i="1"/>
  <c r="R1308" i="1"/>
  <c r="S1308" i="1"/>
  <c r="T1308" i="1"/>
  <c r="U1308" i="1"/>
  <c r="X1308" i="1"/>
  <c r="Z1308" i="1"/>
  <c r="AA1308" i="1"/>
  <c r="AB1308" i="1"/>
  <c r="AD1308" i="1"/>
  <c r="AE1308" i="1"/>
  <c r="AN1308" i="1"/>
  <c r="AO1308" i="1"/>
  <c r="AP1308" i="1"/>
  <c r="AQ1308" i="1"/>
  <c r="AS1308" i="1"/>
  <c r="BA1308" i="1"/>
  <c r="R1309" i="1"/>
  <c r="S1309" i="1"/>
  <c r="T1309" i="1"/>
  <c r="U1309" i="1"/>
  <c r="V1309" i="1"/>
  <c r="X1309" i="1"/>
  <c r="Z1309" i="1"/>
  <c r="AC1309" i="1"/>
  <c r="AD1309" i="1"/>
  <c r="AE1309" i="1"/>
  <c r="R1310" i="1"/>
  <c r="S1310" i="1"/>
  <c r="T1310" i="1"/>
  <c r="U1310" i="1"/>
  <c r="X1310" i="1"/>
  <c r="Z1310" i="1"/>
  <c r="AC1310" i="1"/>
  <c r="AD1310" i="1"/>
  <c r="AE1310" i="1"/>
  <c r="R1311" i="1"/>
  <c r="S1311" i="1"/>
  <c r="T1311" i="1"/>
  <c r="U1311" i="1"/>
  <c r="X1311" i="1"/>
  <c r="Z1311" i="1"/>
  <c r="AA1311" i="1"/>
  <c r="AB1311" i="1"/>
  <c r="AC1311" i="1"/>
  <c r="AD1311" i="1"/>
  <c r="AE1311" i="1"/>
  <c r="R1312" i="1"/>
  <c r="S1312" i="1"/>
  <c r="T1312" i="1"/>
  <c r="U1312" i="1"/>
  <c r="X1312" i="1"/>
  <c r="Z1312" i="1"/>
  <c r="AA1312" i="1"/>
  <c r="AB1312" i="1"/>
  <c r="AC1312" i="1"/>
  <c r="AD1312" i="1"/>
  <c r="AE1312" i="1"/>
  <c r="R1313" i="1"/>
  <c r="S1313" i="1"/>
  <c r="T1313" i="1"/>
  <c r="U1313" i="1"/>
  <c r="X1313" i="1"/>
  <c r="Z1313" i="1"/>
  <c r="AA1313" i="1"/>
  <c r="AB1313" i="1"/>
  <c r="AC1313" i="1"/>
  <c r="AD1313" i="1"/>
  <c r="AE1313" i="1"/>
  <c r="R1314" i="1"/>
  <c r="S1314" i="1"/>
  <c r="T1314" i="1"/>
  <c r="U1314" i="1"/>
  <c r="X1314" i="1"/>
  <c r="Y1314" i="1"/>
  <c r="Z1314" i="1"/>
  <c r="AA1314" i="1"/>
  <c r="AB1314" i="1"/>
  <c r="AD1314" i="1"/>
  <c r="AE1314" i="1"/>
  <c r="R1315" i="1"/>
  <c r="S1315" i="1"/>
  <c r="T1315" i="1"/>
  <c r="U1315" i="1"/>
  <c r="X1315" i="1"/>
  <c r="Z1315" i="1"/>
  <c r="AA1315" i="1"/>
  <c r="AB1315" i="1"/>
  <c r="AD1315" i="1"/>
  <c r="AE1315" i="1"/>
  <c r="R1316" i="1"/>
  <c r="S1316" i="1"/>
  <c r="T1316" i="1"/>
  <c r="U1316" i="1"/>
  <c r="X1316" i="1"/>
  <c r="Z1316" i="1"/>
  <c r="AA1316" i="1"/>
  <c r="AB1316" i="1"/>
  <c r="AD1316" i="1"/>
  <c r="AE1316" i="1"/>
  <c r="R1317" i="1"/>
  <c r="S1317" i="1"/>
  <c r="T1317" i="1"/>
  <c r="U1317" i="1"/>
  <c r="X1317" i="1"/>
  <c r="Z1317" i="1"/>
  <c r="AA1317" i="1"/>
  <c r="AB1317" i="1"/>
  <c r="AD1317" i="1"/>
  <c r="AE1317" i="1"/>
  <c r="R1318" i="1"/>
  <c r="S1318" i="1"/>
  <c r="T1318" i="1"/>
  <c r="U1318" i="1"/>
  <c r="X1318" i="1"/>
  <c r="Z1318" i="1"/>
  <c r="AA1318" i="1"/>
  <c r="AB1318" i="1"/>
  <c r="AD1318" i="1"/>
  <c r="AE1318" i="1"/>
  <c r="R1319" i="1"/>
  <c r="S1319" i="1"/>
  <c r="T1319" i="1"/>
  <c r="U1319" i="1"/>
  <c r="V1319" i="1"/>
  <c r="X1319" i="1"/>
  <c r="Y1319" i="1"/>
  <c r="Z1319" i="1"/>
  <c r="AA1319" i="1"/>
  <c r="AB1319" i="1"/>
  <c r="AD1319" i="1"/>
  <c r="AE1319" i="1"/>
  <c r="R1320" i="1"/>
  <c r="S1320" i="1"/>
  <c r="T1320" i="1"/>
  <c r="U1320" i="1"/>
  <c r="V1320" i="1"/>
  <c r="X1320" i="1"/>
  <c r="Y1320" i="1"/>
  <c r="Z1320" i="1"/>
  <c r="AA1320" i="1"/>
  <c r="AB1320" i="1"/>
  <c r="AD1320" i="1"/>
  <c r="AE1320" i="1"/>
  <c r="R1321" i="1"/>
  <c r="S1321" i="1"/>
  <c r="T1321" i="1"/>
  <c r="U1321" i="1"/>
  <c r="X1321" i="1"/>
  <c r="Y1321" i="1"/>
  <c r="Z1321" i="1"/>
  <c r="AA1321" i="1"/>
  <c r="AB1321" i="1"/>
  <c r="AC1321" i="1"/>
  <c r="AD1321" i="1"/>
  <c r="AE1321" i="1"/>
  <c r="R1322" i="1"/>
  <c r="S1322" i="1"/>
  <c r="T1322" i="1"/>
  <c r="U1322" i="1"/>
  <c r="X1322" i="1"/>
  <c r="Z1322" i="1"/>
  <c r="AA1322" i="1"/>
  <c r="AB1322" i="1"/>
  <c r="AC1322" i="1"/>
  <c r="AD1322" i="1"/>
  <c r="AE1322" i="1"/>
  <c r="R1323" i="1"/>
  <c r="S1323" i="1"/>
  <c r="T1323" i="1"/>
  <c r="U1323" i="1"/>
  <c r="X1323" i="1"/>
  <c r="Z1323" i="1"/>
  <c r="AD1323" i="1"/>
  <c r="AE1323" i="1"/>
  <c r="AN1323" i="1"/>
  <c r="AO1323" i="1"/>
  <c r="AP1323" i="1"/>
  <c r="AQ1323" i="1"/>
  <c r="AS1323" i="1"/>
  <c r="BE1323" i="1"/>
  <c r="BF1323" i="1"/>
  <c r="BH1323" i="1"/>
  <c r="BK1323" i="1"/>
  <c r="EL1323" i="1"/>
  <c r="EM1323" i="1"/>
  <c r="EN1323" i="1"/>
  <c r="EO1323" i="1"/>
  <c r="ER1323" i="1"/>
  <c r="R1324" i="1"/>
  <c r="S1324" i="1"/>
  <c r="T1324" i="1"/>
  <c r="U1324" i="1"/>
  <c r="X1324" i="1"/>
  <c r="Y1324" i="1"/>
  <c r="Z1324" i="1"/>
  <c r="AD1324" i="1"/>
  <c r="AE1324" i="1"/>
  <c r="R1325" i="1"/>
  <c r="S1325" i="1"/>
  <c r="T1325" i="1"/>
  <c r="U1325" i="1"/>
  <c r="X1325" i="1"/>
  <c r="Z1325" i="1"/>
  <c r="AA1325" i="1"/>
  <c r="AB1325" i="1"/>
  <c r="AD1325" i="1"/>
  <c r="AE1325" i="1"/>
  <c r="R1326" i="1"/>
  <c r="S1326" i="1"/>
  <c r="T1326" i="1"/>
  <c r="U1326" i="1"/>
  <c r="V1326" i="1"/>
  <c r="X1326" i="1"/>
  <c r="Y1326" i="1"/>
  <c r="Z1326" i="1"/>
  <c r="AD1326" i="1"/>
  <c r="AE1326" i="1"/>
  <c r="R1327" i="1"/>
  <c r="S1327" i="1"/>
  <c r="T1327" i="1"/>
  <c r="U1327" i="1"/>
  <c r="V1327" i="1"/>
  <c r="X1327" i="1"/>
  <c r="Z1327" i="1"/>
  <c r="AD1327" i="1"/>
  <c r="AE1327" i="1"/>
  <c r="R1328" i="1"/>
  <c r="S1328" i="1"/>
  <c r="T1328" i="1"/>
  <c r="U1328" i="1"/>
  <c r="X1328" i="1"/>
  <c r="Z1328" i="1"/>
  <c r="AD1328" i="1"/>
  <c r="AE1328" i="1"/>
  <c r="AN1328" i="1"/>
  <c r="AO1328" i="1"/>
  <c r="AP1328" i="1"/>
  <c r="AQ1328" i="1"/>
  <c r="AS1328" i="1"/>
  <c r="BE1328" i="1"/>
  <c r="BK1328" i="1"/>
  <c r="EL1328" i="1"/>
  <c r="EN1328" i="1"/>
  <c r="EO1328" i="1"/>
  <c r="ER1328" i="1"/>
  <c r="R1329" i="1"/>
  <c r="S1329" i="1"/>
  <c r="T1329" i="1"/>
  <c r="U1329" i="1"/>
  <c r="V1329" i="1"/>
  <c r="X1329" i="1"/>
  <c r="Z1329" i="1"/>
  <c r="AD1329" i="1"/>
  <c r="AE1329" i="1"/>
  <c r="R1330" i="1"/>
  <c r="S1330" i="1"/>
  <c r="T1330" i="1"/>
  <c r="U1330" i="1"/>
  <c r="X1330" i="1"/>
  <c r="Z1330" i="1"/>
  <c r="AD1330" i="1"/>
  <c r="AE1330" i="1"/>
  <c r="R1331" i="1"/>
  <c r="S1331" i="1"/>
  <c r="T1331" i="1"/>
  <c r="U1331" i="1"/>
  <c r="V1331" i="1"/>
  <c r="X1331" i="1"/>
  <c r="Z1331" i="1"/>
  <c r="AD1331" i="1"/>
  <c r="AE1331" i="1"/>
  <c r="R1332" i="1"/>
  <c r="S1332" i="1"/>
  <c r="T1332" i="1"/>
  <c r="U1332" i="1"/>
  <c r="X1332" i="1"/>
  <c r="Y1332" i="1"/>
  <c r="Z1332" i="1"/>
  <c r="AD1332" i="1"/>
  <c r="AE1332" i="1"/>
  <c r="R1333" i="1"/>
  <c r="S1333" i="1"/>
  <c r="T1333" i="1"/>
  <c r="U1333" i="1"/>
  <c r="X1333" i="1"/>
  <c r="Y1333" i="1"/>
  <c r="Z1333" i="1"/>
  <c r="AC1333" i="1"/>
  <c r="AD1333" i="1"/>
  <c r="AE1333" i="1"/>
  <c r="R1334" i="1"/>
  <c r="S1334" i="1"/>
  <c r="T1334" i="1"/>
  <c r="U1334" i="1"/>
  <c r="V1334" i="1"/>
  <c r="X1334" i="1"/>
  <c r="Z1334" i="1"/>
  <c r="AC1334" i="1"/>
  <c r="AD1334" i="1"/>
  <c r="AE1334" i="1"/>
  <c r="R1335" i="1"/>
  <c r="S1335" i="1"/>
  <c r="T1335" i="1"/>
  <c r="U1335" i="1"/>
  <c r="X1335" i="1"/>
  <c r="Z1335" i="1"/>
  <c r="AD1335" i="1"/>
  <c r="AE1335" i="1"/>
  <c r="R1336" i="1"/>
  <c r="S1336" i="1"/>
  <c r="T1336" i="1"/>
  <c r="U1336" i="1"/>
  <c r="X1336" i="1"/>
  <c r="Z1336" i="1"/>
  <c r="AD1336" i="1"/>
  <c r="AE1336" i="1"/>
  <c r="R1337" i="1"/>
  <c r="S1337" i="1"/>
  <c r="T1337" i="1"/>
  <c r="U1337" i="1"/>
  <c r="X1337" i="1"/>
  <c r="Y1337" i="1"/>
  <c r="Z1337" i="1"/>
  <c r="AC1337" i="1"/>
  <c r="AD1337" i="1"/>
  <c r="AE1337" i="1"/>
  <c r="R1338" i="1"/>
  <c r="S1338" i="1"/>
  <c r="T1338" i="1"/>
  <c r="U1338" i="1"/>
  <c r="X1338" i="1"/>
  <c r="Z1338" i="1"/>
  <c r="AD1338" i="1"/>
  <c r="AE1338" i="1"/>
  <c r="R1339" i="1"/>
  <c r="S1339" i="1"/>
  <c r="T1339" i="1"/>
  <c r="U1339" i="1"/>
  <c r="X1339" i="1"/>
  <c r="Z1339" i="1"/>
  <c r="AD1339" i="1"/>
  <c r="AE1339" i="1"/>
  <c r="R1340" i="1"/>
  <c r="S1340" i="1"/>
  <c r="T1340" i="1"/>
  <c r="U1340" i="1"/>
  <c r="X1340" i="1"/>
  <c r="Z1340" i="1"/>
  <c r="AD1340" i="1"/>
  <c r="AE1340" i="1"/>
  <c r="R1341" i="1"/>
  <c r="S1341" i="1"/>
  <c r="T1341" i="1"/>
  <c r="U1341" i="1"/>
  <c r="X1341" i="1"/>
  <c r="Z1341" i="1"/>
  <c r="AD1341" i="1"/>
  <c r="AE1341" i="1"/>
  <c r="R1342" i="1"/>
  <c r="S1342" i="1"/>
  <c r="T1342" i="1"/>
  <c r="U1342" i="1"/>
  <c r="X1342" i="1"/>
  <c r="Z1342" i="1"/>
  <c r="AD1342" i="1"/>
  <c r="AE1342" i="1"/>
  <c r="R1343" i="1"/>
  <c r="S1343" i="1"/>
  <c r="T1343" i="1"/>
  <c r="U1343" i="1"/>
  <c r="X1343" i="1"/>
  <c r="Z1343" i="1"/>
  <c r="AD1343" i="1"/>
  <c r="AE1343" i="1"/>
  <c r="R1344" i="1"/>
  <c r="S1344" i="1"/>
  <c r="T1344" i="1"/>
  <c r="U1344" i="1"/>
  <c r="X1344" i="1"/>
  <c r="Z1344" i="1"/>
  <c r="AD1344" i="1"/>
  <c r="AE1344" i="1"/>
  <c r="R1345" i="1"/>
  <c r="S1345" i="1"/>
  <c r="T1345" i="1"/>
  <c r="U1345" i="1"/>
  <c r="V1345" i="1"/>
  <c r="X1345" i="1"/>
  <c r="Z1345" i="1"/>
  <c r="AD1345" i="1"/>
  <c r="AE1345" i="1"/>
  <c r="R1346" i="1"/>
  <c r="S1346" i="1"/>
  <c r="T1346" i="1"/>
  <c r="U1346" i="1"/>
  <c r="V1346" i="1"/>
  <c r="X1346" i="1"/>
  <c r="Z1346" i="1"/>
  <c r="AD1346" i="1"/>
  <c r="AE1346" i="1"/>
  <c r="R1347" i="1"/>
  <c r="S1347" i="1"/>
  <c r="T1347" i="1"/>
  <c r="U1347" i="1"/>
  <c r="X1347" i="1"/>
  <c r="Y1347" i="1"/>
  <c r="Z1347" i="1"/>
  <c r="AA1347" i="1"/>
  <c r="AB1347" i="1"/>
  <c r="AC1347" i="1"/>
  <c r="AD1347" i="1"/>
  <c r="AE1347" i="1"/>
  <c r="R1348" i="1"/>
  <c r="S1348" i="1"/>
  <c r="T1348" i="1"/>
  <c r="U1348" i="1"/>
  <c r="X1348" i="1"/>
  <c r="Z1348" i="1"/>
  <c r="AD1348" i="1"/>
  <c r="AE1348" i="1"/>
  <c r="R1349" i="1"/>
  <c r="S1349" i="1"/>
  <c r="T1349" i="1"/>
  <c r="U1349" i="1"/>
  <c r="X1349" i="1"/>
  <c r="Z1349" i="1"/>
  <c r="AD1349" i="1"/>
  <c r="AE1349" i="1"/>
  <c r="AN1349" i="1"/>
  <c r="AO1349" i="1"/>
  <c r="AP1349" i="1"/>
  <c r="AQ1349" i="1"/>
  <c r="AR1349" i="1"/>
  <c r="AS1349" i="1"/>
  <c r="AU1349" i="1"/>
  <c r="AW1349" i="1"/>
  <c r="BA1349" i="1"/>
  <c r="BE1349" i="1"/>
  <c r="BH1349" i="1"/>
  <c r="BK1349" i="1"/>
  <c r="CI1349" i="1"/>
  <c r="CR1349" i="1"/>
  <c r="R1350" i="1"/>
  <c r="S1350" i="1"/>
  <c r="T1350" i="1"/>
  <c r="U1350" i="1"/>
  <c r="X1350" i="1"/>
  <c r="Z1350" i="1"/>
  <c r="AD1350" i="1"/>
  <c r="AE1350" i="1"/>
  <c r="R1351" i="1"/>
  <c r="S1351" i="1"/>
  <c r="T1351" i="1"/>
  <c r="U1351" i="1"/>
  <c r="X1351" i="1"/>
  <c r="Z1351" i="1"/>
  <c r="AD1351" i="1"/>
  <c r="AE1351" i="1"/>
  <c r="R1352" i="1"/>
  <c r="S1352" i="1"/>
  <c r="T1352" i="1"/>
  <c r="U1352" i="1"/>
  <c r="V1352" i="1"/>
  <c r="X1352" i="1"/>
  <c r="Z1352" i="1"/>
  <c r="AD1352" i="1"/>
  <c r="AE1352" i="1"/>
  <c r="R1353" i="1"/>
  <c r="S1353" i="1"/>
  <c r="T1353" i="1"/>
  <c r="U1353" i="1"/>
  <c r="X1353" i="1"/>
  <c r="Z1353" i="1"/>
  <c r="AD1353" i="1"/>
  <c r="AE1353" i="1"/>
  <c r="R1354" i="1"/>
  <c r="S1354" i="1"/>
  <c r="T1354" i="1"/>
  <c r="U1354" i="1"/>
  <c r="X1354" i="1"/>
  <c r="Z1354" i="1"/>
  <c r="AD1354" i="1"/>
  <c r="AE1354" i="1"/>
  <c r="R1355" i="1"/>
  <c r="S1355" i="1"/>
  <c r="T1355" i="1"/>
  <c r="U1355" i="1"/>
  <c r="X1355" i="1"/>
  <c r="Y1355" i="1"/>
  <c r="Z1355" i="1"/>
  <c r="AA1355" i="1"/>
  <c r="AB1355" i="1"/>
  <c r="AC1355" i="1"/>
  <c r="AD1355" i="1"/>
  <c r="AE1355" i="1"/>
  <c r="R1356" i="1"/>
  <c r="S1356" i="1"/>
  <c r="T1356" i="1"/>
  <c r="U1356" i="1"/>
  <c r="V1356" i="1"/>
  <c r="X1356" i="1"/>
  <c r="Z1356" i="1"/>
  <c r="AC1356" i="1"/>
  <c r="AD1356" i="1"/>
  <c r="AE1356" i="1"/>
  <c r="R1357" i="1"/>
  <c r="S1357" i="1"/>
  <c r="T1357" i="1"/>
  <c r="U1357" i="1"/>
  <c r="X1357" i="1"/>
  <c r="Z1357" i="1"/>
  <c r="AC1357" i="1"/>
  <c r="AD1357" i="1"/>
  <c r="AE1357" i="1"/>
  <c r="R1358" i="1"/>
  <c r="S1358" i="1"/>
  <c r="T1358" i="1"/>
  <c r="U1358" i="1"/>
  <c r="V1358" i="1"/>
  <c r="X1358" i="1"/>
  <c r="Y1358" i="1"/>
  <c r="Z1358" i="1"/>
  <c r="AA1358" i="1"/>
  <c r="AB1358" i="1"/>
  <c r="AC1358" i="1"/>
  <c r="AD1358" i="1"/>
  <c r="AE1358" i="1"/>
  <c r="R1359" i="1"/>
  <c r="S1359" i="1"/>
  <c r="T1359" i="1"/>
  <c r="U1359" i="1"/>
  <c r="X1359" i="1"/>
  <c r="Y1359" i="1"/>
  <c r="Z1359" i="1"/>
  <c r="AA1359" i="1"/>
  <c r="AB1359" i="1"/>
  <c r="AC1359" i="1"/>
  <c r="AD1359" i="1"/>
  <c r="AE1359" i="1"/>
  <c r="R1360" i="1"/>
  <c r="S1360" i="1"/>
  <c r="T1360" i="1"/>
  <c r="U1360" i="1"/>
  <c r="X1360" i="1"/>
  <c r="Y1360" i="1"/>
  <c r="Z1360" i="1"/>
  <c r="AA1360" i="1"/>
  <c r="AB1360" i="1"/>
  <c r="AD1360" i="1"/>
  <c r="AE1360" i="1"/>
  <c r="R1361" i="1"/>
  <c r="S1361" i="1"/>
  <c r="T1361" i="1"/>
  <c r="U1361" i="1"/>
  <c r="V1361" i="1"/>
  <c r="X1361" i="1"/>
  <c r="Y1361" i="1"/>
  <c r="Z1361" i="1"/>
  <c r="AA1361" i="1"/>
  <c r="AB1361" i="1"/>
  <c r="AC1361" i="1"/>
  <c r="AD1361" i="1"/>
  <c r="AE1361" i="1"/>
  <c r="R1362" i="1"/>
  <c r="S1362" i="1"/>
  <c r="T1362" i="1"/>
  <c r="U1362" i="1"/>
  <c r="X1362" i="1"/>
  <c r="Z1362" i="1"/>
  <c r="AA1362" i="1"/>
  <c r="AB1362" i="1"/>
  <c r="AD1362" i="1"/>
  <c r="AE1362" i="1"/>
  <c r="R1363" i="1"/>
  <c r="S1363" i="1"/>
  <c r="T1363" i="1"/>
  <c r="U1363" i="1"/>
  <c r="X1363" i="1"/>
  <c r="Z1363" i="1"/>
  <c r="AD1363" i="1"/>
  <c r="AE1363" i="1"/>
  <c r="R1364" i="1"/>
  <c r="S1364" i="1"/>
  <c r="T1364" i="1"/>
  <c r="U1364" i="1"/>
  <c r="X1364" i="1"/>
  <c r="Z1364" i="1"/>
  <c r="AC1364" i="1"/>
  <c r="AD1364" i="1"/>
  <c r="AE1364" i="1"/>
  <c r="R1365" i="1"/>
  <c r="S1365" i="1"/>
  <c r="T1365" i="1"/>
  <c r="U1365" i="1"/>
  <c r="X1365" i="1"/>
  <c r="Z1365" i="1"/>
  <c r="AC1365" i="1"/>
  <c r="AD1365" i="1"/>
  <c r="AE1365" i="1"/>
  <c r="R1366" i="1"/>
  <c r="S1366" i="1"/>
  <c r="T1366" i="1"/>
  <c r="U1366" i="1"/>
  <c r="X1366" i="1"/>
  <c r="Z1366" i="1"/>
  <c r="AC1366" i="1"/>
  <c r="AD1366" i="1"/>
  <c r="AE1366" i="1"/>
  <c r="R1367" i="1"/>
  <c r="S1367" i="1"/>
  <c r="T1367" i="1"/>
  <c r="U1367" i="1"/>
  <c r="V1367" i="1"/>
  <c r="X1367" i="1"/>
  <c r="Z1367" i="1"/>
  <c r="AD1367" i="1"/>
  <c r="AE1367" i="1"/>
  <c r="R1368" i="1"/>
  <c r="S1368" i="1"/>
  <c r="T1368" i="1"/>
  <c r="U1368" i="1"/>
  <c r="X1368" i="1"/>
  <c r="Y1368" i="1"/>
  <c r="Z1368" i="1"/>
  <c r="AA1368" i="1"/>
  <c r="AB1368" i="1"/>
  <c r="AC1368" i="1"/>
  <c r="AD1368" i="1"/>
  <c r="AE1368" i="1"/>
  <c r="AI1368" i="1"/>
  <c r="AN1368" i="1"/>
  <c r="AO1368" i="1"/>
  <c r="AP1368" i="1"/>
  <c r="AQ1368" i="1"/>
  <c r="AS1368" i="1"/>
  <c r="BA1368" i="1"/>
  <c r="BB1368" i="1"/>
  <c r="BC1368" i="1"/>
  <c r="BE1368" i="1"/>
  <c r="BK1368" i="1"/>
  <c r="EL1368" i="1"/>
  <c r="EN1368" i="1"/>
  <c r="ER1368" i="1"/>
  <c r="R1369" i="1"/>
  <c r="S1369" i="1"/>
  <c r="T1369" i="1"/>
  <c r="U1369" i="1"/>
  <c r="X1369" i="1"/>
  <c r="Y1369" i="1"/>
  <c r="Z1369" i="1"/>
  <c r="AD1369" i="1"/>
  <c r="AE1369" i="1"/>
  <c r="R1370" i="1"/>
  <c r="S1370" i="1"/>
  <c r="T1370" i="1"/>
  <c r="U1370" i="1"/>
  <c r="X1370" i="1"/>
  <c r="Y1370" i="1"/>
  <c r="Z1370" i="1"/>
  <c r="AA1370" i="1"/>
  <c r="AB1370" i="1"/>
  <c r="AC1370" i="1"/>
  <c r="AD1370" i="1"/>
  <c r="AE1370" i="1"/>
  <c r="R1371" i="1"/>
  <c r="S1371" i="1"/>
  <c r="T1371" i="1"/>
  <c r="U1371" i="1"/>
  <c r="X1371" i="1"/>
  <c r="Y1371" i="1"/>
  <c r="Z1371" i="1"/>
  <c r="AB1371" i="1"/>
  <c r="AC1371" i="1"/>
  <c r="AD1371" i="1"/>
  <c r="AE1371" i="1"/>
  <c r="R1372" i="1"/>
  <c r="S1372" i="1"/>
  <c r="T1372" i="1"/>
  <c r="U1372" i="1"/>
  <c r="X1372" i="1"/>
  <c r="Y1372" i="1"/>
  <c r="Z1372" i="1"/>
  <c r="AC1372" i="1"/>
  <c r="AD1372" i="1"/>
  <c r="AE1372" i="1"/>
  <c r="R1373" i="1"/>
  <c r="S1373" i="1"/>
  <c r="T1373" i="1"/>
  <c r="U1373" i="1"/>
  <c r="V1373" i="1"/>
  <c r="X1373" i="1"/>
  <c r="Y1373" i="1"/>
  <c r="Z1373" i="1"/>
  <c r="AC1373" i="1"/>
  <c r="AD1373" i="1"/>
  <c r="AE1373" i="1"/>
  <c r="R1374" i="1"/>
  <c r="S1374" i="1"/>
  <c r="T1374" i="1"/>
  <c r="U1374" i="1"/>
  <c r="X1374" i="1"/>
  <c r="Z1374" i="1"/>
  <c r="AD1374" i="1"/>
  <c r="AE1374" i="1"/>
  <c r="R1375" i="1"/>
  <c r="S1375" i="1"/>
  <c r="T1375" i="1"/>
  <c r="U1375" i="1"/>
  <c r="X1375" i="1"/>
  <c r="Z1375" i="1"/>
  <c r="AD1375" i="1"/>
  <c r="AE1375" i="1"/>
  <c r="R1376" i="1"/>
  <c r="S1376" i="1"/>
  <c r="T1376" i="1"/>
  <c r="U1376" i="1"/>
  <c r="X1376" i="1"/>
  <c r="Z1376" i="1"/>
  <c r="AD1376" i="1"/>
  <c r="AE1376" i="1"/>
  <c r="R1377" i="1"/>
  <c r="S1377" i="1"/>
  <c r="T1377" i="1"/>
  <c r="U1377" i="1"/>
  <c r="X1377" i="1"/>
  <c r="Z1377" i="1"/>
  <c r="AD1377" i="1"/>
  <c r="AE1377" i="1"/>
  <c r="R1378" i="1"/>
  <c r="S1378" i="1"/>
  <c r="T1378" i="1"/>
  <c r="U1378" i="1"/>
  <c r="X1378" i="1"/>
  <c r="Z1378" i="1"/>
  <c r="AD1378" i="1"/>
  <c r="AE1378" i="1"/>
  <c r="R1379" i="1"/>
  <c r="S1379" i="1"/>
  <c r="T1379" i="1"/>
  <c r="U1379" i="1"/>
  <c r="X1379" i="1"/>
  <c r="Z1379" i="1"/>
  <c r="AD1379" i="1"/>
  <c r="AE1379" i="1"/>
  <c r="R1380" i="1"/>
  <c r="S1380" i="1"/>
  <c r="T1380" i="1"/>
  <c r="U1380" i="1"/>
  <c r="X1380" i="1"/>
  <c r="Z1380" i="1"/>
  <c r="AD1380" i="1"/>
  <c r="AE1380" i="1"/>
  <c r="R1381" i="1"/>
  <c r="S1381" i="1"/>
  <c r="T1381" i="1"/>
  <c r="U1381" i="1"/>
  <c r="X1381" i="1"/>
  <c r="Z1381" i="1"/>
  <c r="AD1381" i="1"/>
  <c r="AE1381" i="1"/>
  <c r="R1382" i="1"/>
  <c r="S1382" i="1"/>
  <c r="T1382" i="1"/>
  <c r="U1382" i="1"/>
  <c r="X1382" i="1"/>
  <c r="Y1382" i="1"/>
  <c r="Z1382" i="1"/>
  <c r="AD1382" i="1"/>
  <c r="AE1382" i="1"/>
  <c r="R1383" i="1"/>
  <c r="S1383" i="1"/>
  <c r="T1383" i="1"/>
  <c r="U1383" i="1"/>
  <c r="X1383" i="1"/>
  <c r="Y1383" i="1"/>
  <c r="Z1383" i="1"/>
  <c r="AD1383" i="1"/>
  <c r="AE1383" i="1"/>
  <c r="R1384" i="1"/>
  <c r="S1384" i="1"/>
  <c r="T1384" i="1"/>
  <c r="U1384" i="1"/>
  <c r="X1384" i="1"/>
  <c r="Y1384" i="1"/>
  <c r="Z1384" i="1"/>
  <c r="AD1384" i="1"/>
  <c r="AE1384" i="1"/>
  <c r="R1385" i="1"/>
  <c r="S1385" i="1"/>
  <c r="T1385" i="1"/>
  <c r="U1385" i="1"/>
  <c r="V1385" i="1"/>
  <c r="X1385" i="1"/>
  <c r="Z1385" i="1"/>
  <c r="AB1385" i="1"/>
  <c r="AD1385" i="1"/>
  <c r="AE1385" i="1"/>
  <c r="R1386" i="1"/>
  <c r="S1386" i="1"/>
  <c r="T1386" i="1"/>
  <c r="U1386" i="1"/>
  <c r="X1386" i="1"/>
  <c r="Z1386" i="1"/>
  <c r="AD1386" i="1"/>
  <c r="AE1386" i="1"/>
  <c r="AN1386" i="1"/>
  <c r="AO1386" i="1"/>
  <c r="AP1386" i="1"/>
  <c r="AQ1386" i="1"/>
  <c r="AS1386" i="1"/>
  <c r="BE1386" i="1"/>
  <c r="BH1386" i="1"/>
  <c r="BK1386" i="1"/>
  <c r="EL1386" i="1"/>
  <c r="EN1386" i="1"/>
  <c r="EO1386" i="1"/>
  <c r="ER1386" i="1"/>
  <c r="R1387" i="1"/>
  <c r="S1387" i="1"/>
  <c r="T1387" i="1"/>
  <c r="U1387" i="1"/>
  <c r="X1387" i="1"/>
  <c r="Z1387" i="1"/>
  <c r="AD1387" i="1"/>
  <c r="AE1387" i="1"/>
  <c r="R1388" i="1"/>
  <c r="S1388" i="1"/>
  <c r="T1388" i="1"/>
  <c r="U1388" i="1"/>
  <c r="V1388" i="1"/>
  <c r="X1388" i="1"/>
  <c r="Y1388" i="1"/>
  <c r="Z1388" i="1"/>
  <c r="AA1388" i="1"/>
  <c r="AB1388" i="1"/>
  <c r="AC1388" i="1"/>
  <c r="AD1388" i="1"/>
  <c r="AE1388" i="1"/>
  <c r="AH1388" i="1"/>
  <c r="R1389" i="1"/>
  <c r="S1389" i="1"/>
  <c r="T1389" i="1"/>
  <c r="U1389" i="1"/>
  <c r="V1389" i="1"/>
  <c r="X1389" i="1"/>
  <c r="Y1389" i="1"/>
  <c r="Z1389" i="1"/>
  <c r="AA1389" i="1"/>
  <c r="AB1389" i="1"/>
  <c r="AC1389" i="1"/>
  <c r="AD1389" i="1"/>
  <c r="AE1389" i="1"/>
  <c r="R1390" i="1"/>
  <c r="S1390" i="1"/>
  <c r="T1390" i="1"/>
  <c r="U1390" i="1"/>
  <c r="X1390" i="1"/>
  <c r="Y1390" i="1"/>
  <c r="Z1390" i="1"/>
  <c r="AA1390" i="1"/>
  <c r="AB1390" i="1"/>
  <c r="AC1390" i="1"/>
  <c r="AD1390" i="1"/>
  <c r="AE1390" i="1"/>
  <c r="R1391" i="1"/>
  <c r="S1391" i="1"/>
  <c r="T1391" i="1"/>
  <c r="U1391" i="1"/>
  <c r="V1391" i="1"/>
  <c r="X1391" i="1"/>
  <c r="Y1391" i="1"/>
  <c r="Z1391" i="1"/>
  <c r="AA1391" i="1"/>
  <c r="AB1391" i="1"/>
  <c r="AC1391" i="1"/>
  <c r="AD1391" i="1"/>
  <c r="AE1391" i="1"/>
  <c r="R1392" i="1"/>
  <c r="S1392" i="1"/>
  <c r="T1392" i="1"/>
  <c r="U1392" i="1"/>
  <c r="X1392" i="1"/>
  <c r="Y1392" i="1"/>
  <c r="Z1392" i="1"/>
  <c r="AD1392" i="1"/>
  <c r="AE1392" i="1"/>
  <c r="AI1392" i="1"/>
  <c r="AN1392" i="1"/>
  <c r="AO1392" i="1"/>
  <c r="AP1392" i="1"/>
  <c r="AQ1392" i="1"/>
  <c r="AS1392" i="1"/>
  <c r="BA1392" i="1"/>
  <c r="BB1392" i="1"/>
  <c r="BE1392" i="1"/>
  <c r="BF1392" i="1"/>
  <c r="BK1392" i="1"/>
  <c r="CI1392" i="1"/>
  <c r="CR1392" i="1"/>
  <c r="EL1392" i="1"/>
  <c r="EN1392" i="1"/>
  <c r="EO1392" i="1"/>
  <c r="ER1392" i="1"/>
  <c r="R1393" i="1"/>
  <c r="S1393" i="1"/>
  <c r="T1393" i="1"/>
  <c r="U1393" i="1"/>
  <c r="V1393" i="1"/>
  <c r="X1393" i="1"/>
  <c r="Y1393" i="1"/>
  <c r="Z1393" i="1"/>
  <c r="AD1393" i="1"/>
  <c r="AE1393" i="1"/>
  <c r="R1394" i="1"/>
  <c r="S1394" i="1"/>
  <c r="T1394" i="1"/>
  <c r="U1394" i="1"/>
  <c r="X1394" i="1"/>
  <c r="Z1394" i="1"/>
  <c r="AD1394" i="1"/>
  <c r="AE1394" i="1"/>
  <c r="R1395" i="1"/>
  <c r="S1395" i="1"/>
  <c r="T1395" i="1"/>
  <c r="U1395" i="1"/>
  <c r="X1395" i="1"/>
  <c r="Y1395" i="1"/>
  <c r="Z1395" i="1"/>
  <c r="AD1395" i="1"/>
  <c r="AE1395" i="1"/>
  <c r="R1396" i="1"/>
  <c r="S1396" i="1"/>
  <c r="T1396" i="1"/>
  <c r="U1396" i="1"/>
  <c r="V1396" i="1"/>
  <c r="X1396" i="1"/>
  <c r="Y1396" i="1"/>
  <c r="Z1396" i="1"/>
  <c r="AB1396" i="1"/>
  <c r="AD1396" i="1"/>
  <c r="AE1396" i="1"/>
  <c r="R1397" i="1"/>
  <c r="S1397" i="1"/>
  <c r="T1397" i="1"/>
  <c r="U1397" i="1"/>
  <c r="W1397" i="1"/>
  <c r="X1397" i="1"/>
  <c r="Z1397" i="1"/>
  <c r="AC1397" i="1"/>
  <c r="AD1397" i="1"/>
  <c r="AE1397" i="1"/>
  <c r="R1398" i="1"/>
  <c r="S1398" i="1"/>
  <c r="T1398" i="1"/>
  <c r="U1398" i="1"/>
  <c r="X1398" i="1"/>
  <c r="Z1398" i="1"/>
  <c r="AB1398" i="1"/>
  <c r="AC1398" i="1"/>
  <c r="AD1398" i="1"/>
  <c r="AE1398" i="1"/>
  <c r="AN1398" i="1"/>
  <c r="AO1398" i="1"/>
  <c r="AP1398" i="1"/>
  <c r="AQ1398" i="1"/>
  <c r="AS1398" i="1"/>
  <c r="BE1398" i="1"/>
  <c r="BK1398" i="1"/>
  <c r="EL1398" i="1"/>
  <c r="EN1398" i="1"/>
  <c r="EO1398" i="1"/>
  <c r="ER1398" i="1"/>
  <c r="R1399" i="1"/>
  <c r="S1399" i="1"/>
  <c r="T1399" i="1"/>
  <c r="U1399" i="1"/>
  <c r="X1399" i="1"/>
  <c r="Y1399" i="1"/>
  <c r="Z1399" i="1"/>
  <c r="AA1399" i="1"/>
  <c r="AB1399" i="1"/>
  <c r="AC1399" i="1"/>
  <c r="AD1399" i="1"/>
  <c r="AE1399" i="1"/>
  <c r="R1400" i="1"/>
  <c r="S1400" i="1"/>
  <c r="T1400" i="1"/>
  <c r="U1400" i="1"/>
  <c r="V1400" i="1"/>
  <c r="X1400" i="1"/>
  <c r="Z1400" i="1"/>
  <c r="AC1400" i="1"/>
  <c r="AD1400" i="1"/>
  <c r="AE1400" i="1"/>
  <c r="R1401" i="1"/>
  <c r="S1401" i="1"/>
  <c r="T1401" i="1"/>
  <c r="U1401" i="1"/>
  <c r="V1401" i="1"/>
  <c r="X1401" i="1"/>
  <c r="Y1401" i="1"/>
  <c r="Z1401" i="1"/>
  <c r="AA1401" i="1"/>
  <c r="AB1401" i="1"/>
  <c r="AC1401" i="1"/>
  <c r="AD1401" i="1"/>
  <c r="AE1401" i="1"/>
  <c r="R1402" i="1"/>
  <c r="S1402" i="1"/>
  <c r="T1402" i="1"/>
  <c r="U1402" i="1"/>
  <c r="V1402" i="1"/>
  <c r="X1402" i="1"/>
  <c r="Y1402" i="1"/>
  <c r="Z1402" i="1"/>
  <c r="AB1402" i="1"/>
  <c r="AC1402" i="1"/>
  <c r="AD1402" i="1"/>
  <c r="AE1402" i="1"/>
  <c r="R1403" i="1"/>
  <c r="S1403" i="1"/>
  <c r="T1403" i="1"/>
  <c r="U1403" i="1"/>
  <c r="X1403" i="1"/>
  <c r="Y1403" i="1"/>
  <c r="Z1403" i="1"/>
  <c r="AD1403" i="1"/>
  <c r="AE1403" i="1"/>
  <c r="R1404" i="1"/>
  <c r="S1404" i="1"/>
  <c r="T1404" i="1"/>
  <c r="U1404" i="1"/>
  <c r="X1404" i="1"/>
  <c r="Y1404" i="1"/>
  <c r="Z1404" i="1"/>
  <c r="AA1404" i="1"/>
  <c r="AB1404" i="1"/>
  <c r="AC1404" i="1"/>
  <c r="AD1404" i="1"/>
  <c r="AE1404" i="1"/>
  <c r="BB1404" i="1"/>
  <c r="R1405" i="1"/>
  <c r="S1405" i="1"/>
  <c r="T1405" i="1"/>
  <c r="U1405" i="1"/>
  <c r="X1405" i="1"/>
  <c r="Z1405" i="1"/>
  <c r="AB1405" i="1"/>
  <c r="AD1405" i="1"/>
  <c r="AE1405" i="1"/>
  <c r="R1406" i="1"/>
  <c r="S1406" i="1"/>
  <c r="T1406" i="1"/>
  <c r="U1406" i="1"/>
  <c r="X1406" i="1"/>
  <c r="Z1406" i="1"/>
  <c r="AD1406" i="1"/>
  <c r="AE1406" i="1"/>
  <c r="R1407" i="1"/>
  <c r="S1407" i="1"/>
  <c r="T1407" i="1"/>
  <c r="U1407" i="1"/>
  <c r="X1407" i="1"/>
  <c r="Z1407" i="1"/>
  <c r="AD1407" i="1"/>
  <c r="AE1407" i="1"/>
  <c r="R1408" i="1"/>
  <c r="S1408" i="1"/>
  <c r="T1408" i="1"/>
  <c r="U1408" i="1"/>
  <c r="X1408" i="1"/>
  <c r="Z1408" i="1"/>
  <c r="AD1408" i="1"/>
  <c r="AE1408" i="1"/>
  <c r="R1409" i="1"/>
  <c r="S1409" i="1"/>
  <c r="T1409" i="1"/>
  <c r="U1409" i="1"/>
  <c r="X1409" i="1"/>
  <c r="Z1409" i="1"/>
  <c r="AD1409" i="1"/>
  <c r="AE1409" i="1"/>
  <c r="R1410" i="1"/>
  <c r="S1410" i="1"/>
  <c r="T1410" i="1"/>
  <c r="U1410" i="1"/>
  <c r="X1410" i="1"/>
  <c r="Z1410" i="1"/>
  <c r="AD1410" i="1"/>
  <c r="AE1410" i="1"/>
  <c r="R1411" i="1"/>
  <c r="S1411" i="1"/>
  <c r="T1411" i="1"/>
  <c r="U1411" i="1"/>
  <c r="X1411" i="1"/>
  <c r="Z1411" i="1"/>
  <c r="AD1411" i="1"/>
  <c r="AE1411" i="1"/>
  <c r="R1412" i="1"/>
  <c r="S1412" i="1"/>
  <c r="T1412" i="1"/>
  <c r="U1412" i="1"/>
  <c r="X1412" i="1"/>
  <c r="Z1412" i="1"/>
  <c r="AD1412" i="1"/>
  <c r="AE1412" i="1"/>
  <c r="R1413" i="1"/>
  <c r="S1413" i="1"/>
  <c r="T1413" i="1"/>
  <c r="U1413" i="1"/>
  <c r="X1413" i="1"/>
  <c r="Z1413" i="1"/>
  <c r="AD1413" i="1"/>
  <c r="AE1413" i="1"/>
  <c r="R1414" i="1"/>
  <c r="S1414" i="1"/>
  <c r="T1414" i="1"/>
  <c r="U1414" i="1"/>
  <c r="X1414" i="1"/>
  <c r="Z1414" i="1"/>
  <c r="AD1414" i="1"/>
  <c r="AE1414" i="1"/>
  <c r="R1415" i="1"/>
  <c r="S1415" i="1"/>
  <c r="T1415" i="1"/>
  <c r="U1415" i="1"/>
  <c r="X1415" i="1"/>
  <c r="Z1415" i="1"/>
  <c r="AD1415" i="1"/>
  <c r="AE1415" i="1"/>
  <c r="R1416" i="1"/>
  <c r="S1416" i="1"/>
  <c r="T1416" i="1"/>
  <c r="U1416" i="1"/>
  <c r="X1416" i="1"/>
  <c r="Y1416" i="1"/>
  <c r="Z1416" i="1"/>
  <c r="AD1416" i="1"/>
  <c r="AE1416" i="1"/>
  <c r="R1417" i="1"/>
  <c r="S1417" i="1"/>
  <c r="T1417" i="1"/>
  <c r="U1417" i="1"/>
  <c r="X1417" i="1"/>
  <c r="Y1417" i="1"/>
  <c r="Z1417" i="1"/>
  <c r="AA1417" i="1"/>
  <c r="AB1417" i="1"/>
  <c r="AC1417" i="1"/>
  <c r="AD1417" i="1"/>
  <c r="AE1417" i="1"/>
  <c r="AH1417" i="1"/>
  <c r="R1418" i="1"/>
  <c r="S1418" i="1"/>
  <c r="T1418" i="1"/>
  <c r="U1418" i="1"/>
  <c r="V1418" i="1"/>
  <c r="X1418" i="1"/>
  <c r="Z1418" i="1"/>
  <c r="AC1418" i="1"/>
  <c r="AD1418" i="1"/>
  <c r="AE1418" i="1"/>
  <c r="R1419" i="1"/>
  <c r="S1419" i="1"/>
  <c r="T1419" i="1"/>
  <c r="U1419" i="1"/>
  <c r="X1419" i="1"/>
  <c r="Y1419" i="1"/>
  <c r="Z1419" i="1"/>
  <c r="AD1419" i="1"/>
  <c r="AE1419" i="1"/>
  <c r="R1420" i="1"/>
  <c r="S1420" i="1"/>
  <c r="T1420" i="1"/>
  <c r="U1420" i="1"/>
  <c r="V1420" i="1"/>
  <c r="X1420" i="1"/>
  <c r="Y1420" i="1"/>
  <c r="Z1420" i="1"/>
  <c r="AD1420" i="1"/>
  <c r="AE1420" i="1"/>
  <c r="R1421" i="1"/>
  <c r="S1421" i="1"/>
  <c r="T1421" i="1"/>
  <c r="U1421" i="1"/>
  <c r="X1421" i="1"/>
  <c r="Y1421" i="1"/>
  <c r="Z1421" i="1"/>
  <c r="AA1421" i="1"/>
  <c r="AB1421" i="1"/>
  <c r="AC1421" i="1"/>
  <c r="AD1421" i="1"/>
  <c r="AE1421" i="1"/>
  <c r="R1422" i="1"/>
  <c r="S1422" i="1"/>
  <c r="T1422" i="1"/>
  <c r="U1422" i="1"/>
  <c r="X1422" i="1"/>
  <c r="Y1422" i="1"/>
  <c r="Z1422" i="1"/>
  <c r="AA1422" i="1"/>
  <c r="AB1422" i="1"/>
  <c r="AC1422" i="1"/>
  <c r="AD1422" i="1"/>
  <c r="AE1422" i="1"/>
  <c r="R1423" i="1"/>
  <c r="S1423" i="1"/>
  <c r="T1423" i="1"/>
  <c r="U1423" i="1"/>
  <c r="V1423" i="1"/>
  <c r="X1423" i="1"/>
  <c r="Y1423" i="1"/>
  <c r="Z1423" i="1"/>
  <c r="AA1423" i="1"/>
  <c r="AB1423" i="1"/>
  <c r="AC1423" i="1"/>
  <c r="AD1423" i="1"/>
  <c r="AE1423" i="1"/>
  <c r="R1424" i="1"/>
  <c r="S1424" i="1"/>
  <c r="T1424" i="1"/>
  <c r="U1424" i="1"/>
  <c r="X1424" i="1"/>
  <c r="Y1424" i="1"/>
  <c r="Z1424" i="1"/>
  <c r="AA1424" i="1"/>
  <c r="AB1424" i="1"/>
  <c r="AC1424" i="1"/>
  <c r="AD1424" i="1"/>
  <c r="AE1424" i="1"/>
  <c r="R1425" i="1"/>
  <c r="S1425" i="1"/>
  <c r="T1425" i="1"/>
  <c r="U1425" i="1"/>
  <c r="X1425" i="1"/>
  <c r="Y1425" i="1"/>
  <c r="Z1425" i="1"/>
  <c r="AA1425" i="1"/>
  <c r="AB1425" i="1"/>
  <c r="AC1425" i="1"/>
  <c r="AD1425" i="1"/>
  <c r="AE1425" i="1"/>
  <c r="AI1425" i="1"/>
  <c r="AN1425" i="1"/>
  <c r="AO1425" i="1"/>
  <c r="AP1425" i="1"/>
  <c r="AQ1425" i="1"/>
  <c r="AS1425" i="1"/>
  <c r="AY1425" i="1"/>
  <c r="BA1425" i="1"/>
  <c r="BB1425" i="1"/>
  <c r="BC1425" i="1"/>
  <c r="BE1425" i="1"/>
  <c r="BH1425" i="1"/>
  <c r="BK1425" i="1"/>
  <c r="EL1425" i="1"/>
  <c r="EN1425" i="1"/>
  <c r="EO1425" i="1"/>
  <c r="ER1425" i="1"/>
  <c r="R1426" i="1"/>
  <c r="S1426" i="1"/>
  <c r="T1426" i="1"/>
  <c r="U1426" i="1"/>
  <c r="V1426" i="1"/>
  <c r="X1426" i="1"/>
  <c r="Z1426" i="1"/>
  <c r="AC1426" i="1"/>
  <c r="AD1426" i="1"/>
  <c r="AE1426" i="1"/>
  <c r="R1427" i="1"/>
  <c r="S1427" i="1"/>
  <c r="T1427" i="1"/>
  <c r="U1427" i="1"/>
  <c r="X1427" i="1"/>
  <c r="Z1427" i="1"/>
  <c r="AC1427" i="1"/>
  <c r="AD1427" i="1"/>
  <c r="AE1427" i="1"/>
  <c r="R1428" i="1"/>
  <c r="S1428" i="1"/>
  <c r="T1428" i="1"/>
  <c r="U1428" i="1"/>
  <c r="V1428" i="1"/>
  <c r="X1428" i="1"/>
  <c r="Y1428" i="1"/>
  <c r="Z1428" i="1"/>
  <c r="AB1428" i="1"/>
  <c r="AC1428" i="1"/>
  <c r="AD1428" i="1"/>
  <c r="AE1428" i="1"/>
  <c r="R1429" i="1"/>
  <c r="S1429" i="1"/>
  <c r="T1429" i="1"/>
  <c r="U1429" i="1"/>
  <c r="V1429" i="1"/>
  <c r="X1429" i="1"/>
  <c r="Y1429" i="1"/>
  <c r="Z1429" i="1"/>
  <c r="AC1429" i="1"/>
  <c r="AD1429" i="1"/>
  <c r="AE1429" i="1"/>
  <c r="AI1429" i="1"/>
  <c r="AN1429" i="1"/>
  <c r="AO1429" i="1"/>
  <c r="AP1429" i="1"/>
  <c r="AQ1429" i="1"/>
  <c r="AR1429" i="1"/>
  <c r="AS1429" i="1"/>
  <c r="BA1429" i="1"/>
  <c r="BB1429" i="1"/>
  <c r="BD1429" i="1"/>
  <c r="BE1429" i="1"/>
  <c r="BG1429" i="1"/>
  <c r="BH1429" i="1"/>
  <c r="BK1429" i="1"/>
  <c r="EL1429" i="1"/>
  <c r="EN1429" i="1"/>
  <c r="EO1429" i="1"/>
  <c r="ER1429" i="1"/>
  <c r="R1430" i="1"/>
  <c r="S1430" i="1"/>
  <c r="T1430" i="1"/>
  <c r="U1430" i="1"/>
  <c r="V1430" i="1"/>
  <c r="X1430" i="1"/>
  <c r="Y1430" i="1"/>
  <c r="Z1430" i="1"/>
  <c r="AA1430" i="1"/>
  <c r="AB1430" i="1"/>
  <c r="AC1430" i="1"/>
  <c r="AD1430" i="1"/>
  <c r="AE1430" i="1"/>
  <c r="AI1430" i="1"/>
  <c r="AN1430" i="1"/>
  <c r="AO1430" i="1"/>
  <c r="AP1430" i="1"/>
  <c r="AQ1430" i="1"/>
  <c r="AS1430" i="1"/>
  <c r="AZ1430" i="1"/>
  <c r="BB1430" i="1"/>
  <c r="EL1430" i="1"/>
  <c r="EN1430" i="1"/>
  <c r="EO1430" i="1"/>
  <c r="ER1430" i="1"/>
  <c r="R1431" i="1"/>
  <c r="S1431" i="1"/>
  <c r="T1431" i="1"/>
  <c r="U1431" i="1"/>
  <c r="V1431" i="1"/>
  <c r="X1431" i="1"/>
  <c r="Z1431" i="1"/>
  <c r="AA1431" i="1"/>
  <c r="AB1431" i="1"/>
  <c r="AD1431" i="1"/>
  <c r="AE1431" i="1"/>
  <c r="R1432" i="1"/>
  <c r="S1432" i="1"/>
  <c r="T1432" i="1"/>
  <c r="U1432" i="1"/>
  <c r="X1432" i="1"/>
  <c r="Z1432" i="1"/>
  <c r="AA1432" i="1"/>
  <c r="AB1432" i="1"/>
  <c r="AD1432" i="1"/>
  <c r="AE1432" i="1"/>
  <c r="R1433" i="1"/>
  <c r="S1433" i="1"/>
  <c r="T1433" i="1"/>
  <c r="U1433" i="1"/>
  <c r="X1433" i="1"/>
  <c r="Z1433" i="1"/>
  <c r="AA1433" i="1"/>
  <c r="AB1433" i="1"/>
  <c r="AC1433" i="1"/>
  <c r="AD1433" i="1"/>
  <c r="AE1433" i="1"/>
  <c r="R1434" i="1"/>
  <c r="S1434" i="1"/>
  <c r="T1434" i="1"/>
  <c r="U1434" i="1"/>
  <c r="X1434" i="1"/>
  <c r="Z1434" i="1"/>
  <c r="AA1434" i="1"/>
  <c r="AB1434" i="1"/>
  <c r="AD1434" i="1"/>
  <c r="AE1434" i="1"/>
  <c r="R1435" i="1"/>
  <c r="S1435" i="1"/>
  <c r="T1435" i="1"/>
  <c r="U1435" i="1"/>
  <c r="X1435" i="1"/>
  <c r="Y1435" i="1"/>
  <c r="Z1435" i="1"/>
  <c r="AA1435" i="1"/>
  <c r="AB1435" i="1"/>
  <c r="AD1435" i="1"/>
  <c r="AE1435" i="1"/>
  <c r="R1436" i="1"/>
  <c r="S1436" i="1"/>
  <c r="T1436" i="1"/>
  <c r="U1436" i="1"/>
  <c r="X1436" i="1"/>
  <c r="Z1436" i="1"/>
  <c r="AC1436" i="1"/>
  <c r="AD1436" i="1"/>
  <c r="AE1436" i="1"/>
  <c r="R1437" i="1"/>
  <c r="S1437" i="1"/>
  <c r="T1437" i="1"/>
  <c r="U1437" i="1"/>
  <c r="X1437" i="1"/>
  <c r="Z1437" i="1"/>
  <c r="AA1437" i="1"/>
  <c r="AB1437" i="1"/>
  <c r="AC1437" i="1"/>
  <c r="AD1437" i="1"/>
  <c r="AE1437" i="1"/>
  <c r="R1438" i="1"/>
  <c r="S1438" i="1"/>
  <c r="T1438" i="1"/>
  <c r="U1438" i="1"/>
  <c r="X1438" i="1"/>
  <c r="Z1438" i="1"/>
  <c r="AD1438" i="1"/>
  <c r="AE1438" i="1"/>
  <c r="R1439" i="1"/>
  <c r="S1439" i="1"/>
  <c r="T1439" i="1"/>
  <c r="U1439" i="1"/>
  <c r="X1439" i="1"/>
  <c r="Z1439" i="1"/>
  <c r="AD1439" i="1"/>
  <c r="AE1439" i="1"/>
  <c r="R1440" i="1"/>
  <c r="S1440" i="1"/>
  <c r="T1440" i="1"/>
  <c r="U1440" i="1"/>
  <c r="X1440" i="1"/>
  <c r="Z1440" i="1"/>
  <c r="AD1440" i="1"/>
  <c r="AE1440" i="1"/>
  <c r="R1441" i="1"/>
  <c r="S1441" i="1"/>
  <c r="T1441" i="1"/>
  <c r="U1441" i="1"/>
  <c r="X1441" i="1"/>
  <c r="Z1441" i="1"/>
  <c r="AD1441" i="1"/>
  <c r="AE1441" i="1"/>
  <c r="R1442" i="1"/>
  <c r="S1442" i="1"/>
  <c r="T1442" i="1"/>
  <c r="U1442" i="1"/>
  <c r="X1442" i="1"/>
  <c r="Z1442" i="1"/>
  <c r="AD1442" i="1"/>
  <c r="AE1442" i="1"/>
  <c r="R1443" i="1"/>
  <c r="S1443" i="1"/>
  <c r="T1443" i="1"/>
  <c r="U1443" i="1"/>
  <c r="X1443" i="1"/>
  <c r="Z1443" i="1"/>
  <c r="AD1443" i="1"/>
  <c r="AE1443" i="1"/>
  <c r="R1444" i="1"/>
  <c r="S1444" i="1"/>
  <c r="T1444" i="1"/>
  <c r="U1444" i="1"/>
  <c r="X1444" i="1"/>
  <c r="Y1444" i="1"/>
  <c r="Z1444" i="1"/>
  <c r="AA1444" i="1"/>
  <c r="AB1444" i="1"/>
  <c r="AC1444" i="1"/>
  <c r="AD1444" i="1"/>
  <c r="AE1444" i="1"/>
  <c r="R1445" i="1"/>
  <c r="S1445" i="1"/>
  <c r="T1445" i="1"/>
  <c r="U1445" i="1"/>
  <c r="X1445" i="1"/>
  <c r="Z1445" i="1"/>
  <c r="AD1445" i="1"/>
  <c r="AE1445" i="1"/>
  <c r="R1446" i="1"/>
  <c r="S1446" i="1"/>
  <c r="T1446" i="1"/>
  <c r="U1446" i="1"/>
  <c r="X1446" i="1"/>
  <c r="Y1446" i="1"/>
  <c r="Z1446" i="1"/>
  <c r="AA1446" i="1"/>
  <c r="AB1446" i="1"/>
  <c r="AC1446" i="1"/>
  <c r="AD1446" i="1"/>
  <c r="AE1446" i="1"/>
  <c r="BB1446" i="1"/>
  <c r="R1447" i="1"/>
  <c r="S1447" i="1"/>
  <c r="T1447" i="1"/>
  <c r="U1447" i="1"/>
  <c r="V1447" i="1"/>
  <c r="X1447" i="1"/>
  <c r="Y1447" i="1"/>
  <c r="Z1447" i="1"/>
  <c r="AA1447" i="1"/>
  <c r="AB1447" i="1"/>
  <c r="AC1447" i="1"/>
  <c r="AD1447" i="1"/>
  <c r="AE1447" i="1"/>
  <c r="BB1447" i="1"/>
  <c r="R1448" i="1"/>
  <c r="S1448" i="1"/>
  <c r="T1448" i="1"/>
  <c r="U1448" i="1"/>
  <c r="V1448" i="1"/>
  <c r="X1448" i="1"/>
  <c r="Y1448" i="1"/>
  <c r="Z1448" i="1"/>
  <c r="AA1448" i="1"/>
  <c r="AB1448" i="1"/>
  <c r="AC1448" i="1"/>
  <c r="AD1448" i="1"/>
  <c r="AE1448" i="1"/>
  <c r="BB1448" i="1"/>
  <c r="R1449" i="1"/>
  <c r="S1449" i="1"/>
  <c r="T1449" i="1"/>
  <c r="U1449" i="1"/>
  <c r="V1449" i="1"/>
  <c r="X1449" i="1"/>
  <c r="Y1449" i="1"/>
  <c r="Z1449" i="1"/>
  <c r="AA1449" i="1"/>
  <c r="AB1449" i="1"/>
  <c r="AD1449" i="1"/>
  <c r="AE1449" i="1"/>
  <c r="R1450" i="1"/>
  <c r="S1450" i="1"/>
  <c r="T1450" i="1"/>
  <c r="U1450" i="1"/>
  <c r="X1450" i="1"/>
  <c r="Z1450" i="1"/>
  <c r="AA1450" i="1"/>
  <c r="AB1450" i="1"/>
  <c r="AD1450" i="1"/>
  <c r="AE1450" i="1"/>
  <c r="R1451" i="1"/>
  <c r="S1451" i="1"/>
  <c r="T1451" i="1"/>
  <c r="U1451" i="1"/>
  <c r="X1451" i="1"/>
  <c r="Y1451" i="1"/>
  <c r="Z1451" i="1"/>
  <c r="AA1451" i="1"/>
  <c r="AB1451" i="1"/>
  <c r="AD1451" i="1"/>
  <c r="AE1451" i="1"/>
  <c r="R1452" i="1"/>
  <c r="S1452" i="1"/>
  <c r="T1452" i="1"/>
  <c r="U1452" i="1"/>
  <c r="V1452" i="1"/>
  <c r="X1452" i="1"/>
  <c r="Y1452" i="1"/>
  <c r="Z1452" i="1"/>
  <c r="AA1452" i="1"/>
  <c r="AB1452" i="1"/>
  <c r="AC1452" i="1"/>
  <c r="AD1452" i="1"/>
  <c r="AE1452" i="1"/>
  <c r="R1453" i="1"/>
  <c r="S1453" i="1"/>
  <c r="T1453" i="1"/>
  <c r="U1453" i="1"/>
  <c r="X1453" i="1"/>
  <c r="Y1453" i="1"/>
  <c r="Z1453" i="1"/>
  <c r="AC1453" i="1"/>
  <c r="AD1453" i="1"/>
  <c r="AE1453" i="1"/>
  <c r="R1454" i="1"/>
  <c r="S1454" i="1"/>
  <c r="T1454" i="1"/>
  <c r="U1454" i="1"/>
  <c r="X1454" i="1"/>
  <c r="Z1454" i="1"/>
  <c r="AC1454" i="1"/>
  <c r="AD1454" i="1"/>
  <c r="AE1454" i="1"/>
  <c r="R1455" i="1"/>
  <c r="S1455" i="1"/>
  <c r="T1455" i="1"/>
  <c r="U1455" i="1"/>
  <c r="X1455" i="1"/>
  <c r="Z1455" i="1"/>
  <c r="AA1455" i="1"/>
  <c r="AB1455" i="1"/>
  <c r="AC1455" i="1"/>
  <c r="AD1455" i="1"/>
  <c r="AE1455" i="1"/>
  <c r="R1456" i="1"/>
  <c r="S1456" i="1"/>
  <c r="T1456" i="1"/>
  <c r="U1456" i="1"/>
  <c r="V1456" i="1"/>
  <c r="X1456" i="1"/>
  <c r="Y1456" i="1"/>
  <c r="Z1456" i="1"/>
  <c r="AD1456" i="1"/>
  <c r="AE1456" i="1"/>
  <c r="R1457" i="1"/>
  <c r="S1457" i="1"/>
  <c r="T1457" i="1"/>
  <c r="U1457" i="1"/>
  <c r="V1457" i="1"/>
  <c r="X1457" i="1"/>
  <c r="Z1457" i="1"/>
  <c r="AC1457" i="1"/>
  <c r="AD1457" i="1"/>
  <c r="AE1457" i="1"/>
  <c r="R1458" i="1"/>
  <c r="S1458" i="1"/>
  <c r="T1458" i="1"/>
  <c r="U1458" i="1"/>
  <c r="V1458" i="1"/>
  <c r="X1458" i="1"/>
  <c r="Y1458" i="1"/>
  <c r="Z1458" i="1"/>
  <c r="AA1458" i="1"/>
  <c r="AB1458" i="1"/>
  <c r="AC1458" i="1"/>
  <c r="AD1458" i="1"/>
  <c r="AE1458" i="1"/>
  <c r="R1459" i="1"/>
  <c r="S1459" i="1"/>
  <c r="T1459" i="1"/>
  <c r="U1459" i="1"/>
  <c r="X1459" i="1"/>
  <c r="Z1459" i="1"/>
  <c r="AD1459" i="1"/>
  <c r="AE1459" i="1"/>
  <c r="R1460" i="1"/>
  <c r="S1460" i="1"/>
  <c r="T1460" i="1"/>
  <c r="U1460" i="1"/>
  <c r="X1460" i="1"/>
  <c r="Z1460" i="1"/>
  <c r="AD1460" i="1"/>
  <c r="AE1460" i="1"/>
  <c r="R1461" i="1"/>
  <c r="S1461" i="1"/>
  <c r="T1461" i="1"/>
  <c r="U1461" i="1"/>
  <c r="X1461" i="1"/>
  <c r="Z1461" i="1"/>
  <c r="AD1461" i="1"/>
  <c r="AE1461" i="1"/>
  <c r="R1462" i="1"/>
  <c r="S1462" i="1"/>
  <c r="T1462" i="1"/>
  <c r="U1462" i="1"/>
  <c r="X1462" i="1"/>
  <c r="Z1462" i="1"/>
  <c r="AD1462" i="1"/>
  <c r="AE1462" i="1"/>
  <c r="R1463" i="1"/>
  <c r="S1463" i="1"/>
  <c r="T1463" i="1"/>
  <c r="U1463" i="1"/>
  <c r="X1463" i="1"/>
  <c r="Z1463" i="1"/>
  <c r="AD1463" i="1"/>
  <c r="AE1463" i="1"/>
  <c r="R1464" i="1"/>
  <c r="S1464" i="1"/>
  <c r="T1464" i="1"/>
  <c r="U1464" i="1"/>
  <c r="X1464" i="1"/>
  <c r="Z1464" i="1"/>
  <c r="AD1464" i="1"/>
  <c r="AE1464" i="1"/>
  <c r="R1465" i="1"/>
  <c r="S1465" i="1"/>
  <c r="T1465" i="1"/>
  <c r="U1465" i="1"/>
  <c r="X1465" i="1"/>
  <c r="Z1465" i="1"/>
  <c r="AD1465" i="1"/>
  <c r="AE1465" i="1"/>
  <c r="R1466" i="1"/>
  <c r="S1466" i="1"/>
  <c r="T1466" i="1"/>
  <c r="U1466" i="1"/>
  <c r="X1466" i="1"/>
  <c r="Z1466" i="1"/>
  <c r="AD1466" i="1"/>
  <c r="AE1466" i="1"/>
  <c r="R1467" i="1"/>
  <c r="S1467" i="1"/>
  <c r="T1467" i="1"/>
  <c r="U1467" i="1"/>
  <c r="X1467" i="1"/>
  <c r="Y1467" i="1"/>
  <c r="Z1467" i="1"/>
  <c r="AC1467" i="1"/>
  <c r="AD1467" i="1"/>
  <c r="AE1467" i="1"/>
  <c r="R1468" i="1"/>
  <c r="S1468" i="1"/>
  <c r="T1468" i="1"/>
  <c r="U1468" i="1"/>
  <c r="V1468" i="1"/>
  <c r="X1468" i="1"/>
  <c r="Z1468" i="1"/>
  <c r="AB1468" i="1"/>
  <c r="AD1468" i="1"/>
  <c r="AE1468" i="1"/>
  <c r="R1469" i="1"/>
  <c r="S1469" i="1"/>
  <c r="T1469" i="1"/>
  <c r="U1469" i="1"/>
  <c r="V1469" i="1"/>
  <c r="X1469" i="1"/>
  <c r="Z1469" i="1"/>
  <c r="AD1469" i="1"/>
  <c r="AE1469" i="1"/>
  <c r="R1470" i="1"/>
  <c r="S1470" i="1"/>
  <c r="T1470" i="1"/>
  <c r="U1470" i="1"/>
  <c r="V1470" i="1"/>
  <c r="X1470" i="1"/>
  <c r="Z1470" i="1"/>
  <c r="AD1470" i="1"/>
  <c r="AE1470" i="1"/>
  <c r="R1471" i="1"/>
  <c r="S1471" i="1"/>
  <c r="T1471" i="1"/>
  <c r="U1471" i="1"/>
  <c r="X1471" i="1"/>
  <c r="Y1471" i="1"/>
  <c r="Z1471" i="1"/>
  <c r="AC1471" i="1"/>
  <c r="AD1471" i="1"/>
  <c r="AE1471" i="1"/>
  <c r="R1472" i="1"/>
  <c r="S1472" i="1"/>
  <c r="T1472" i="1"/>
  <c r="U1472" i="1"/>
  <c r="V1472" i="1"/>
  <c r="X1472" i="1"/>
  <c r="Y1472" i="1"/>
  <c r="Z1472" i="1"/>
  <c r="AA1472" i="1"/>
  <c r="AB1472" i="1"/>
  <c r="AC1472" i="1"/>
  <c r="AD1472" i="1"/>
  <c r="AE1472" i="1"/>
  <c r="R1473" i="1"/>
  <c r="S1473" i="1"/>
  <c r="T1473" i="1"/>
  <c r="U1473" i="1"/>
  <c r="X1473" i="1"/>
  <c r="Y1473" i="1"/>
  <c r="Z1473" i="1"/>
  <c r="AA1473" i="1"/>
  <c r="AB1473" i="1"/>
  <c r="AC1473" i="1"/>
  <c r="AD1473" i="1"/>
  <c r="AE1473" i="1"/>
  <c r="R1474" i="1"/>
  <c r="S1474" i="1"/>
  <c r="T1474" i="1"/>
  <c r="U1474" i="1"/>
  <c r="V1474" i="1"/>
  <c r="X1474" i="1"/>
  <c r="Y1474" i="1"/>
  <c r="Z1474" i="1"/>
  <c r="AA1474" i="1"/>
  <c r="AB1474" i="1"/>
  <c r="AC1474" i="1"/>
  <c r="AD1474" i="1"/>
  <c r="AE1474" i="1"/>
  <c r="R1475" i="1"/>
  <c r="S1475" i="1"/>
  <c r="T1475" i="1"/>
  <c r="U1475" i="1"/>
  <c r="X1475" i="1"/>
  <c r="Y1475" i="1"/>
  <c r="Z1475" i="1"/>
  <c r="AA1475" i="1"/>
  <c r="AB1475" i="1"/>
  <c r="AC1475" i="1"/>
  <c r="AD1475" i="1"/>
  <c r="AE1475" i="1"/>
  <c r="R1476" i="1"/>
  <c r="S1476" i="1"/>
  <c r="T1476" i="1"/>
  <c r="U1476" i="1"/>
  <c r="X1476" i="1"/>
  <c r="Y1476" i="1"/>
  <c r="Z1476" i="1"/>
  <c r="AA1476" i="1"/>
  <c r="AB1476" i="1"/>
  <c r="AC1476" i="1"/>
  <c r="AD1476" i="1"/>
  <c r="AE1476" i="1"/>
  <c r="R1477" i="1"/>
  <c r="S1477" i="1"/>
  <c r="T1477" i="1"/>
  <c r="U1477" i="1"/>
  <c r="X1477" i="1"/>
  <c r="Z1477" i="1"/>
  <c r="AA1477" i="1"/>
  <c r="AB1477" i="1"/>
  <c r="AC1477" i="1"/>
  <c r="AD1477" i="1"/>
  <c r="AE1477" i="1"/>
  <c r="R1478" i="1"/>
  <c r="S1478" i="1"/>
  <c r="T1478" i="1"/>
  <c r="U1478" i="1"/>
  <c r="X1478" i="1"/>
  <c r="Y1478" i="1"/>
  <c r="Z1478" i="1"/>
  <c r="AD1478" i="1"/>
  <c r="AE1478" i="1"/>
  <c r="R1479" i="1"/>
  <c r="S1479" i="1"/>
  <c r="T1479" i="1"/>
  <c r="U1479" i="1"/>
  <c r="X1479" i="1"/>
  <c r="Y1479" i="1"/>
  <c r="Z1479" i="1"/>
  <c r="AD1479" i="1"/>
  <c r="AE1479" i="1"/>
  <c r="R1480" i="1"/>
  <c r="S1480" i="1"/>
  <c r="T1480" i="1"/>
  <c r="U1480" i="1"/>
  <c r="X1480" i="1"/>
  <c r="Z1480" i="1"/>
  <c r="AA1480" i="1"/>
  <c r="AB1480" i="1"/>
  <c r="AD1480" i="1"/>
  <c r="AE1480" i="1"/>
  <c r="R1481" i="1"/>
  <c r="S1481" i="1"/>
  <c r="T1481" i="1"/>
  <c r="U1481" i="1"/>
  <c r="V1481" i="1"/>
  <c r="X1481" i="1"/>
  <c r="Y1481" i="1"/>
  <c r="Z1481" i="1"/>
  <c r="AA1481" i="1"/>
  <c r="AB1481" i="1"/>
  <c r="AD1481" i="1"/>
  <c r="AE1481" i="1"/>
  <c r="R1482" i="1"/>
  <c r="S1482" i="1"/>
  <c r="T1482" i="1"/>
  <c r="U1482" i="1"/>
  <c r="X1482" i="1"/>
  <c r="Z1482" i="1"/>
  <c r="AD1482" i="1"/>
  <c r="AE1482" i="1"/>
  <c r="R1483" i="1"/>
  <c r="S1483" i="1"/>
  <c r="T1483" i="1"/>
  <c r="U1483" i="1"/>
  <c r="X1483" i="1"/>
  <c r="Y1483" i="1"/>
  <c r="Z1483" i="1"/>
  <c r="AD1483" i="1"/>
  <c r="AE1483" i="1"/>
  <c r="R1484" i="1"/>
  <c r="S1484" i="1"/>
  <c r="T1484" i="1"/>
  <c r="U1484" i="1"/>
  <c r="V1484" i="1"/>
  <c r="X1484" i="1"/>
  <c r="Y1484" i="1"/>
  <c r="Z1484" i="1"/>
  <c r="AD1484" i="1"/>
  <c r="AE1484" i="1"/>
  <c r="R1485" i="1"/>
  <c r="S1485" i="1"/>
  <c r="T1485" i="1"/>
  <c r="U1485" i="1"/>
  <c r="V1485" i="1"/>
  <c r="X1485" i="1"/>
  <c r="Y1485" i="1"/>
  <c r="Z1485" i="1"/>
  <c r="AA1485" i="1"/>
  <c r="AB1485" i="1"/>
  <c r="AC1485" i="1"/>
  <c r="AD1485" i="1"/>
  <c r="AE1485" i="1"/>
  <c r="BB1485" i="1"/>
  <c r="R1486" i="1"/>
  <c r="S1486" i="1"/>
  <c r="T1486" i="1"/>
  <c r="U1486" i="1"/>
  <c r="V1486" i="1"/>
  <c r="X1486" i="1"/>
  <c r="Y1486" i="1"/>
  <c r="Z1486" i="1"/>
  <c r="AA1486" i="1"/>
  <c r="AB1486" i="1"/>
  <c r="AC1486" i="1"/>
  <c r="AD1486" i="1"/>
  <c r="AE1486" i="1"/>
  <c r="R1487" i="1"/>
  <c r="S1487" i="1"/>
  <c r="T1487" i="1"/>
  <c r="U1487" i="1"/>
  <c r="X1487" i="1"/>
  <c r="Y1487" i="1"/>
  <c r="Z1487" i="1"/>
  <c r="AD1487" i="1"/>
  <c r="AE1487" i="1"/>
  <c r="R1488" i="1"/>
  <c r="S1488" i="1"/>
  <c r="T1488" i="1"/>
  <c r="U1488" i="1"/>
  <c r="X1488" i="1"/>
  <c r="Y1488" i="1"/>
  <c r="Z1488" i="1"/>
  <c r="AA1488" i="1"/>
  <c r="AB1488" i="1"/>
  <c r="AC1488" i="1"/>
  <c r="AD1488" i="1"/>
  <c r="AE1488" i="1"/>
  <c r="R1489" i="1"/>
  <c r="S1489" i="1"/>
  <c r="T1489" i="1"/>
  <c r="U1489" i="1"/>
  <c r="X1489" i="1"/>
  <c r="Z1489" i="1"/>
  <c r="AA1489" i="1"/>
  <c r="AB1489" i="1"/>
  <c r="AC1489" i="1"/>
  <c r="AD1489" i="1"/>
  <c r="AE1489" i="1"/>
  <c r="R1490" i="1"/>
  <c r="S1490" i="1"/>
  <c r="T1490" i="1"/>
  <c r="U1490" i="1"/>
  <c r="X1490" i="1"/>
  <c r="Z1490" i="1"/>
  <c r="AA1490" i="1"/>
  <c r="AB1490" i="1"/>
  <c r="AD1490" i="1"/>
  <c r="AE1490" i="1"/>
  <c r="R1491" i="1"/>
  <c r="S1491" i="1"/>
  <c r="T1491" i="1"/>
  <c r="U1491" i="1"/>
  <c r="X1491" i="1"/>
  <c r="Z1491" i="1"/>
  <c r="AA1491" i="1"/>
  <c r="AB1491" i="1"/>
  <c r="AD1491" i="1"/>
  <c r="AE1491" i="1"/>
  <c r="R1492" i="1"/>
  <c r="S1492" i="1"/>
  <c r="T1492" i="1"/>
  <c r="U1492" i="1"/>
  <c r="X1492" i="1"/>
  <c r="Y1492" i="1"/>
  <c r="Z1492" i="1"/>
  <c r="AA1492" i="1"/>
  <c r="AB1492" i="1"/>
  <c r="AD1492" i="1"/>
  <c r="AE1492" i="1"/>
  <c r="R1493" i="1"/>
  <c r="S1493" i="1"/>
  <c r="T1493" i="1"/>
  <c r="U1493" i="1"/>
  <c r="V1493" i="1"/>
  <c r="X1493" i="1"/>
  <c r="Z1493" i="1"/>
  <c r="AD1493" i="1"/>
  <c r="AE1493" i="1"/>
  <c r="R1494" i="1"/>
  <c r="S1494" i="1"/>
  <c r="T1494" i="1"/>
  <c r="U1494" i="1"/>
  <c r="X1494" i="1"/>
  <c r="Y1494" i="1"/>
  <c r="Z1494" i="1"/>
  <c r="AA1494" i="1"/>
  <c r="AB1494" i="1"/>
  <c r="AC1494" i="1"/>
  <c r="AD1494" i="1"/>
  <c r="AE1494" i="1"/>
  <c r="R1495" i="1"/>
  <c r="S1495" i="1"/>
  <c r="T1495" i="1"/>
  <c r="U1495" i="1"/>
  <c r="V1495" i="1"/>
  <c r="X1495" i="1"/>
  <c r="Y1495" i="1"/>
  <c r="Z1495" i="1"/>
  <c r="AA1495" i="1"/>
  <c r="AB1495" i="1"/>
  <c r="AC1495" i="1"/>
  <c r="AD1495" i="1"/>
  <c r="AE1495" i="1"/>
  <c r="R1496" i="1"/>
  <c r="S1496" i="1"/>
  <c r="T1496" i="1"/>
  <c r="U1496" i="1"/>
  <c r="X1496" i="1"/>
  <c r="Z1496" i="1"/>
  <c r="AA1496" i="1"/>
  <c r="AB1496" i="1"/>
  <c r="AD1496" i="1"/>
  <c r="AE1496" i="1"/>
  <c r="R1497" i="1"/>
  <c r="S1497" i="1"/>
  <c r="T1497" i="1"/>
  <c r="U1497" i="1"/>
  <c r="X1497" i="1"/>
  <c r="Z1497" i="1"/>
  <c r="AC1497" i="1"/>
  <c r="AD1497" i="1"/>
  <c r="AE1497" i="1"/>
  <c r="R1498" i="1"/>
  <c r="S1498" i="1"/>
  <c r="T1498" i="1"/>
  <c r="U1498" i="1"/>
  <c r="V1498" i="1"/>
  <c r="X1498" i="1"/>
  <c r="Z1498" i="1"/>
  <c r="AD1498" i="1"/>
  <c r="AE1498" i="1"/>
  <c r="R1499" i="1"/>
  <c r="S1499" i="1"/>
  <c r="T1499" i="1"/>
  <c r="U1499" i="1"/>
  <c r="V1499" i="1"/>
  <c r="X1499" i="1"/>
  <c r="Z1499" i="1"/>
  <c r="AC1499" i="1"/>
  <c r="AD1499" i="1"/>
  <c r="AE1499" i="1"/>
  <c r="R1500" i="1"/>
  <c r="S1500" i="1"/>
  <c r="T1500" i="1"/>
  <c r="U1500" i="1"/>
  <c r="X1500" i="1"/>
  <c r="Z1500" i="1"/>
  <c r="AD1500" i="1"/>
  <c r="AE1500" i="1"/>
  <c r="R1501" i="1"/>
  <c r="S1501" i="1"/>
  <c r="T1501" i="1"/>
  <c r="U1501" i="1"/>
  <c r="V1501" i="1"/>
  <c r="X1501" i="1"/>
  <c r="Z1501" i="1"/>
  <c r="AD1501" i="1"/>
  <c r="AE1501" i="1"/>
  <c r="R1502" i="1"/>
  <c r="S1502" i="1"/>
  <c r="T1502" i="1"/>
  <c r="U1502" i="1"/>
  <c r="V1502" i="1"/>
  <c r="X1502" i="1"/>
  <c r="Y1502" i="1"/>
  <c r="Z1502" i="1"/>
  <c r="AC1502" i="1"/>
  <c r="AD1502" i="1"/>
  <c r="AE1502" i="1"/>
  <c r="R1503" i="1"/>
  <c r="S1503" i="1"/>
  <c r="T1503" i="1"/>
  <c r="U1503" i="1"/>
  <c r="X1503" i="1"/>
  <c r="Y1503" i="1"/>
  <c r="Z1503" i="1"/>
  <c r="AA1503" i="1"/>
  <c r="AB1503" i="1"/>
  <c r="AC1503" i="1"/>
  <c r="AD1503" i="1"/>
  <c r="AE1503" i="1"/>
  <c r="R1504" i="1"/>
  <c r="S1504" i="1"/>
  <c r="T1504" i="1"/>
  <c r="U1504" i="1"/>
  <c r="X1504" i="1"/>
  <c r="Z1504" i="1"/>
  <c r="AD1504" i="1"/>
  <c r="AE1504" i="1"/>
  <c r="AN1504" i="1"/>
  <c r="AO1504" i="1"/>
  <c r="AP1504" i="1"/>
  <c r="AQ1504" i="1"/>
  <c r="AR1504" i="1"/>
  <c r="AS1504" i="1"/>
  <c r="BA1504" i="1"/>
  <c r="BE1504" i="1"/>
  <c r="BK1504" i="1"/>
  <c r="EL1504" i="1"/>
  <c r="EM1504" i="1"/>
  <c r="EN1504" i="1"/>
  <c r="EO1504" i="1"/>
  <c r="ER1504" i="1"/>
  <c r="R1505" i="1"/>
  <c r="S1505" i="1"/>
  <c r="T1505" i="1"/>
  <c r="U1505" i="1"/>
  <c r="X1505" i="1"/>
  <c r="Z1505" i="1"/>
  <c r="AD1505" i="1"/>
  <c r="AE1505" i="1"/>
  <c r="R1506" i="1"/>
  <c r="S1506" i="1"/>
  <c r="T1506" i="1"/>
  <c r="U1506" i="1"/>
  <c r="V1506" i="1"/>
  <c r="X1506" i="1"/>
  <c r="Y1506" i="1"/>
  <c r="Z1506" i="1"/>
  <c r="AA1506" i="1"/>
  <c r="AB1506" i="1"/>
  <c r="AC1506" i="1"/>
  <c r="AD1506" i="1"/>
  <c r="AE1506" i="1"/>
  <c r="R1507" i="1"/>
  <c r="S1507" i="1"/>
  <c r="T1507" i="1"/>
  <c r="U1507" i="1"/>
  <c r="X1507" i="1"/>
  <c r="Y1507" i="1"/>
  <c r="Z1507" i="1"/>
  <c r="AA1507" i="1"/>
  <c r="AB1507" i="1"/>
  <c r="AD1507" i="1"/>
  <c r="AE1507" i="1"/>
  <c r="R1508" i="1"/>
  <c r="S1508" i="1"/>
  <c r="T1508" i="1"/>
  <c r="U1508" i="1"/>
  <c r="X1508" i="1"/>
  <c r="Y1508" i="1"/>
  <c r="Z1508" i="1"/>
  <c r="AA1508" i="1"/>
  <c r="AB1508" i="1"/>
  <c r="AC1508" i="1"/>
  <c r="AD1508" i="1"/>
  <c r="AE1508" i="1"/>
  <c r="R1509" i="1"/>
  <c r="S1509" i="1"/>
  <c r="T1509" i="1"/>
  <c r="U1509" i="1"/>
  <c r="X1509" i="1"/>
  <c r="Z1509" i="1"/>
  <c r="AA1509" i="1"/>
  <c r="AB1509" i="1"/>
  <c r="AD1509" i="1"/>
  <c r="AE1509" i="1"/>
  <c r="R1510" i="1"/>
  <c r="S1510" i="1"/>
  <c r="T1510" i="1"/>
  <c r="U1510" i="1"/>
  <c r="X1510" i="1"/>
  <c r="Z1510" i="1"/>
  <c r="AA1510" i="1"/>
  <c r="AB1510" i="1"/>
  <c r="AD1510" i="1"/>
  <c r="AE1510" i="1"/>
  <c r="R1511" i="1"/>
  <c r="S1511" i="1"/>
  <c r="T1511" i="1"/>
  <c r="U1511" i="1"/>
  <c r="V1511" i="1"/>
  <c r="X1511" i="1"/>
  <c r="Y1511" i="1"/>
  <c r="Z1511" i="1"/>
  <c r="AA1511" i="1"/>
  <c r="AB1511" i="1"/>
  <c r="AC1511" i="1"/>
  <c r="AD1511" i="1"/>
  <c r="AE1511" i="1"/>
  <c r="R1512" i="1"/>
  <c r="S1512" i="1"/>
  <c r="T1512" i="1"/>
  <c r="U1512" i="1"/>
  <c r="V1512" i="1"/>
  <c r="X1512" i="1"/>
  <c r="Z1512" i="1"/>
  <c r="AD1512" i="1"/>
  <c r="AE1512" i="1"/>
  <c r="R1513" i="1"/>
  <c r="S1513" i="1"/>
  <c r="T1513" i="1"/>
  <c r="U1513" i="1"/>
  <c r="V1513" i="1"/>
  <c r="X1513" i="1"/>
  <c r="Z1513" i="1"/>
  <c r="AC1513" i="1"/>
  <c r="AD1513" i="1"/>
  <c r="AE1513" i="1"/>
  <c r="R1514" i="1"/>
  <c r="S1514" i="1"/>
  <c r="T1514" i="1"/>
  <c r="U1514" i="1"/>
  <c r="X1514" i="1"/>
  <c r="Z1514" i="1"/>
  <c r="AC1514" i="1"/>
  <c r="AD1514" i="1"/>
  <c r="AE1514" i="1"/>
  <c r="R1515" i="1"/>
  <c r="S1515" i="1"/>
  <c r="T1515" i="1"/>
  <c r="U1515" i="1"/>
  <c r="V1515" i="1"/>
  <c r="X1515" i="1"/>
  <c r="Z1515" i="1"/>
  <c r="AD1515" i="1"/>
  <c r="AE1515" i="1"/>
  <c r="AM1515" i="1"/>
  <c r="AN1515" i="1"/>
  <c r="AO1515" i="1"/>
  <c r="AP1515" i="1"/>
  <c r="AQ1515" i="1"/>
  <c r="AS1515" i="1"/>
  <c r="BE1515" i="1"/>
  <c r="BH1515" i="1"/>
  <c r="BK1515" i="1"/>
  <c r="EL1515" i="1"/>
  <c r="EN1515" i="1"/>
  <c r="EO1515" i="1"/>
  <c r="ER1515" i="1"/>
  <c r="R1516" i="1"/>
  <c r="S1516" i="1"/>
  <c r="T1516" i="1"/>
  <c r="U1516" i="1"/>
  <c r="X1516" i="1"/>
  <c r="Y1516" i="1"/>
  <c r="Z1516" i="1"/>
  <c r="AA1516" i="1"/>
  <c r="AB1516" i="1"/>
  <c r="AC1516" i="1"/>
  <c r="AD1516" i="1"/>
  <c r="AE1516" i="1"/>
  <c r="BB1516" i="1"/>
  <c r="R1517" i="1"/>
  <c r="S1517" i="1"/>
  <c r="T1517" i="1"/>
  <c r="U1517" i="1"/>
  <c r="X1517" i="1"/>
  <c r="Y1517" i="1"/>
  <c r="Z1517" i="1"/>
  <c r="AC1517" i="1"/>
  <c r="AD1517" i="1"/>
  <c r="AE1517" i="1"/>
  <c r="R1518" i="1"/>
  <c r="S1518" i="1"/>
  <c r="T1518" i="1"/>
  <c r="U1518" i="1"/>
  <c r="V1518" i="1"/>
  <c r="X1518" i="1"/>
  <c r="Y1518" i="1"/>
  <c r="Z1518" i="1"/>
  <c r="AA1518" i="1"/>
  <c r="AB1518" i="1"/>
  <c r="AC1518" i="1"/>
  <c r="AD1518" i="1"/>
  <c r="AE1518" i="1"/>
  <c r="BB1518" i="1"/>
  <c r="R1519" i="1"/>
  <c r="S1519" i="1"/>
  <c r="T1519" i="1"/>
  <c r="U1519" i="1"/>
  <c r="X1519" i="1"/>
  <c r="Y1519" i="1"/>
  <c r="Z1519" i="1"/>
  <c r="AC1519" i="1"/>
  <c r="AD1519" i="1"/>
  <c r="AE1519" i="1"/>
  <c r="R1520" i="1"/>
  <c r="S1520" i="1"/>
  <c r="T1520" i="1"/>
  <c r="U1520" i="1"/>
  <c r="V1520" i="1"/>
  <c r="X1520" i="1"/>
  <c r="Z1520" i="1"/>
  <c r="AD1520" i="1"/>
  <c r="AE1520" i="1"/>
  <c r="R1521" i="1"/>
  <c r="S1521" i="1"/>
  <c r="T1521" i="1"/>
  <c r="U1521" i="1"/>
  <c r="X1521" i="1"/>
  <c r="Y1521" i="1"/>
  <c r="Z1521" i="1"/>
  <c r="AA1521" i="1"/>
  <c r="AB1521" i="1"/>
  <c r="AD1521" i="1"/>
  <c r="AE1521" i="1"/>
  <c r="R1522" i="1"/>
  <c r="S1522" i="1"/>
  <c r="T1522" i="1"/>
  <c r="U1522" i="1"/>
  <c r="X1522" i="1"/>
  <c r="Y1522" i="1"/>
  <c r="Z1522" i="1"/>
  <c r="AA1522" i="1"/>
  <c r="AB1522" i="1"/>
  <c r="AC1522" i="1"/>
  <c r="AD1522" i="1"/>
  <c r="AE1522" i="1"/>
  <c r="R1523" i="1"/>
  <c r="S1523" i="1"/>
  <c r="T1523" i="1"/>
  <c r="U1523" i="1"/>
  <c r="V1523" i="1"/>
  <c r="X1523" i="1"/>
  <c r="Z1523" i="1"/>
  <c r="AB1523" i="1"/>
  <c r="AD1523" i="1"/>
  <c r="AE1523" i="1"/>
  <c r="R1524" i="1"/>
  <c r="S1524" i="1"/>
  <c r="T1524" i="1"/>
  <c r="U1524" i="1"/>
  <c r="X1524" i="1"/>
  <c r="Y1524" i="1"/>
  <c r="Z1524" i="1"/>
  <c r="AD1524" i="1"/>
  <c r="AE1524" i="1"/>
  <c r="R1525" i="1"/>
  <c r="S1525" i="1"/>
  <c r="T1525" i="1"/>
  <c r="U1525" i="1"/>
  <c r="X1525" i="1"/>
  <c r="Z1525" i="1"/>
  <c r="AA1525" i="1"/>
  <c r="AB1525" i="1"/>
  <c r="AD1525" i="1"/>
  <c r="AE1525" i="1"/>
  <c r="AN1525" i="1"/>
  <c r="AO1525" i="1"/>
  <c r="AP1525" i="1"/>
  <c r="AS1525" i="1"/>
  <c r="R1526" i="1"/>
  <c r="S1526" i="1"/>
  <c r="T1526" i="1"/>
  <c r="U1526" i="1"/>
  <c r="X1526" i="1"/>
  <c r="Z1526" i="1"/>
  <c r="AC1526" i="1"/>
  <c r="AD1526" i="1"/>
  <c r="AE1526" i="1"/>
  <c r="R1527" i="1"/>
  <c r="S1527" i="1"/>
  <c r="T1527" i="1"/>
  <c r="U1527" i="1"/>
  <c r="X1527" i="1"/>
  <c r="Y1527" i="1"/>
  <c r="Z1527" i="1"/>
  <c r="AA1527" i="1"/>
  <c r="AB1527" i="1"/>
  <c r="AD1527" i="1"/>
  <c r="AE1527" i="1"/>
  <c r="R1528" i="1"/>
  <c r="S1528" i="1"/>
  <c r="T1528" i="1"/>
  <c r="U1528" i="1"/>
  <c r="X1528" i="1"/>
  <c r="Z1528" i="1"/>
  <c r="AD1528" i="1"/>
  <c r="AE1528" i="1"/>
  <c r="R1529" i="1"/>
  <c r="S1529" i="1"/>
  <c r="T1529" i="1"/>
  <c r="U1529" i="1"/>
  <c r="X1529" i="1"/>
  <c r="Z1529" i="1"/>
  <c r="AD1529" i="1"/>
  <c r="AE1529" i="1"/>
  <c r="R1530" i="1"/>
  <c r="S1530" i="1"/>
  <c r="T1530" i="1"/>
  <c r="U1530" i="1"/>
  <c r="X1530" i="1"/>
  <c r="Z1530" i="1"/>
  <c r="AB1530" i="1"/>
  <c r="AD1530" i="1"/>
  <c r="AE1530" i="1"/>
  <c r="R1531" i="1"/>
  <c r="S1531" i="1"/>
  <c r="T1531" i="1"/>
  <c r="U1531" i="1"/>
  <c r="X1531" i="1"/>
  <c r="Z1531" i="1"/>
  <c r="AD1531" i="1"/>
  <c r="AE1531" i="1"/>
  <c r="R1532" i="1"/>
  <c r="S1532" i="1"/>
  <c r="T1532" i="1"/>
  <c r="U1532" i="1"/>
  <c r="X1532" i="1"/>
  <c r="Z1532" i="1"/>
  <c r="AD1532" i="1"/>
  <c r="AE1532" i="1"/>
  <c r="R1533" i="1"/>
  <c r="S1533" i="1"/>
  <c r="T1533" i="1"/>
  <c r="U1533" i="1"/>
  <c r="X1533" i="1"/>
  <c r="Y1533" i="1"/>
  <c r="Z1533" i="1"/>
  <c r="AD1533" i="1"/>
  <c r="AE1533" i="1"/>
  <c r="R1534" i="1"/>
  <c r="S1534" i="1"/>
  <c r="T1534" i="1"/>
  <c r="U1534" i="1"/>
  <c r="X1534" i="1"/>
  <c r="Z1534" i="1"/>
  <c r="AB1534" i="1"/>
  <c r="AD1534" i="1"/>
  <c r="AE1534" i="1"/>
  <c r="R1535" i="1"/>
  <c r="S1535" i="1"/>
  <c r="T1535" i="1"/>
  <c r="U1535" i="1"/>
  <c r="X1535" i="1"/>
  <c r="Y1535" i="1"/>
  <c r="Z1535" i="1"/>
  <c r="AB1535" i="1"/>
  <c r="AD1535" i="1"/>
  <c r="AE1535" i="1"/>
  <c r="R1536" i="1"/>
  <c r="S1536" i="1"/>
  <c r="T1536" i="1"/>
  <c r="U1536" i="1"/>
  <c r="X1536" i="1"/>
  <c r="Z1536" i="1"/>
  <c r="AC1536" i="1"/>
  <c r="AD1536" i="1"/>
  <c r="AE1536" i="1"/>
  <c r="R1537" i="1"/>
  <c r="S1537" i="1"/>
  <c r="T1537" i="1"/>
  <c r="U1537" i="1"/>
  <c r="V1537" i="1"/>
  <c r="X1537" i="1"/>
  <c r="Y1537" i="1"/>
  <c r="Z1537" i="1"/>
  <c r="AD1537" i="1"/>
  <c r="AE1537" i="1"/>
  <c r="R1538" i="1"/>
  <c r="S1538" i="1"/>
  <c r="T1538" i="1"/>
  <c r="U1538" i="1"/>
  <c r="W1538" i="1"/>
  <c r="X1538" i="1"/>
  <c r="Z1538" i="1"/>
  <c r="AD1538" i="1"/>
  <c r="AE1538" i="1"/>
  <c r="R1539" i="1"/>
  <c r="S1539" i="1"/>
  <c r="T1539" i="1"/>
  <c r="U1539" i="1"/>
  <c r="V1539" i="1"/>
  <c r="X1539" i="1"/>
  <c r="Z1539" i="1"/>
  <c r="AD1539" i="1"/>
  <c r="AE1539" i="1"/>
  <c r="R1540" i="1"/>
  <c r="S1540" i="1"/>
  <c r="T1540" i="1"/>
  <c r="U1540" i="1"/>
  <c r="V1540" i="1"/>
  <c r="X1540" i="1"/>
  <c r="Z1540" i="1"/>
  <c r="AB1540" i="1"/>
  <c r="AC1540" i="1"/>
  <c r="AD1540" i="1"/>
  <c r="AE1540" i="1"/>
  <c r="R1541" i="1"/>
  <c r="S1541" i="1"/>
  <c r="T1541" i="1"/>
  <c r="U1541" i="1"/>
  <c r="X1541" i="1"/>
  <c r="Y1541" i="1"/>
  <c r="Z1541" i="1"/>
  <c r="AA1541" i="1"/>
  <c r="AB1541" i="1"/>
  <c r="AC1541" i="1"/>
  <c r="AD1541" i="1"/>
  <c r="AE1541" i="1"/>
  <c r="BB1541" i="1"/>
  <c r="R1542" i="1"/>
  <c r="S1542" i="1"/>
  <c r="T1542" i="1"/>
  <c r="U1542" i="1"/>
  <c r="V1542" i="1"/>
  <c r="X1542" i="1"/>
  <c r="Y1542" i="1"/>
  <c r="Z1542" i="1"/>
  <c r="AA1542" i="1"/>
  <c r="AB1542" i="1"/>
  <c r="AC1542" i="1"/>
  <c r="AD1542" i="1"/>
  <c r="AE1542" i="1"/>
  <c r="R1543" i="1"/>
  <c r="S1543" i="1"/>
  <c r="T1543" i="1"/>
  <c r="U1543" i="1"/>
  <c r="X1543" i="1"/>
  <c r="Y1543" i="1"/>
  <c r="Z1543" i="1"/>
  <c r="AC1543" i="1"/>
  <c r="AD1543" i="1"/>
  <c r="AE1543" i="1"/>
  <c r="R1544" i="1"/>
  <c r="S1544" i="1"/>
  <c r="T1544" i="1"/>
  <c r="U1544" i="1"/>
  <c r="X1544" i="1"/>
  <c r="Z1544" i="1"/>
  <c r="AC1544" i="1"/>
  <c r="AD1544" i="1"/>
  <c r="AE1544" i="1"/>
  <c r="R1545" i="1"/>
  <c r="S1545" i="1"/>
  <c r="T1545" i="1"/>
  <c r="U1545" i="1"/>
  <c r="X1545" i="1"/>
  <c r="Z1545" i="1"/>
  <c r="AD1545" i="1"/>
  <c r="AE1545" i="1"/>
  <c r="R1546" i="1"/>
  <c r="S1546" i="1"/>
  <c r="T1546" i="1"/>
  <c r="U1546" i="1"/>
  <c r="V1546" i="1"/>
  <c r="X1546" i="1"/>
  <c r="Y1546" i="1"/>
  <c r="Z1546" i="1"/>
  <c r="AC1546" i="1"/>
  <c r="AD1546" i="1"/>
  <c r="AE1546" i="1"/>
  <c r="R1547" i="1"/>
  <c r="S1547" i="1"/>
  <c r="T1547" i="1"/>
  <c r="U1547" i="1"/>
  <c r="X1547" i="1"/>
  <c r="Y1547" i="1"/>
  <c r="Z1547" i="1"/>
  <c r="AA1547" i="1"/>
  <c r="AB1547" i="1"/>
  <c r="AD1547" i="1"/>
  <c r="AE1547" i="1"/>
  <c r="R1548" i="1"/>
  <c r="S1548" i="1"/>
  <c r="T1548" i="1"/>
  <c r="U1548" i="1"/>
  <c r="V1548" i="1"/>
  <c r="X1548" i="1"/>
  <c r="Z1548" i="1"/>
  <c r="AC1548" i="1"/>
  <c r="AD1548" i="1"/>
  <c r="AE1548" i="1"/>
  <c r="R1549" i="1"/>
  <c r="S1549" i="1"/>
  <c r="T1549" i="1"/>
  <c r="U1549" i="1"/>
  <c r="X1549" i="1"/>
  <c r="Z1549" i="1"/>
  <c r="AA1549" i="1"/>
  <c r="AB1549" i="1"/>
  <c r="AD1549" i="1"/>
  <c r="AE1549" i="1"/>
  <c r="R1550" i="1"/>
  <c r="S1550" i="1"/>
  <c r="T1550" i="1"/>
  <c r="U1550" i="1"/>
  <c r="V1550" i="1"/>
  <c r="X1550" i="1"/>
  <c r="Y1550" i="1"/>
  <c r="Z1550" i="1"/>
  <c r="AD1550" i="1"/>
  <c r="AE1550" i="1"/>
  <c r="R1551" i="1"/>
  <c r="S1551" i="1"/>
  <c r="T1551" i="1"/>
  <c r="U1551" i="1"/>
  <c r="V1551" i="1"/>
  <c r="X1551" i="1"/>
  <c r="Y1551" i="1"/>
  <c r="Z1551" i="1"/>
  <c r="AC1551" i="1"/>
  <c r="AD1551" i="1"/>
  <c r="AE1551" i="1"/>
  <c r="R1552" i="1"/>
  <c r="S1552" i="1"/>
  <c r="T1552" i="1"/>
  <c r="U1552" i="1"/>
  <c r="V1552" i="1"/>
  <c r="W1552" i="1"/>
  <c r="X1552" i="1"/>
  <c r="Z1552" i="1"/>
  <c r="AD1552" i="1"/>
  <c r="AE1552" i="1"/>
  <c r="R1553" i="1"/>
  <c r="S1553" i="1"/>
  <c r="T1553" i="1"/>
  <c r="U1553" i="1"/>
  <c r="X1553" i="1"/>
  <c r="Z1553" i="1"/>
  <c r="AC1553" i="1"/>
  <c r="AD1553" i="1"/>
  <c r="AE1553" i="1"/>
  <c r="R1554" i="1"/>
  <c r="S1554" i="1"/>
  <c r="T1554" i="1"/>
  <c r="U1554" i="1"/>
  <c r="V1554" i="1"/>
  <c r="X1554" i="1"/>
  <c r="Y1554" i="1"/>
  <c r="Z1554" i="1"/>
  <c r="AD1554" i="1"/>
  <c r="AE1554" i="1"/>
  <c r="R1555" i="1"/>
  <c r="S1555" i="1"/>
  <c r="T1555" i="1"/>
  <c r="U1555" i="1"/>
  <c r="X1555" i="1"/>
  <c r="Y1555" i="1"/>
  <c r="Z1555" i="1"/>
  <c r="AA1555" i="1"/>
  <c r="AB1555" i="1"/>
  <c r="AD1555" i="1"/>
  <c r="AE1555" i="1"/>
  <c r="R1556" i="1"/>
  <c r="S1556" i="1"/>
  <c r="T1556" i="1"/>
  <c r="U1556" i="1"/>
  <c r="X1556" i="1"/>
  <c r="Z1556" i="1"/>
  <c r="AD1556" i="1"/>
  <c r="AE1556" i="1"/>
  <c r="R1557" i="1"/>
  <c r="S1557" i="1"/>
  <c r="T1557" i="1"/>
  <c r="U1557" i="1"/>
  <c r="X1557" i="1"/>
  <c r="Y1557" i="1"/>
  <c r="Z1557" i="1"/>
  <c r="AD1557" i="1"/>
  <c r="AE1557" i="1"/>
  <c r="R1558" i="1"/>
  <c r="S1558" i="1"/>
  <c r="T1558" i="1"/>
  <c r="U1558" i="1"/>
  <c r="X1558" i="1"/>
  <c r="Y1558" i="1"/>
  <c r="Z1558" i="1"/>
  <c r="AA1558" i="1"/>
  <c r="AB1558" i="1"/>
  <c r="AC1558" i="1"/>
  <c r="AD1558" i="1"/>
  <c r="AE1558" i="1"/>
  <c r="R1559" i="1"/>
  <c r="S1559" i="1"/>
  <c r="T1559" i="1"/>
  <c r="U1559" i="1"/>
  <c r="V1559" i="1"/>
  <c r="X1559" i="1"/>
  <c r="Z1559" i="1"/>
  <c r="AA1559" i="1"/>
  <c r="AB1559" i="1"/>
  <c r="AD1559" i="1"/>
  <c r="AE1559" i="1"/>
  <c r="R1560" i="1"/>
  <c r="S1560" i="1"/>
  <c r="T1560" i="1"/>
  <c r="U1560" i="1"/>
  <c r="X1560" i="1"/>
  <c r="Z1560" i="1"/>
  <c r="AA1560" i="1"/>
  <c r="AB1560" i="1"/>
  <c r="AD1560" i="1"/>
  <c r="AE1560" i="1"/>
  <c r="R1561" i="1"/>
  <c r="S1561" i="1"/>
  <c r="T1561" i="1"/>
  <c r="U1561" i="1"/>
  <c r="X1561" i="1"/>
  <c r="Z1561" i="1"/>
  <c r="AC1561" i="1"/>
  <c r="AD1561" i="1"/>
  <c r="AE1561" i="1"/>
  <c r="R1562" i="1"/>
  <c r="S1562" i="1"/>
  <c r="T1562" i="1"/>
  <c r="U1562" i="1"/>
  <c r="V1562" i="1"/>
  <c r="X1562" i="1"/>
  <c r="Y1562" i="1"/>
  <c r="Z1562" i="1"/>
  <c r="AD1562" i="1"/>
  <c r="AE1562" i="1"/>
  <c r="R1563" i="1"/>
  <c r="S1563" i="1"/>
  <c r="T1563" i="1"/>
  <c r="U1563" i="1"/>
  <c r="V1563" i="1"/>
  <c r="X1563" i="1"/>
  <c r="Z1563" i="1"/>
  <c r="AB1563" i="1"/>
  <c r="AC1563" i="1"/>
  <c r="AD1563" i="1"/>
  <c r="AE1563" i="1"/>
  <c r="R1564" i="1"/>
  <c r="S1564" i="1"/>
  <c r="T1564" i="1"/>
  <c r="U1564" i="1"/>
  <c r="V1564" i="1"/>
  <c r="X1564" i="1"/>
  <c r="Y1564" i="1"/>
  <c r="Z1564" i="1"/>
  <c r="AD1564" i="1"/>
  <c r="AE1564" i="1"/>
  <c r="R1565" i="1"/>
  <c r="S1565" i="1"/>
  <c r="T1565" i="1"/>
  <c r="U1565" i="1"/>
  <c r="W1565" i="1"/>
  <c r="X1565" i="1"/>
  <c r="Z1565" i="1"/>
  <c r="AD1565" i="1"/>
  <c r="AE1565" i="1"/>
  <c r="R1566" i="1"/>
  <c r="S1566" i="1"/>
  <c r="T1566" i="1"/>
  <c r="U1566" i="1"/>
  <c r="X1566" i="1"/>
  <c r="Y1566" i="1"/>
  <c r="Z1566" i="1"/>
  <c r="AA1566" i="1"/>
  <c r="AB1566" i="1"/>
  <c r="AC1566" i="1"/>
  <c r="AD1566" i="1"/>
  <c r="AE1566" i="1"/>
  <c r="R1567" i="1"/>
  <c r="S1567" i="1"/>
  <c r="T1567" i="1"/>
  <c r="U1567" i="1"/>
  <c r="X1567" i="1"/>
  <c r="Y1567" i="1"/>
  <c r="Z1567" i="1"/>
  <c r="AA1567" i="1"/>
  <c r="AB1567" i="1"/>
  <c r="AC1567" i="1"/>
  <c r="AD1567" i="1"/>
  <c r="AE1567" i="1"/>
  <c r="R1568" i="1"/>
  <c r="S1568" i="1"/>
  <c r="T1568" i="1"/>
  <c r="U1568" i="1"/>
  <c r="V1568" i="1"/>
  <c r="X1568" i="1"/>
  <c r="Z1568" i="1"/>
  <c r="AD1568" i="1"/>
  <c r="AE1568" i="1"/>
  <c r="R1569" i="1"/>
  <c r="S1569" i="1"/>
  <c r="T1569" i="1"/>
  <c r="U1569" i="1"/>
  <c r="X1569" i="1"/>
  <c r="Z1569" i="1"/>
  <c r="AA1569" i="1"/>
  <c r="AB1569" i="1"/>
  <c r="AD1569" i="1"/>
  <c r="AE1569" i="1"/>
  <c r="R1570" i="1"/>
  <c r="S1570" i="1"/>
  <c r="T1570" i="1"/>
  <c r="U1570" i="1"/>
  <c r="X1570" i="1"/>
  <c r="Y1570" i="1"/>
  <c r="Z1570" i="1"/>
  <c r="AA1570" i="1"/>
  <c r="AB1570" i="1"/>
  <c r="AD1570" i="1"/>
  <c r="AE1570" i="1"/>
  <c r="R1571" i="1"/>
  <c r="S1571" i="1"/>
  <c r="T1571" i="1"/>
  <c r="U1571" i="1"/>
  <c r="X1571" i="1"/>
  <c r="Z1571" i="1"/>
  <c r="AD1571" i="1"/>
  <c r="AE1571" i="1"/>
  <c r="R1572" i="1"/>
  <c r="S1572" i="1"/>
  <c r="T1572" i="1"/>
  <c r="U1572" i="1"/>
  <c r="X1572" i="1"/>
  <c r="Y1572" i="1"/>
  <c r="Z1572" i="1"/>
  <c r="AD1572" i="1"/>
  <c r="AE1572" i="1"/>
  <c r="R1573" i="1"/>
  <c r="S1573" i="1"/>
  <c r="T1573" i="1"/>
  <c r="U1573" i="1"/>
  <c r="X1573" i="1"/>
  <c r="Y1573" i="1"/>
  <c r="Z1573" i="1"/>
  <c r="AD1573" i="1"/>
  <c r="AE1573" i="1"/>
  <c r="R1574" i="1"/>
  <c r="S1574" i="1"/>
  <c r="T1574" i="1"/>
  <c r="U1574" i="1"/>
  <c r="X1574" i="1"/>
  <c r="Y1574" i="1"/>
  <c r="Z1574" i="1"/>
  <c r="AA1574" i="1"/>
  <c r="AB1574" i="1"/>
  <c r="AC1574" i="1"/>
  <c r="AD1574" i="1"/>
  <c r="AE1574" i="1"/>
  <c r="R1575" i="1"/>
  <c r="S1575" i="1"/>
  <c r="T1575" i="1"/>
  <c r="U1575" i="1"/>
  <c r="X1575" i="1"/>
  <c r="Y1575" i="1"/>
  <c r="Z1575" i="1"/>
  <c r="AD1575" i="1"/>
  <c r="AE1575" i="1"/>
  <c r="AI1575" i="1"/>
  <c r="AN1575" i="1"/>
  <c r="AO1575" i="1"/>
  <c r="AP1575" i="1"/>
  <c r="AQ1575" i="1"/>
  <c r="R1576" i="1"/>
  <c r="S1576" i="1"/>
  <c r="T1576" i="1"/>
  <c r="U1576" i="1"/>
  <c r="V1576" i="1"/>
  <c r="X1576" i="1"/>
  <c r="Y1576" i="1"/>
  <c r="Z1576" i="1"/>
  <c r="AA1576" i="1"/>
  <c r="AB1576" i="1"/>
  <c r="AC1576" i="1"/>
  <c r="AD1576" i="1"/>
  <c r="AE1576" i="1"/>
  <c r="R1577" i="1"/>
  <c r="S1577" i="1"/>
  <c r="T1577" i="1"/>
  <c r="U1577" i="1"/>
  <c r="V1577" i="1"/>
  <c r="X1577" i="1"/>
  <c r="Y1577" i="1"/>
  <c r="Z1577" i="1"/>
  <c r="AA1577" i="1"/>
  <c r="AB1577" i="1"/>
  <c r="AC1577" i="1"/>
  <c r="AD1577" i="1"/>
  <c r="AE1577" i="1"/>
  <c r="R1578" i="1"/>
  <c r="S1578" i="1"/>
  <c r="T1578" i="1"/>
  <c r="U1578" i="1"/>
  <c r="X1578" i="1"/>
  <c r="Z1578" i="1"/>
  <c r="AA1578" i="1"/>
  <c r="AB1578" i="1"/>
  <c r="AD1578" i="1"/>
  <c r="AE1578" i="1"/>
  <c r="AN1578" i="1"/>
  <c r="AO1578" i="1"/>
  <c r="R1579" i="1"/>
  <c r="S1579" i="1"/>
  <c r="T1579" i="1"/>
  <c r="U1579" i="1"/>
  <c r="V1579" i="1"/>
  <c r="X1579" i="1"/>
  <c r="Y1579" i="1"/>
  <c r="Z1579" i="1"/>
  <c r="AD1579" i="1"/>
  <c r="AE1579" i="1"/>
  <c r="R1580" i="1"/>
  <c r="S1580" i="1"/>
  <c r="T1580" i="1"/>
  <c r="U1580" i="1"/>
  <c r="V1580" i="1"/>
  <c r="X1580" i="1"/>
  <c r="Z1580" i="1"/>
  <c r="AD1580" i="1"/>
  <c r="AE1580" i="1"/>
  <c r="R1581" i="1"/>
  <c r="S1581" i="1"/>
  <c r="T1581" i="1"/>
  <c r="U1581" i="1"/>
  <c r="V1581" i="1"/>
  <c r="X1581" i="1"/>
  <c r="Y1581" i="1"/>
  <c r="Z1581" i="1"/>
  <c r="AA1581" i="1"/>
  <c r="AB1581" i="1"/>
  <c r="AC1581" i="1"/>
  <c r="AD1581" i="1"/>
  <c r="AE1581" i="1"/>
  <c r="R1582" i="1"/>
  <c r="S1582" i="1"/>
  <c r="T1582" i="1"/>
  <c r="U1582" i="1"/>
  <c r="X1582" i="1"/>
  <c r="Y1582" i="1"/>
  <c r="Z1582" i="1"/>
  <c r="AA1582" i="1"/>
  <c r="AB1582" i="1"/>
  <c r="AC1582" i="1"/>
  <c r="AD1582" i="1"/>
  <c r="AE1582" i="1"/>
  <c r="R1583" i="1"/>
  <c r="S1583" i="1"/>
  <c r="T1583" i="1"/>
  <c r="U1583" i="1"/>
  <c r="X1583" i="1"/>
  <c r="Z1583" i="1"/>
  <c r="AD1583" i="1"/>
  <c r="AE1583" i="1"/>
  <c r="R1584" i="1"/>
  <c r="S1584" i="1"/>
  <c r="T1584" i="1"/>
  <c r="U1584" i="1"/>
  <c r="X1584" i="1"/>
  <c r="Y1584" i="1"/>
  <c r="Z1584" i="1"/>
  <c r="AA1584" i="1"/>
  <c r="AB1584" i="1"/>
  <c r="AD1584" i="1"/>
  <c r="AE1584" i="1"/>
  <c r="R1585" i="1"/>
  <c r="S1585" i="1"/>
  <c r="T1585" i="1"/>
  <c r="U1585" i="1"/>
  <c r="X1585" i="1"/>
  <c r="Y1585" i="1"/>
  <c r="Z1585" i="1"/>
  <c r="AA1585" i="1"/>
  <c r="AB1585" i="1"/>
  <c r="AC1585" i="1"/>
  <c r="AD1585" i="1"/>
  <c r="AE1585" i="1"/>
  <c r="R1586" i="1"/>
  <c r="S1586" i="1"/>
  <c r="T1586" i="1"/>
  <c r="U1586" i="1"/>
  <c r="V1586" i="1"/>
  <c r="X1586" i="1"/>
  <c r="Y1586" i="1"/>
  <c r="Z1586" i="1"/>
  <c r="AA1586" i="1"/>
  <c r="AB1586" i="1"/>
  <c r="AC1586" i="1"/>
  <c r="AD1586" i="1"/>
  <c r="AE1586" i="1"/>
  <c r="R1587" i="1"/>
  <c r="S1587" i="1"/>
  <c r="T1587" i="1"/>
  <c r="U1587" i="1"/>
  <c r="X1587" i="1"/>
  <c r="Y1587" i="1"/>
  <c r="Z1587" i="1"/>
  <c r="AC1587" i="1"/>
  <c r="AD1587" i="1"/>
  <c r="AE1587" i="1"/>
  <c r="BI1587" i="1"/>
  <c r="R1588" i="1"/>
  <c r="S1588" i="1"/>
  <c r="T1588" i="1"/>
  <c r="U1588" i="1"/>
  <c r="X1588" i="1"/>
  <c r="Z1588" i="1"/>
  <c r="AC1588" i="1"/>
  <c r="AD1588" i="1"/>
  <c r="AE1588" i="1"/>
  <c r="R1589" i="1"/>
  <c r="S1589" i="1"/>
  <c r="T1589" i="1"/>
  <c r="U1589" i="1"/>
  <c r="X1589" i="1"/>
  <c r="Y1589" i="1"/>
  <c r="Z1589" i="1"/>
  <c r="AA1589" i="1"/>
  <c r="AB1589" i="1"/>
  <c r="AC1589" i="1"/>
  <c r="AD1589" i="1"/>
  <c r="AE1589" i="1"/>
  <c r="R1590" i="1"/>
  <c r="S1590" i="1"/>
  <c r="T1590" i="1"/>
  <c r="U1590" i="1"/>
  <c r="X1590" i="1"/>
  <c r="Z1590" i="1"/>
  <c r="AA1590" i="1"/>
  <c r="AB1590" i="1"/>
  <c r="AD1590" i="1"/>
  <c r="AE1590" i="1"/>
  <c r="AN1590" i="1"/>
  <c r="AO1590" i="1"/>
  <c r="AP1590" i="1"/>
  <c r="AS1590" i="1"/>
  <c r="R1591" i="1"/>
  <c r="S1591" i="1"/>
  <c r="T1591" i="1"/>
  <c r="U1591" i="1"/>
  <c r="X1591" i="1"/>
  <c r="Y1591" i="1"/>
  <c r="Z1591" i="1"/>
  <c r="AD1591" i="1"/>
  <c r="AE1591" i="1"/>
  <c r="AN1591" i="1"/>
  <c r="AO1591" i="1"/>
  <c r="AP1591" i="1"/>
  <c r="AQ1591" i="1"/>
  <c r="CF1591" i="1"/>
  <c r="R1592" i="1"/>
  <c r="S1592" i="1"/>
  <c r="T1592" i="1"/>
  <c r="U1592" i="1"/>
  <c r="X1592" i="1"/>
  <c r="Y1592" i="1"/>
  <c r="Z1592" i="1"/>
  <c r="AA1592" i="1"/>
  <c r="AB1592" i="1"/>
  <c r="AC1592" i="1"/>
  <c r="AD1592" i="1"/>
  <c r="AE1592" i="1"/>
  <c r="R1593" i="1"/>
  <c r="S1593" i="1"/>
  <c r="T1593" i="1"/>
  <c r="U1593" i="1"/>
  <c r="X1593" i="1"/>
  <c r="Y1593" i="1"/>
  <c r="Z1593" i="1"/>
  <c r="AA1593" i="1"/>
  <c r="AB1593" i="1"/>
  <c r="AC1593" i="1"/>
  <c r="AD1593" i="1"/>
  <c r="AE1593" i="1"/>
  <c r="R1594" i="1"/>
  <c r="S1594" i="1"/>
  <c r="T1594" i="1"/>
  <c r="U1594" i="1"/>
  <c r="X1594" i="1"/>
  <c r="Y1594" i="1"/>
  <c r="Z1594" i="1"/>
  <c r="AA1594" i="1"/>
  <c r="AB1594" i="1"/>
  <c r="AC1594" i="1"/>
  <c r="AD1594" i="1"/>
  <c r="AE1594" i="1"/>
  <c r="R1595" i="1"/>
  <c r="S1595" i="1"/>
  <c r="T1595" i="1"/>
  <c r="U1595" i="1"/>
  <c r="V1595" i="1"/>
  <c r="X1595" i="1"/>
  <c r="Y1595" i="1"/>
  <c r="Z1595" i="1"/>
  <c r="AA1595" i="1"/>
  <c r="AB1595" i="1"/>
  <c r="AC1595" i="1"/>
  <c r="AD1595" i="1"/>
  <c r="AE1595" i="1"/>
  <c r="R1596" i="1"/>
  <c r="S1596" i="1"/>
  <c r="T1596" i="1"/>
  <c r="U1596" i="1"/>
  <c r="X1596" i="1"/>
  <c r="Z1596" i="1"/>
  <c r="AD1596" i="1"/>
  <c r="AE1596" i="1"/>
  <c r="AN1596" i="1"/>
  <c r="AO1596" i="1"/>
  <c r="AP1596" i="1"/>
  <c r="AQ1596" i="1"/>
  <c r="R1597" i="1"/>
  <c r="S1597" i="1"/>
  <c r="T1597" i="1"/>
  <c r="U1597" i="1"/>
  <c r="V1597" i="1"/>
  <c r="X1597" i="1"/>
  <c r="Z1597" i="1"/>
  <c r="AD1597" i="1"/>
  <c r="AE1597" i="1"/>
  <c r="R1598" i="1"/>
  <c r="S1598" i="1"/>
  <c r="T1598" i="1"/>
  <c r="U1598" i="1"/>
  <c r="X1598" i="1"/>
  <c r="Y1598" i="1"/>
  <c r="Z1598" i="1"/>
  <c r="AA1598" i="1"/>
  <c r="AB1598" i="1"/>
  <c r="AD1598" i="1"/>
  <c r="AE1598" i="1"/>
  <c r="AN1598" i="1"/>
  <c r="AO1598" i="1"/>
  <c r="AP1598" i="1"/>
  <c r="R1599" i="1"/>
  <c r="S1599" i="1"/>
  <c r="T1599" i="1"/>
  <c r="U1599" i="1"/>
  <c r="X1599" i="1"/>
  <c r="Y1599" i="1"/>
  <c r="Z1599" i="1"/>
  <c r="AA1599" i="1"/>
  <c r="AB1599" i="1"/>
  <c r="AC1599" i="1"/>
  <c r="AD1599" i="1"/>
  <c r="AE1599" i="1"/>
  <c r="AN1599" i="1"/>
  <c r="AO1599" i="1"/>
  <c r="AP1599" i="1"/>
  <c r="R1600" i="1"/>
  <c r="S1600" i="1"/>
  <c r="T1600" i="1"/>
  <c r="U1600" i="1"/>
  <c r="V1600" i="1"/>
  <c r="X1600" i="1"/>
  <c r="Z1600" i="1"/>
  <c r="AA1600" i="1"/>
  <c r="AB1600" i="1"/>
  <c r="AC1600" i="1"/>
  <c r="AD1600" i="1"/>
  <c r="AE1600" i="1"/>
  <c r="R1601" i="1"/>
  <c r="S1601" i="1"/>
  <c r="T1601" i="1"/>
  <c r="U1601" i="1"/>
  <c r="X1601" i="1"/>
  <c r="Z1601" i="1"/>
  <c r="AD1601" i="1"/>
  <c r="AE1601" i="1"/>
  <c r="R1602" i="1"/>
  <c r="S1602" i="1"/>
  <c r="T1602" i="1"/>
  <c r="U1602" i="1"/>
  <c r="V1602" i="1"/>
  <c r="X1602" i="1"/>
  <c r="Y1602" i="1"/>
  <c r="Z1602" i="1"/>
  <c r="AA1602" i="1"/>
  <c r="AB1602" i="1"/>
  <c r="AC1602" i="1"/>
  <c r="AD1602" i="1"/>
  <c r="AE1602" i="1"/>
  <c r="R1603" i="1"/>
  <c r="S1603" i="1"/>
  <c r="T1603" i="1"/>
  <c r="U1603" i="1"/>
  <c r="X1603" i="1"/>
  <c r="Y1603" i="1"/>
  <c r="Z1603" i="1"/>
  <c r="AA1603" i="1"/>
  <c r="AD1603" i="1"/>
  <c r="AE1603" i="1"/>
  <c r="AI1603" i="1"/>
  <c r="AN1603" i="1"/>
  <c r="AO1603" i="1"/>
  <c r="AP1603" i="1"/>
  <c r="AQ1603" i="1"/>
  <c r="AS1603" i="1"/>
  <c r="AY1603" i="1"/>
  <c r="BA1603" i="1"/>
  <c r="BB1603" i="1"/>
  <c r="BD1603" i="1"/>
  <c r="BE1603" i="1"/>
  <c r="BH1603" i="1"/>
  <c r="BK1603" i="1"/>
  <c r="CI1603" i="1"/>
  <c r="CR1603" i="1"/>
  <c r="R1604" i="1"/>
  <c r="S1604" i="1"/>
  <c r="T1604" i="1"/>
  <c r="U1604" i="1"/>
  <c r="X1604" i="1"/>
  <c r="Z1604" i="1"/>
  <c r="AA1604" i="1"/>
  <c r="AB1604" i="1"/>
  <c r="AD1604" i="1"/>
  <c r="AE1604" i="1"/>
  <c r="AN1604" i="1"/>
  <c r="AO1604" i="1"/>
  <c r="AP1604" i="1"/>
  <c r="R1605" i="1"/>
  <c r="S1605" i="1"/>
  <c r="T1605" i="1"/>
  <c r="U1605" i="1"/>
  <c r="X1605" i="1"/>
  <c r="Z1605" i="1"/>
  <c r="AD1605" i="1"/>
  <c r="AE1605" i="1"/>
  <c r="AI1605" i="1"/>
  <c r="AN1605" i="1"/>
  <c r="AO1605" i="1"/>
  <c r="AP1605" i="1"/>
  <c r="AQ1605" i="1"/>
  <c r="R1606" i="1"/>
  <c r="S1606" i="1"/>
  <c r="T1606" i="1"/>
  <c r="U1606" i="1"/>
  <c r="X1606" i="1"/>
  <c r="Z1606" i="1"/>
  <c r="AD1606" i="1"/>
  <c r="AE1606" i="1"/>
  <c r="AI1606" i="1"/>
  <c r="AN1606" i="1"/>
  <c r="AO1606" i="1"/>
  <c r="AP1606" i="1"/>
  <c r="AQ1606" i="1"/>
  <c r="R1607" i="1"/>
  <c r="S1607" i="1"/>
  <c r="T1607" i="1"/>
  <c r="U1607" i="1"/>
  <c r="X1607" i="1"/>
  <c r="Y1607" i="1"/>
  <c r="Z1607" i="1"/>
  <c r="AD1607" i="1"/>
  <c r="AE1607" i="1"/>
  <c r="CF1607" i="1"/>
  <c r="CG1607" i="1"/>
  <c r="R1608" i="1"/>
  <c r="S1608" i="1"/>
  <c r="T1608" i="1"/>
  <c r="U1608" i="1"/>
  <c r="X1608" i="1"/>
  <c r="Y1608" i="1"/>
  <c r="Z1608" i="1"/>
  <c r="AD1608" i="1"/>
  <c r="AE1608" i="1"/>
  <c r="CF1608" i="1"/>
  <c r="CG1608" i="1"/>
  <c r="R1609" i="1"/>
  <c r="S1609" i="1"/>
  <c r="T1609" i="1"/>
  <c r="U1609" i="1"/>
  <c r="X1609" i="1"/>
  <c r="Y1609" i="1"/>
  <c r="Z1609" i="1"/>
  <c r="AD1609" i="1"/>
  <c r="AE1609" i="1"/>
  <c r="R1610" i="1"/>
  <c r="S1610" i="1"/>
  <c r="T1610" i="1"/>
  <c r="U1610" i="1"/>
  <c r="V1610" i="1"/>
  <c r="X1610" i="1"/>
  <c r="Y1610" i="1"/>
  <c r="Z1610" i="1"/>
  <c r="AC1610" i="1"/>
  <c r="AD1610" i="1"/>
  <c r="AE1610" i="1"/>
  <c r="R1611" i="1"/>
  <c r="S1611" i="1"/>
  <c r="T1611" i="1"/>
  <c r="U1611" i="1"/>
  <c r="X1611" i="1"/>
  <c r="Z1611" i="1"/>
  <c r="AA1611" i="1"/>
  <c r="AB1611" i="1"/>
  <c r="AC1611" i="1"/>
  <c r="AD1611" i="1"/>
  <c r="AE1611" i="1"/>
  <c r="AN1611" i="1"/>
  <c r="AO1611" i="1"/>
  <c r="AP1611" i="1"/>
  <c r="AQ1611" i="1"/>
  <c r="R1612" i="1"/>
  <c r="S1612" i="1"/>
  <c r="T1612" i="1"/>
  <c r="U1612" i="1"/>
  <c r="X1612" i="1"/>
  <c r="Z1612" i="1"/>
  <c r="AA1612" i="1"/>
  <c r="AB1612" i="1"/>
  <c r="AC1612" i="1"/>
  <c r="AD1612" i="1"/>
  <c r="AE1612" i="1"/>
  <c r="AN1612" i="1"/>
  <c r="AO1612" i="1"/>
  <c r="AP1612" i="1"/>
  <c r="AQ1612" i="1"/>
  <c r="R1613" i="1"/>
  <c r="S1613" i="1"/>
  <c r="T1613" i="1"/>
  <c r="U1613" i="1"/>
  <c r="X1613" i="1"/>
  <c r="Z1613" i="1"/>
  <c r="AA1613" i="1"/>
  <c r="AC1613" i="1"/>
  <c r="AD1613" i="1"/>
  <c r="AE1613" i="1"/>
  <c r="AI1613" i="1"/>
  <c r="AN1613" i="1"/>
  <c r="AO1613" i="1"/>
  <c r="AP1613" i="1"/>
  <c r="AQ1613" i="1"/>
  <c r="R1614" i="1"/>
  <c r="S1614" i="1"/>
  <c r="T1614" i="1"/>
  <c r="U1614" i="1"/>
  <c r="X1614" i="1"/>
  <c r="Y1614" i="1"/>
  <c r="Z1614" i="1"/>
  <c r="AB1614" i="1"/>
  <c r="AC1614" i="1"/>
  <c r="AD1614" i="1"/>
  <c r="AE1614" i="1"/>
  <c r="R1615" i="1"/>
  <c r="S1615" i="1"/>
  <c r="T1615" i="1"/>
  <c r="U1615" i="1"/>
  <c r="X1615" i="1"/>
  <c r="Y1615" i="1"/>
  <c r="Z1615" i="1"/>
  <c r="AA1615" i="1"/>
  <c r="AB1615" i="1"/>
  <c r="AD1615" i="1"/>
  <c r="AE1615" i="1"/>
  <c r="R1616" i="1"/>
  <c r="S1616" i="1"/>
  <c r="T1616" i="1"/>
  <c r="U1616" i="1"/>
  <c r="X1616" i="1"/>
  <c r="Y1616" i="1"/>
  <c r="Z1616" i="1"/>
  <c r="AD1616" i="1"/>
  <c r="AE1616" i="1"/>
  <c r="R1617" i="1"/>
  <c r="S1617" i="1"/>
  <c r="T1617" i="1"/>
  <c r="U1617" i="1"/>
  <c r="X1617" i="1"/>
  <c r="Z1617" i="1"/>
  <c r="AD1617" i="1"/>
  <c r="AE1617" i="1"/>
  <c r="R1618" i="1"/>
  <c r="S1618" i="1"/>
  <c r="T1618" i="1"/>
  <c r="U1618" i="1"/>
  <c r="V1618" i="1"/>
  <c r="X1618" i="1"/>
  <c r="Y1618" i="1"/>
  <c r="Z1618" i="1"/>
  <c r="AA1618" i="1"/>
  <c r="AB1618" i="1"/>
  <c r="AC1618" i="1"/>
  <c r="AD1618" i="1"/>
  <c r="AE1618" i="1"/>
  <c r="R1619" i="1"/>
  <c r="S1619" i="1"/>
  <c r="T1619" i="1"/>
  <c r="U1619" i="1"/>
  <c r="X1619" i="1"/>
  <c r="Y1619" i="1"/>
  <c r="Z1619" i="1"/>
  <c r="AA1619" i="1"/>
  <c r="AB1619" i="1"/>
  <c r="AC1619" i="1"/>
  <c r="AD1619" i="1"/>
  <c r="AE1619" i="1"/>
  <c r="R1620" i="1"/>
  <c r="S1620" i="1"/>
  <c r="T1620" i="1"/>
  <c r="U1620" i="1"/>
  <c r="X1620" i="1"/>
  <c r="Y1620" i="1"/>
  <c r="Z1620" i="1"/>
  <c r="AA1620" i="1"/>
  <c r="AB1620" i="1"/>
  <c r="AD1620" i="1"/>
  <c r="AE1620" i="1"/>
  <c r="R1621" i="1"/>
  <c r="S1621" i="1"/>
  <c r="T1621" i="1"/>
  <c r="U1621" i="1"/>
  <c r="X1621" i="1"/>
  <c r="Y1621" i="1"/>
  <c r="Z1621" i="1"/>
  <c r="AB1621" i="1"/>
  <c r="AD1621" i="1"/>
  <c r="AE1621" i="1"/>
  <c r="R1622" i="1"/>
  <c r="S1622" i="1"/>
  <c r="T1622" i="1"/>
  <c r="U1622" i="1"/>
  <c r="X1622" i="1"/>
  <c r="Z1622" i="1"/>
  <c r="AD1622" i="1"/>
  <c r="AE1622" i="1"/>
  <c r="AN1622" i="1"/>
  <c r="AO1622" i="1"/>
  <c r="AP1622" i="1"/>
  <c r="AQ1622" i="1"/>
  <c r="R1623" i="1"/>
  <c r="S1623" i="1"/>
  <c r="T1623" i="1"/>
  <c r="U1623" i="1"/>
  <c r="X1623" i="1"/>
  <c r="Z1623" i="1"/>
  <c r="AD1623" i="1"/>
  <c r="AE1623" i="1"/>
  <c r="R1624" i="1"/>
  <c r="S1624" i="1"/>
  <c r="T1624" i="1"/>
  <c r="U1624" i="1"/>
  <c r="X1624" i="1"/>
  <c r="Y1624" i="1"/>
  <c r="Z1624" i="1"/>
  <c r="AD1624" i="1"/>
  <c r="AE1624" i="1"/>
  <c r="R1625" i="1"/>
  <c r="S1625" i="1"/>
  <c r="T1625" i="1"/>
  <c r="U1625" i="1"/>
  <c r="X1625" i="1"/>
  <c r="Z1625" i="1"/>
  <c r="AD1625" i="1"/>
  <c r="AE1625" i="1"/>
  <c r="R1626" i="1"/>
  <c r="S1626" i="1"/>
  <c r="T1626" i="1"/>
  <c r="U1626" i="1"/>
  <c r="X1626" i="1"/>
  <c r="Z1626" i="1"/>
  <c r="AD1626" i="1"/>
  <c r="AE1626" i="1"/>
  <c r="R1627" i="1"/>
  <c r="S1627" i="1"/>
  <c r="T1627" i="1"/>
  <c r="U1627" i="1"/>
  <c r="X1627" i="1"/>
  <c r="Y1627" i="1"/>
  <c r="Z1627" i="1"/>
  <c r="AA1627" i="1"/>
  <c r="AB1627" i="1"/>
  <c r="AC1627" i="1"/>
  <c r="AD1627" i="1"/>
  <c r="AE1627" i="1"/>
  <c r="R1628" i="1"/>
  <c r="S1628" i="1"/>
  <c r="T1628" i="1"/>
  <c r="U1628" i="1"/>
  <c r="X1628" i="1"/>
  <c r="Z1628" i="1"/>
  <c r="AA1628" i="1"/>
  <c r="AB1628" i="1"/>
  <c r="AC1628" i="1"/>
  <c r="AD1628" i="1"/>
  <c r="AE1628" i="1"/>
  <c r="R1629" i="1"/>
  <c r="S1629" i="1"/>
  <c r="T1629" i="1"/>
  <c r="U1629" i="1"/>
  <c r="V1629" i="1"/>
  <c r="X1629" i="1"/>
  <c r="Z1629" i="1"/>
  <c r="AC1629" i="1"/>
  <c r="AD1629" i="1"/>
  <c r="AE1629" i="1"/>
  <c r="R1630" i="1"/>
  <c r="S1630" i="1"/>
  <c r="T1630" i="1"/>
  <c r="U1630" i="1"/>
  <c r="X1630" i="1"/>
  <c r="Y1630" i="1"/>
  <c r="Z1630" i="1"/>
  <c r="AC1630" i="1"/>
  <c r="AD1630" i="1"/>
  <c r="AE1630" i="1"/>
  <c r="R1631" i="1"/>
  <c r="S1631" i="1"/>
  <c r="T1631" i="1"/>
  <c r="U1631" i="1"/>
  <c r="V1631" i="1"/>
  <c r="X1631" i="1"/>
  <c r="Y1631" i="1"/>
  <c r="Z1631" i="1"/>
  <c r="AA1631" i="1"/>
  <c r="AB1631" i="1"/>
  <c r="AC1631" i="1"/>
  <c r="AD1631" i="1"/>
  <c r="AE1631" i="1"/>
  <c r="BB1631" i="1"/>
  <c r="R1632" i="1"/>
  <c r="S1632" i="1"/>
  <c r="T1632" i="1"/>
  <c r="U1632" i="1"/>
  <c r="V1632" i="1"/>
  <c r="X1632" i="1"/>
  <c r="Y1632" i="1"/>
  <c r="Z1632" i="1"/>
  <c r="AA1632" i="1"/>
  <c r="AB1632" i="1"/>
  <c r="AC1632" i="1"/>
  <c r="AD1632" i="1"/>
  <c r="AE1632" i="1"/>
  <c r="BB1632" i="1"/>
  <c r="R1633" i="1"/>
  <c r="S1633" i="1"/>
  <c r="T1633" i="1"/>
  <c r="U1633" i="1"/>
  <c r="V1633" i="1"/>
  <c r="X1633" i="1"/>
  <c r="Y1633" i="1"/>
  <c r="Z1633" i="1"/>
  <c r="AA1633" i="1"/>
  <c r="AB1633" i="1"/>
  <c r="AD1633" i="1"/>
  <c r="AE1633" i="1"/>
  <c r="R1634" i="1"/>
  <c r="S1634" i="1"/>
  <c r="T1634" i="1"/>
  <c r="U1634" i="1"/>
  <c r="X1634" i="1"/>
  <c r="Z1634" i="1"/>
  <c r="AA1634" i="1"/>
  <c r="AB1634" i="1"/>
  <c r="AD1634" i="1"/>
  <c r="AE1634" i="1"/>
  <c r="R1635" i="1"/>
  <c r="S1635" i="1"/>
  <c r="T1635" i="1"/>
  <c r="U1635" i="1"/>
  <c r="X1635" i="1"/>
  <c r="Y1635" i="1"/>
  <c r="Z1635" i="1"/>
  <c r="AD1635" i="1"/>
  <c r="AL1635" i="1"/>
  <c r="AN1635" i="1"/>
  <c r="AO1635" i="1"/>
  <c r="R1636" i="1"/>
  <c r="S1636" i="1"/>
  <c r="T1636" i="1"/>
  <c r="U1636" i="1"/>
  <c r="X1636" i="1"/>
  <c r="Z1636" i="1"/>
  <c r="AC1636" i="1"/>
  <c r="AD1636" i="1"/>
  <c r="AE1636" i="1"/>
  <c r="AI1636" i="1"/>
  <c r="AN1636" i="1"/>
  <c r="AO1636" i="1"/>
  <c r="AP1636" i="1"/>
  <c r="AQ1636" i="1"/>
  <c r="R1637" i="1"/>
  <c r="S1637" i="1"/>
  <c r="T1637" i="1"/>
  <c r="U1637" i="1"/>
  <c r="V1637" i="1"/>
  <c r="X1637" i="1"/>
  <c r="Z1637" i="1"/>
  <c r="AD1637" i="1"/>
  <c r="AE1637" i="1"/>
  <c r="R1638" i="1"/>
  <c r="S1638" i="1"/>
  <c r="T1638" i="1"/>
  <c r="U1638" i="1"/>
  <c r="X1638" i="1"/>
  <c r="Z1638" i="1"/>
  <c r="AD1638" i="1"/>
  <c r="AE1638" i="1"/>
  <c r="R1639" i="1"/>
  <c r="S1639" i="1"/>
  <c r="T1639" i="1"/>
  <c r="U1639" i="1"/>
  <c r="X1639" i="1"/>
  <c r="Z1639" i="1"/>
  <c r="AA1639" i="1"/>
  <c r="AB1639" i="1"/>
  <c r="AC1639" i="1"/>
  <c r="AD1639" i="1"/>
  <c r="AE1639" i="1"/>
  <c r="R1640" i="1"/>
  <c r="S1640" i="1"/>
  <c r="T1640" i="1"/>
  <c r="U1640" i="1"/>
  <c r="V1640" i="1"/>
  <c r="X1640" i="1"/>
  <c r="Y1640" i="1"/>
  <c r="Z1640" i="1"/>
  <c r="AA1640" i="1"/>
  <c r="AB1640" i="1"/>
  <c r="AC1640" i="1"/>
  <c r="AD1640" i="1"/>
  <c r="AE1640" i="1"/>
  <c r="R1641" i="1"/>
  <c r="S1641" i="1"/>
  <c r="T1641" i="1"/>
  <c r="U1641" i="1"/>
  <c r="V1641" i="1"/>
  <c r="X1641" i="1"/>
  <c r="Z1641" i="1"/>
  <c r="AC1641" i="1"/>
  <c r="AD1641" i="1"/>
  <c r="AE1641" i="1"/>
  <c r="R1642" i="1"/>
  <c r="S1642" i="1"/>
  <c r="T1642" i="1"/>
  <c r="U1642" i="1"/>
  <c r="X1642" i="1"/>
  <c r="Z1642" i="1"/>
  <c r="AD1642" i="1"/>
  <c r="AE1642" i="1"/>
  <c r="R1643" i="1"/>
  <c r="S1643" i="1"/>
  <c r="T1643" i="1"/>
  <c r="U1643" i="1"/>
  <c r="X1643" i="1"/>
  <c r="Z1643" i="1"/>
  <c r="AA1643" i="1"/>
  <c r="AB1643" i="1"/>
  <c r="AD1643" i="1"/>
  <c r="AE1643" i="1"/>
  <c r="R1644" i="1"/>
  <c r="S1644" i="1"/>
  <c r="T1644" i="1"/>
  <c r="U1644" i="1"/>
  <c r="X1644" i="1"/>
  <c r="Z1644" i="1"/>
  <c r="AD1644" i="1"/>
  <c r="AE1644" i="1"/>
  <c r="AN1644" i="1"/>
  <c r="AO1644" i="1"/>
  <c r="AP1644" i="1"/>
  <c r="AQ1644" i="1"/>
  <c r="AS1644" i="1"/>
  <c r="BA1644" i="1"/>
  <c r="BE1644" i="1"/>
  <c r="BG1644" i="1"/>
  <c r="BK1644" i="1"/>
  <c r="R1645" i="1"/>
  <c r="S1645" i="1"/>
  <c r="T1645" i="1"/>
  <c r="U1645" i="1"/>
  <c r="X1645" i="1"/>
  <c r="Y1645" i="1"/>
  <c r="Z1645" i="1"/>
  <c r="AA1645" i="1"/>
  <c r="AB1645" i="1"/>
  <c r="AD1645" i="1"/>
  <c r="AE1645" i="1"/>
  <c r="R1646" i="1"/>
  <c r="S1646" i="1"/>
  <c r="T1646" i="1"/>
  <c r="U1646" i="1"/>
  <c r="X1646" i="1"/>
  <c r="Y1646" i="1"/>
  <c r="Z1646" i="1"/>
  <c r="AD1646" i="1"/>
  <c r="AE1646" i="1"/>
  <c r="R1647" i="1"/>
  <c r="S1647" i="1"/>
  <c r="T1647" i="1"/>
  <c r="U1647" i="1"/>
  <c r="X1647" i="1"/>
  <c r="Y1647" i="1"/>
  <c r="Z1647" i="1"/>
  <c r="AD1647" i="1"/>
  <c r="AE1647" i="1"/>
  <c r="R1648" i="1"/>
  <c r="S1648" i="1"/>
  <c r="T1648" i="1"/>
  <c r="U1648" i="1"/>
  <c r="V1648" i="1"/>
  <c r="X1648" i="1"/>
  <c r="Y1648" i="1"/>
  <c r="Z1648" i="1"/>
  <c r="AC1648" i="1"/>
  <c r="AD1648" i="1"/>
  <c r="AE1648" i="1"/>
  <c r="R1649" i="1"/>
  <c r="S1649" i="1"/>
  <c r="T1649" i="1"/>
  <c r="U1649" i="1"/>
  <c r="V1649" i="1"/>
  <c r="X1649" i="1"/>
  <c r="Y1649" i="1"/>
  <c r="Z1649" i="1"/>
  <c r="AA1649" i="1"/>
  <c r="AB1649" i="1"/>
  <c r="AC1649" i="1"/>
  <c r="AD1649" i="1"/>
  <c r="AE1649" i="1"/>
  <c r="R1650" i="1"/>
  <c r="S1650" i="1"/>
  <c r="T1650" i="1"/>
  <c r="U1650" i="1"/>
  <c r="X1650" i="1"/>
  <c r="Y1650" i="1"/>
  <c r="Z1650" i="1"/>
  <c r="AC1650" i="1"/>
  <c r="AD1650" i="1"/>
  <c r="AE1650" i="1"/>
  <c r="R1651" i="1"/>
  <c r="S1651" i="1"/>
  <c r="T1651" i="1"/>
  <c r="U1651" i="1"/>
  <c r="X1651" i="1"/>
  <c r="Y1651" i="1"/>
  <c r="Z1651" i="1"/>
  <c r="AA1651" i="1"/>
  <c r="AB1651" i="1"/>
  <c r="AC1651" i="1"/>
  <c r="AD1651" i="1"/>
  <c r="AE1651" i="1"/>
  <c r="R1652" i="1"/>
  <c r="S1652" i="1"/>
  <c r="T1652" i="1"/>
  <c r="U1652" i="1"/>
  <c r="X1652" i="1"/>
  <c r="Z1652" i="1"/>
  <c r="AC1652" i="1"/>
  <c r="AD1652" i="1"/>
  <c r="AE1652" i="1"/>
  <c r="R1653" i="1"/>
  <c r="S1653" i="1"/>
  <c r="T1653" i="1"/>
  <c r="U1653" i="1"/>
  <c r="V1653" i="1"/>
  <c r="X1653" i="1"/>
  <c r="Y1653" i="1"/>
  <c r="Z1653" i="1"/>
  <c r="AC1653" i="1"/>
  <c r="AD1653" i="1"/>
  <c r="AE1653" i="1"/>
  <c r="R1654" i="1"/>
  <c r="S1654" i="1"/>
  <c r="T1654" i="1"/>
  <c r="U1654" i="1"/>
  <c r="X1654" i="1"/>
  <c r="Y1654" i="1"/>
  <c r="Z1654" i="1"/>
  <c r="AD1654" i="1"/>
  <c r="AE1654" i="1"/>
  <c r="R1655" i="1"/>
  <c r="S1655" i="1"/>
  <c r="T1655" i="1"/>
  <c r="U1655" i="1"/>
  <c r="X1655" i="1"/>
  <c r="Z1655" i="1"/>
  <c r="AD1655" i="1"/>
  <c r="AE1655" i="1"/>
  <c r="R1656" i="1"/>
  <c r="S1656" i="1"/>
  <c r="T1656" i="1"/>
  <c r="U1656" i="1"/>
  <c r="X1656" i="1"/>
  <c r="Y1656" i="1"/>
  <c r="Z1656" i="1"/>
  <c r="AC1656" i="1"/>
  <c r="AD1656" i="1"/>
  <c r="AE1656" i="1"/>
  <c r="R1657" i="1"/>
  <c r="S1657" i="1"/>
  <c r="T1657" i="1"/>
  <c r="U1657" i="1"/>
  <c r="X1657" i="1"/>
  <c r="Y1657" i="1"/>
  <c r="Z1657" i="1"/>
  <c r="AA1657" i="1"/>
  <c r="AB1657" i="1"/>
  <c r="AC1657" i="1"/>
  <c r="AD1657" i="1"/>
  <c r="AE1657" i="1"/>
  <c r="R1658" i="1"/>
  <c r="S1658" i="1"/>
  <c r="T1658" i="1"/>
  <c r="U1658" i="1"/>
  <c r="V1658" i="1"/>
  <c r="X1658" i="1"/>
  <c r="Z1658" i="1"/>
  <c r="AD1658" i="1"/>
  <c r="AE1658" i="1"/>
  <c r="R1659" i="1"/>
  <c r="S1659" i="1"/>
  <c r="T1659" i="1"/>
  <c r="U1659" i="1"/>
  <c r="V1659" i="1"/>
  <c r="X1659" i="1"/>
  <c r="Z1659" i="1"/>
  <c r="AC1659" i="1"/>
  <c r="AD1659" i="1"/>
  <c r="AE1659" i="1"/>
  <c r="R1660" i="1"/>
  <c r="S1660" i="1"/>
  <c r="T1660" i="1"/>
  <c r="U1660" i="1"/>
  <c r="V1660" i="1"/>
  <c r="X1660" i="1"/>
  <c r="Y1660" i="1"/>
  <c r="Z1660" i="1"/>
  <c r="AA1660" i="1"/>
  <c r="AB1660" i="1"/>
  <c r="AC1660" i="1"/>
  <c r="AD1660" i="1"/>
  <c r="AE1660" i="1"/>
  <c r="R1661" i="1"/>
  <c r="S1661" i="1"/>
  <c r="T1661" i="1"/>
  <c r="U1661" i="1"/>
  <c r="X1661" i="1"/>
  <c r="Y1661" i="1"/>
  <c r="Z1661" i="1"/>
  <c r="AC1661" i="1"/>
  <c r="AD1661" i="1"/>
  <c r="AE1661" i="1"/>
  <c r="R1662" i="1"/>
  <c r="S1662" i="1"/>
  <c r="T1662" i="1"/>
  <c r="U1662" i="1"/>
  <c r="X1662" i="1"/>
  <c r="Z1662" i="1"/>
  <c r="AD1662" i="1"/>
  <c r="AE1662" i="1"/>
  <c r="R1663" i="1"/>
  <c r="S1663" i="1"/>
  <c r="T1663" i="1"/>
  <c r="U1663" i="1"/>
  <c r="V1663" i="1"/>
  <c r="X1663" i="1"/>
  <c r="Y1663" i="1"/>
  <c r="Z1663" i="1"/>
  <c r="AB1663" i="1"/>
  <c r="AC1663" i="1"/>
  <c r="AD1663" i="1"/>
  <c r="AE1663" i="1"/>
  <c r="R1664" i="1"/>
  <c r="S1664" i="1"/>
  <c r="T1664" i="1"/>
  <c r="U1664" i="1"/>
  <c r="V1664" i="1"/>
  <c r="X1664" i="1"/>
  <c r="Y1664" i="1"/>
  <c r="Z1664" i="1"/>
  <c r="AC1664" i="1"/>
  <c r="AD1664" i="1"/>
  <c r="AE1664" i="1"/>
  <c r="R1665" i="1"/>
  <c r="S1665" i="1"/>
  <c r="T1665" i="1"/>
  <c r="U1665" i="1"/>
  <c r="V1665" i="1"/>
  <c r="X1665" i="1"/>
  <c r="Y1665" i="1"/>
  <c r="Z1665" i="1"/>
  <c r="AC1665" i="1"/>
  <c r="AD1665" i="1"/>
  <c r="AE1665" i="1"/>
  <c r="R1666" i="1"/>
  <c r="S1666" i="1"/>
  <c r="T1666" i="1"/>
  <c r="U1666" i="1"/>
  <c r="V1666" i="1"/>
  <c r="X1666" i="1"/>
  <c r="Y1666" i="1"/>
  <c r="Z1666" i="1"/>
  <c r="AC1666" i="1"/>
  <c r="AD1666" i="1"/>
  <c r="AE1666" i="1"/>
  <c r="R1667" i="1"/>
  <c r="S1667" i="1"/>
  <c r="T1667" i="1"/>
  <c r="U1667" i="1"/>
  <c r="X1667" i="1"/>
  <c r="Z1667" i="1"/>
  <c r="AC1667" i="1"/>
  <c r="AD1667" i="1"/>
  <c r="AE1667" i="1"/>
  <c r="R1668" i="1"/>
  <c r="S1668" i="1"/>
  <c r="T1668" i="1"/>
  <c r="U1668" i="1"/>
  <c r="X1668" i="1"/>
  <c r="Z1668" i="1"/>
  <c r="AA1668" i="1"/>
  <c r="AC1668" i="1"/>
  <c r="AD1668" i="1"/>
  <c r="AE1668" i="1"/>
  <c r="R1669" i="1"/>
  <c r="S1669" i="1"/>
  <c r="T1669" i="1"/>
  <c r="U1669" i="1"/>
  <c r="V1669" i="1"/>
  <c r="X1669" i="1"/>
  <c r="Z1669" i="1"/>
  <c r="AA1669" i="1"/>
  <c r="AB1669" i="1"/>
  <c r="AC1669" i="1"/>
  <c r="AD1669" i="1"/>
  <c r="AE1669" i="1"/>
  <c r="R1670" i="1"/>
  <c r="S1670" i="1"/>
  <c r="T1670" i="1"/>
  <c r="U1670" i="1"/>
  <c r="X1670" i="1"/>
  <c r="Z1670" i="1"/>
  <c r="AD1670" i="1"/>
  <c r="AE1670" i="1"/>
  <c r="R1671" i="1"/>
  <c r="S1671" i="1"/>
  <c r="T1671" i="1"/>
  <c r="U1671" i="1"/>
  <c r="V1671" i="1"/>
  <c r="X1671" i="1"/>
  <c r="Y1671" i="1"/>
  <c r="Z1671" i="1"/>
  <c r="AA1671" i="1"/>
  <c r="AB1671" i="1"/>
  <c r="AC1671" i="1"/>
  <c r="AD1671" i="1"/>
  <c r="AE1671" i="1"/>
  <c r="R1672" i="1"/>
  <c r="S1672" i="1"/>
  <c r="T1672" i="1"/>
  <c r="U1672" i="1"/>
  <c r="X1672" i="1"/>
  <c r="Y1672" i="1"/>
  <c r="Z1672" i="1"/>
  <c r="AD1672" i="1"/>
  <c r="AE1672" i="1"/>
  <c r="R1673" i="1"/>
  <c r="S1673" i="1"/>
  <c r="T1673" i="1"/>
  <c r="U1673" i="1"/>
  <c r="X1673" i="1"/>
  <c r="Y1673" i="1"/>
  <c r="Z1673" i="1"/>
  <c r="AA1673" i="1"/>
  <c r="AB1673" i="1"/>
  <c r="AD1673" i="1"/>
  <c r="AE1673" i="1"/>
  <c r="R1674" i="1"/>
  <c r="S1674" i="1"/>
  <c r="T1674" i="1"/>
  <c r="U1674" i="1"/>
  <c r="X1674" i="1"/>
  <c r="Y1674" i="1"/>
  <c r="Z1674" i="1"/>
  <c r="AD1674" i="1"/>
  <c r="AE1674" i="1"/>
  <c r="R1675" i="1"/>
  <c r="S1675" i="1"/>
  <c r="T1675" i="1"/>
  <c r="U1675" i="1"/>
  <c r="X1675" i="1"/>
  <c r="Z1675" i="1"/>
  <c r="AC1675" i="1"/>
  <c r="AD1675" i="1"/>
  <c r="AE1675" i="1"/>
  <c r="R1676" i="1"/>
  <c r="S1676" i="1"/>
  <c r="T1676" i="1"/>
  <c r="U1676" i="1"/>
  <c r="X1676" i="1"/>
  <c r="Y1676" i="1"/>
  <c r="Z1676" i="1"/>
  <c r="AA1676" i="1"/>
  <c r="AB1676" i="1"/>
  <c r="AC1676" i="1"/>
  <c r="AD1676" i="1"/>
  <c r="AE1676" i="1"/>
  <c r="R1677" i="1"/>
  <c r="S1677" i="1"/>
  <c r="T1677" i="1"/>
  <c r="U1677" i="1"/>
  <c r="X1677" i="1"/>
  <c r="Y1677" i="1"/>
  <c r="Z1677" i="1"/>
  <c r="AA1677" i="1"/>
  <c r="AB1677" i="1"/>
  <c r="AC1677" i="1"/>
  <c r="AD1677" i="1"/>
  <c r="AE1677" i="1"/>
  <c r="R1678" i="1"/>
  <c r="S1678" i="1"/>
  <c r="T1678" i="1"/>
  <c r="U1678" i="1"/>
  <c r="X1678" i="1"/>
  <c r="Y1678" i="1"/>
  <c r="Z1678" i="1"/>
  <c r="AD1678" i="1"/>
  <c r="AE1678" i="1"/>
  <c r="R1679" i="1"/>
  <c r="S1679" i="1"/>
  <c r="T1679" i="1"/>
  <c r="U1679" i="1"/>
  <c r="X1679" i="1"/>
  <c r="Y1679" i="1"/>
  <c r="Z1679" i="1"/>
  <c r="AA1679" i="1"/>
  <c r="AB1679" i="1"/>
  <c r="AD1679" i="1"/>
  <c r="AE1679" i="1"/>
  <c r="AN1679" i="1"/>
  <c r="AO1679" i="1"/>
  <c r="AP1679" i="1"/>
  <c r="R1680" i="1"/>
  <c r="S1680" i="1"/>
  <c r="T1680" i="1"/>
  <c r="U1680" i="1"/>
  <c r="X1680" i="1"/>
  <c r="Z1680" i="1"/>
  <c r="AD1680" i="1"/>
  <c r="AE1680" i="1"/>
  <c r="R1681" i="1"/>
  <c r="S1681" i="1"/>
  <c r="T1681" i="1"/>
  <c r="U1681" i="1"/>
  <c r="V1681" i="1"/>
  <c r="X1681" i="1"/>
  <c r="Y1681" i="1"/>
  <c r="Z1681" i="1"/>
  <c r="AA1681" i="1"/>
  <c r="AB1681" i="1"/>
  <c r="AC1681" i="1"/>
  <c r="AD1681" i="1"/>
  <c r="AE1681" i="1"/>
  <c r="R1682" i="1"/>
  <c r="S1682" i="1"/>
  <c r="T1682" i="1"/>
  <c r="U1682" i="1"/>
  <c r="X1682" i="1"/>
  <c r="Y1682" i="1"/>
  <c r="Z1682" i="1"/>
  <c r="AA1682" i="1"/>
  <c r="AB1682" i="1"/>
  <c r="AD1682" i="1"/>
  <c r="AE1682" i="1"/>
  <c r="R1683" i="1"/>
  <c r="S1683" i="1"/>
  <c r="T1683" i="1"/>
  <c r="U1683" i="1"/>
  <c r="X1683" i="1"/>
  <c r="Z1683" i="1"/>
  <c r="AA1683" i="1"/>
  <c r="AB1683" i="1"/>
  <c r="AD1683" i="1"/>
  <c r="AE1683" i="1"/>
  <c r="AN1683" i="1"/>
  <c r="AO1683" i="1"/>
  <c r="AP1683" i="1"/>
  <c r="R1684" i="1"/>
  <c r="S1684" i="1"/>
  <c r="T1684" i="1"/>
  <c r="U1684" i="1"/>
  <c r="X1684" i="1"/>
  <c r="Z1684" i="1"/>
  <c r="AC1684" i="1"/>
  <c r="AD1684" i="1"/>
  <c r="AE1684" i="1"/>
  <c r="R1685" i="1"/>
  <c r="S1685" i="1"/>
  <c r="T1685" i="1"/>
  <c r="U1685" i="1"/>
  <c r="X1685" i="1"/>
  <c r="Z1685" i="1"/>
  <c r="AA1685" i="1"/>
  <c r="AB1685" i="1"/>
  <c r="AD1685" i="1"/>
  <c r="AE1685" i="1"/>
  <c r="R1686" i="1"/>
  <c r="S1686" i="1"/>
  <c r="T1686" i="1"/>
  <c r="U1686" i="1"/>
  <c r="V1686" i="1"/>
  <c r="X1686" i="1"/>
  <c r="Y1686" i="1"/>
  <c r="Z1686" i="1"/>
  <c r="AD1686" i="1"/>
  <c r="AE1686" i="1"/>
  <c r="R1687" i="1"/>
  <c r="S1687" i="1"/>
  <c r="T1687" i="1"/>
  <c r="U1687" i="1"/>
  <c r="X1687" i="1"/>
  <c r="Z1687" i="1"/>
  <c r="AD1687" i="1"/>
  <c r="AE1687" i="1"/>
  <c r="R1688" i="1"/>
  <c r="S1688" i="1"/>
  <c r="T1688" i="1"/>
  <c r="U1688" i="1"/>
  <c r="X1688" i="1"/>
  <c r="Z1688" i="1"/>
  <c r="AD1688" i="1"/>
  <c r="AE1688" i="1"/>
  <c r="R1689" i="1"/>
  <c r="S1689" i="1"/>
  <c r="T1689" i="1"/>
  <c r="U1689" i="1"/>
  <c r="X1689" i="1"/>
  <c r="Y1689" i="1"/>
  <c r="Z1689" i="1"/>
  <c r="AC1689" i="1"/>
  <c r="AD1689" i="1"/>
  <c r="AE1689" i="1"/>
  <c r="R1690" i="1"/>
  <c r="S1690" i="1"/>
  <c r="T1690" i="1"/>
  <c r="U1690" i="1"/>
  <c r="X1690" i="1"/>
  <c r="Z1690" i="1"/>
  <c r="AC1690" i="1"/>
  <c r="AD1690" i="1"/>
  <c r="AE1690" i="1"/>
  <c r="R1691" i="1"/>
  <c r="S1691" i="1"/>
  <c r="T1691" i="1"/>
  <c r="U1691" i="1"/>
  <c r="X1691" i="1"/>
  <c r="Z1691" i="1"/>
  <c r="AA1691" i="1"/>
  <c r="AB1691" i="1"/>
  <c r="AD1691" i="1"/>
  <c r="AE1691" i="1"/>
  <c r="R1692" i="1"/>
  <c r="S1692" i="1"/>
  <c r="T1692" i="1"/>
  <c r="U1692" i="1"/>
  <c r="V1692" i="1"/>
  <c r="X1692" i="1"/>
  <c r="Y1692" i="1"/>
  <c r="Z1692" i="1"/>
  <c r="AC1692" i="1"/>
  <c r="AD1692" i="1"/>
  <c r="AE1692" i="1"/>
  <c r="R1693" i="1"/>
  <c r="S1693" i="1"/>
  <c r="T1693" i="1"/>
  <c r="U1693" i="1"/>
  <c r="V1693" i="1"/>
  <c r="X1693" i="1"/>
  <c r="Z1693" i="1"/>
  <c r="AC1693" i="1"/>
  <c r="AD1693" i="1"/>
  <c r="AE1693" i="1"/>
  <c r="R1694" i="1"/>
  <c r="S1694" i="1"/>
  <c r="T1694" i="1"/>
  <c r="U1694" i="1"/>
  <c r="X1694" i="1"/>
  <c r="Y1694" i="1"/>
  <c r="Z1694" i="1"/>
  <c r="AD1694" i="1"/>
  <c r="AE1694" i="1"/>
  <c r="R1695" i="1"/>
  <c r="S1695" i="1"/>
  <c r="T1695" i="1"/>
  <c r="U1695" i="1"/>
  <c r="X1695" i="1"/>
  <c r="Y1695" i="1"/>
  <c r="Z1695" i="1"/>
  <c r="AA1695" i="1"/>
  <c r="AB1695" i="1"/>
  <c r="AC1695" i="1"/>
  <c r="AD1695" i="1"/>
  <c r="AE1695" i="1"/>
  <c r="R1696" i="1"/>
  <c r="S1696" i="1"/>
  <c r="T1696" i="1"/>
  <c r="U1696" i="1"/>
  <c r="X1696" i="1"/>
  <c r="Z1696" i="1"/>
  <c r="AA1696" i="1"/>
  <c r="AB1696" i="1"/>
  <c r="AD1696" i="1"/>
  <c r="AE1696" i="1"/>
  <c r="R1697" i="1"/>
  <c r="S1697" i="1"/>
  <c r="T1697" i="1"/>
  <c r="U1697" i="1"/>
  <c r="V1697" i="1"/>
  <c r="X1697" i="1"/>
  <c r="Z1697" i="1"/>
  <c r="AA1697" i="1"/>
  <c r="AB1697" i="1"/>
  <c r="AC1697" i="1"/>
  <c r="AD1697" i="1"/>
  <c r="AE1697" i="1"/>
  <c r="R1698" i="1"/>
  <c r="S1698" i="1"/>
  <c r="T1698" i="1"/>
  <c r="U1698" i="1"/>
  <c r="X1698" i="1"/>
  <c r="Y1698" i="1"/>
  <c r="Z1698" i="1"/>
  <c r="AD1698" i="1"/>
  <c r="AE1698" i="1"/>
  <c r="R1699" i="1"/>
  <c r="S1699" i="1"/>
  <c r="T1699" i="1"/>
  <c r="U1699" i="1"/>
  <c r="X1699" i="1"/>
  <c r="Z1699" i="1"/>
  <c r="AD1699" i="1"/>
  <c r="AE1699" i="1"/>
  <c r="R1700" i="1"/>
  <c r="S1700" i="1"/>
  <c r="T1700" i="1"/>
  <c r="U1700" i="1"/>
  <c r="V1700" i="1"/>
  <c r="X1700" i="1"/>
  <c r="Z1700" i="1"/>
  <c r="AC1700" i="1"/>
  <c r="AD1700" i="1"/>
  <c r="AE1700" i="1"/>
  <c r="R1701" i="1"/>
  <c r="S1701" i="1"/>
  <c r="T1701" i="1"/>
  <c r="U1701" i="1"/>
  <c r="X1701" i="1"/>
  <c r="Y1701" i="1"/>
  <c r="Z1701" i="1"/>
  <c r="AD1701" i="1"/>
  <c r="AE1701" i="1"/>
  <c r="R1702" i="1"/>
  <c r="S1702" i="1"/>
  <c r="T1702" i="1"/>
  <c r="U1702" i="1"/>
  <c r="V1702" i="1"/>
  <c r="X1702" i="1"/>
  <c r="Z1702" i="1"/>
  <c r="AD1702" i="1"/>
  <c r="AE1702" i="1"/>
  <c r="R1703" i="1"/>
  <c r="S1703" i="1"/>
  <c r="T1703" i="1"/>
  <c r="U1703" i="1"/>
  <c r="V1703" i="1"/>
  <c r="X1703" i="1"/>
  <c r="Y1703" i="1"/>
  <c r="Z1703" i="1"/>
  <c r="AC1703" i="1"/>
  <c r="AD1703" i="1"/>
  <c r="AE1703" i="1"/>
  <c r="R1704" i="1"/>
  <c r="S1704" i="1"/>
  <c r="T1704" i="1"/>
  <c r="U1704" i="1"/>
  <c r="V1704" i="1"/>
  <c r="X1704" i="1"/>
  <c r="Y1704" i="1"/>
  <c r="Z1704" i="1"/>
  <c r="AA1704" i="1"/>
  <c r="AB1704" i="1"/>
  <c r="AC1704" i="1"/>
  <c r="AD1704" i="1"/>
  <c r="AE1704" i="1"/>
  <c r="R1705" i="1"/>
  <c r="S1705" i="1"/>
  <c r="T1705" i="1"/>
  <c r="U1705" i="1"/>
  <c r="V1705" i="1"/>
  <c r="X1705" i="1"/>
  <c r="Z1705" i="1"/>
  <c r="AD1705" i="1"/>
  <c r="AE1705" i="1"/>
  <c r="R1706" i="1"/>
  <c r="S1706" i="1"/>
  <c r="T1706" i="1"/>
  <c r="U1706" i="1"/>
  <c r="X1706" i="1"/>
  <c r="Y1706" i="1"/>
  <c r="Z1706" i="1"/>
  <c r="AD1706" i="1"/>
  <c r="AE1706" i="1"/>
  <c r="R1707" i="1"/>
  <c r="S1707" i="1"/>
  <c r="T1707" i="1"/>
  <c r="U1707" i="1"/>
  <c r="X1707" i="1"/>
  <c r="Z1707" i="1"/>
  <c r="AC1707" i="1"/>
  <c r="AD1707" i="1"/>
  <c r="AE1707" i="1"/>
  <c r="R1708" i="1"/>
  <c r="S1708" i="1"/>
  <c r="T1708" i="1"/>
  <c r="U1708" i="1"/>
  <c r="X1708" i="1"/>
  <c r="Z1708" i="1"/>
  <c r="AC1708" i="1"/>
  <c r="AD1708" i="1"/>
  <c r="AE1708" i="1"/>
  <c r="R1709" i="1"/>
  <c r="S1709" i="1"/>
  <c r="T1709" i="1"/>
  <c r="U1709" i="1"/>
  <c r="X1709" i="1"/>
  <c r="Z1709" i="1"/>
  <c r="AD1709" i="1"/>
  <c r="AE1709" i="1"/>
  <c r="R1710" i="1"/>
  <c r="S1710" i="1"/>
  <c r="T1710" i="1"/>
  <c r="U1710" i="1"/>
  <c r="V1710" i="1"/>
  <c r="X1710" i="1"/>
  <c r="Y1710" i="1"/>
  <c r="Z1710" i="1"/>
  <c r="AC1710" i="1"/>
  <c r="AD1710" i="1"/>
  <c r="AE1710" i="1"/>
  <c r="R1711" i="1"/>
  <c r="S1711" i="1"/>
  <c r="T1711" i="1"/>
  <c r="U1711" i="1"/>
  <c r="X1711" i="1"/>
  <c r="Z1711" i="1"/>
  <c r="AA1711" i="1"/>
  <c r="AB1711" i="1"/>
  <c r="AD1711" i="1"/>
  <c r="AE1711" i="1"/>
  <c r="R1712" i="1"/>
  <c r="S1712" i="1"/>
  <c r="T1712" i="1"/>
  <c r="U1712" i="1"/>
  <c r="X1712" i="1"/>
  <c r="Y1712" i="1"/>
  <c r="Z1712" i="1"/>
  <c r="AA1712" i="1"/>
  <c r="AB1712" i="1"/>
  <c r="AC1712" i="1"/>
  <c r="AD1712" i="1"/>
  <c r="AE1712" i="1"/>
  <c r="R1713" i="1"/>
  <c r="S1713" i="1"/>
  <c r="T1713" i="1"/>
  <c r="U1713" i="1"/>
  <c r="X1713" i="1"/>
  <c r="Y1713" i="1"/>
  <c r="Z1713" i="1"/>
  <c r="AA1713" i="1"/>
  <c r="AB1713" i="1"/>
  <c r="AD1713" i="1"/>
  <c r="AE1713" i="1"/>
  <c r="R1714" i="1"/>
  <c r="S1714" i="1"/>
  <c r="T1714" i="1"/>
  <c r="U1714" i="1"/>
  <c r="X1714" i="1"/>
  <c r="Z1714" i="1"/>
  <c r="AC1714" i="1"/>
  <c r="AD1714" i="1"/>
  <c r="AE1714" i="1"/>
  <c r="R1715" i="1"/>
  <c r="S1715" i="1"/>
  <c r="T1715" i="1"/>
  <c r="U1715" i="1"/>
  <c r="X1715" i="1"/>
  <c r="Y1715" i="1"/>
  <c r="Z1715" i="1"/>
  <c r="AE1715" i="1"/>
  <c r="R1716" i="1"/>
  <c r="S1716" i="1"/>
  <c r="T1716" i="1"/>
  <c r="U1716" i="1"/>
  <c r="V1716" i="1"/>
  <c r="X1716" i="1"/>
  <c r="Y1716" i="1"/>
  <c r="Z1716" i="1"/>
  <c r="AD1716" i="1"/>
  <c r="AE1716" i="1"/>
  <c r="R1717" i="1"/>
  <c r="S1717" i="1"/>
  <c r="T1717" i="1"/>
  <c r="U1717" i="1"/>
  <c r="V1717" i="1"/>
  <c r="X1717" i="1"/>
  <c r="Y1717" i="1"/>
  <c r="Z1717" i="1"/>
  <c r="AC1717" i="1"/>
  <c r="AD1717" i="1"/>
  <c r="AE1717" i="1"/>
  <c r="R1718" i="1"/>
  <c r="S1718" i="1"/>
  <c r="T1718" i="1"/>
  <c r="U1718" i="1"/>
  <c r="X1718" i="1"/>
  <c r="Z1718" i="1"/>
  <c r="AA1718" i="1"/>
  <c r="AB1718" i="1"/>
  <c r="AC1718" i="1"/>
  <c r="AD1718" i="1"/>
  <c r="AE1718" i="1"/>
  <c r="R1719" i="1"/>
  <c r="S1719" i="1"/>
  <c r="T1719" i="1"/>
  <c r="U1719" i="1"/>
  <c r="X1719" i="1"/>
  <c r="Y1719" i="1"/>
  <c r="Z1719" i="1"/>
  <c r="AA1719" i="1"/>
  <c r="AB1719" i="1"/>
  <c r="AC1719" i="1"/>
  <c r="AD1719" i="1"/>
  <c r="AE1719" i="1"/>
  <c r="R1720" i="1"/>
  <c r="S1720" i="1"/>
  <c r="T1720" i="1"/>
  <c r="U1720" i="1"/>
  <c r="X1720" i="1"/>
  <c r="Y1720" i="1"/>
  <c r="Z1720" i="1"/>
  <c r="AA1720" i="1"/>
  <c r="AB1720" i="1"/>
  <c r="AC1720" i="1"/>
  <c r="AD1720" i="1"/>
  <c r="AE1720" i="1"/>
  <c r="R1721" i="1"/>
  <c r="S1721" i="1"/>
  <c r="T1721" i="1"/>
  <c r="U1721" i="1"/>
  <c r="X1721" i="1"/>
  <c r="Y1721" i="1"/>
  <c r="Z1721" i="1"/>
  <c r="AD1721" i="1"/>
  <c r="AE1721" i="1"/>
  <c r="R1722" i="1"/>
  <c r="S1722" i="1"/>
  <c r="T1722" i="1"/>
  <c r="U1722" i="1"/>
  <c r="X1722" i="1"/>
  <c r="Y1722" i="1"/>
  <c r="Z1722" i="1"/>
  <c r="AD1722" i="1"/>
  <c r="AE1722" i="1"/>
  <c r="R1723" i="1"/>
  <c r="S1723" i="1"/>
  <c r="T1723" i="1"/>
  <c r="U1723" i="1"/>
  <c r="X1723" i="1"/>
  <c r="Z1723" i="1"/>
  <c r="AC1723" i="1"/>
  <c r="AD1723" i="1"/>
  <c r="AE1723" i="1"/>
  <c r="R1724" i="1"/>
  <c r="S1724" i="1"/>
  <c r="T1724" i="1"/>
  <c r="U1724" i="1"/>
  <c r="X1724" i="1"/>
  <c r="Y1724" i="1"/>
  <c r="Z1724" i="1"/>
  <c r="AA1724" i="1"/>
  <c r="AB1724" i="1"/>
  <c r="AD1724" i="1"/>
  <c r="AE1724" i="1"/>
  <c r="R1725" i="1"/>
  <c r="S1725" i="1"/>
  <c r="T1725" i="1"/>
  <c r="U1725" i="1"/>
  <c r="X1725" i="1"/>
  <c r="Y1725" i="1"/>
  <c r="Z1725" i="1"/>
  <c r="AA1725" i="1"/>
  <c r="AB1725" i="1"/>
  <c r="AD1725" i="1"/>
  <c r="AE1725" i="1"/>
  <c r="R1726" i="1"/>
  <c r="S1726" i="1"/>
  <c r="T1726" i="1"/>
  <c r="U1726" i="1"/>
  <c r="X1726" i="1"/>
  <c r="Y1726" i="1"/>
  <c r="Z1726" i="1"/>
  <c r="AA1726" i="1"/>
  <c r="AB1726" i="1"/>
  <c r="AD1726" i="1"/>
  <c r="AE1726" i="1"/>
  <c r="R1727" i="1"/>
  <c r="S1727" i="1"/>
  <c r="T1727" i="1"/>
  <c r="U1727" i="1"/>
  <c r="V1727" i="1"/>
  <c r="X1727" i="1"/>
  <c r="Y1727" i="1"/>
  <c r="Z1727" i="1"/>
  <c r="AA1727" i="1"/>
  <c r="AB1727" i="1"/>
  <c r="AC1727" i="1"/>
  <c r="AD1727" i="1"/>
  <c r="AE1727" i="1"/>
  <c r="AH1727" i="1"/>
  <c r="R1728" i="1"/>
  <c r="S1728" i="1"/>
  <c r="T1728" i="1"/>
  <c r="U1728" i="1"/>
  <c r="V1728" i="1"/>
  <c r="X1728" i="1"/>
  <c r="Y1728" i="1"/>
  <c r="Z1728" i="1"/>
  <c r="AA1728" i="1"/>
  <c r="AB1728" i="1"/>
  <c r="AD1728" i="1"/>
  <c r="AE1728" i="1"/>
  <c r="R1729" i="1"/>
  <c r="S1729" i="1"/>
  <c r="T1729" i="1"/>
  <c r="U1729" i="1"/>
  <c r="X1729" i="1"/>
  <c r="Y1729" i="1"/>
  <c r="Z1729" i="1"/>
  <c r="AA1729" i="1"/>
  <c r="AB1729" i="1"/>
  <c r="AC1729" i="1"/>
  <c r="AD1729" i="1"/>
  <c r="AE1729" i="1"/>
  <c r="R1730" i="1"/>
  <c r="S1730" i="1"/>
  <c r="T1730" i="1"/>
  <c r="U1730" i="1"/>
  <c r="X1730" i="1"/>
  <c r="Y1730" i="1"/>
  <c r="Z1730" i="1"/>
  <c r="AA1730" i="1"/>
  <c r="AB1730" i="1"/>
  <c r="AD1730" i="1"/>
  <c r="AE1730" i="1"/>
  <c r="R1731" i="1"/>
  <c r="S1731" i="1"/>
  <c r="T1731" i="1"/>
  <c r="U1731" i="1"/>
  <c r="X1731" i="1"/>
  <c r="Z1731" i="1"/>
  <c r="AA1731" i="1"/>
  <c r="AB1731" i="1"/>
  <c r="AD1731" i="1"/>
  <c r="AE1731" i="1"/>
  <c r="R1732" i="1"/>
  <c r="S1732" i="1"/>
  <c r="T1732" i="1"/>
  <c r="U1732" i="1"/>
  <c r="X1732" i="1"/>
  <c r="Y1732" i="1"/>
  <c r="Z1732" i="1"/>
  <c r="AA1732" i="1"/>
  <c r="AB1732" i="1"/>
  <c r="AC1732" i="1"/>
  <c r="AD1732" i="1"/>
  <c r="AE1732" i="1"/>
  <c r="R1733" i="1"/>
  <c r="S1733" i="1"/>
  <c r="T1733" i="1"/>
  <c r="U1733" i="1"/>
  <c r="X1733" i="1"/>
  <c r="Y1733" i="1"/>
  <c r="Z1733" i="1"/>
  <c r="AA1733" i="1"/>
  <c r="AB1733" i="1"/>
  <c r="AC1733" i="1"/>
  <c r="AD1733" i="1"/>
  <c r="AE1733" i="1"/>
  <c r="R1734" i="1"/>
  <c r="S1734" i="1"/>
  <c r="T1734" i="1"/>
  <c r="U1734" i="1"/>
  <c r="X1734" i="1"/>
  <c r="Z1734" i="1"/>
  <c r="AA1734" i="1"/>
  <c r="AB1734" i="1"/>
  <c r="AD1734" i="1"/>
  <c r="AE1734" i="1"/>
  <c r="AN1734" i="1"/>
  <c r="AO1734" i="1"/>
  <c r="AS1734" i="1"/>
  <c r="R1735" i="1"/>
  <c r="S1735" i="1"/>
  <c r="T1735" i="1"/>
  <c r="U1735" i="1"/>
  <c r="X1735" i="1"/>
  <c r="Y1735" i="1"/>
  <c r="Z1735" i="1"/>
  <c r="AA1735" i="1"/>
  <c r="AB1735" i="1"/>
  <c r="AC1735" i="1"/>
  <c r="AD1735" i="1"/>
  <c r="AE1735" i="1"/>
  <c r="R1736" i="1"/>
  <c r="S1736" i="1"/>
  <c r="T1736" i="1"/>
  <c r="U1736" i="1"/>
  <c r="V1736" i="1"/>
  <c r="X1736" i="1"/>
  <c r="Y1736" i="1"/>
  <c r="Z1736" i="1"/>
  <c r="AA1736" i="1"/>
  <c r="AB1736" i="1"/>
  <c r="AC1736" i="1"/>
  <c r="AD1736" i="1"/>
  <c r="AE1736" i="1"/>
  <c r="R1737" i="1"/>
  <c r="S1737" i="1"/>
  <c r="T1737" i="1"/>
  <c r="U1737" i="1"/>
  <c r="X1737" i="1"/>
  <c r="Z1737" i="1"/>
  <c r="AA1737" i="1"/>
  <c r="AB1737" i="1"/>
  <c r="AD1737" i="1"/>
  <c r="AE1737" i="1"/>
  <c r="AN1737" i="1"/>
  <c r="AO1737" i="1"/>
  <c r="AP1737" i="1"/>
  <c r="AS1737" i="1"/>
  <c r="R1738" i="1"/>
  <c r="S1738" i="1"/>
  <c r="T1738" i="1"/>
  <c r="U1738" i="1"/>
  <c r="X1738" i="1"/>
  <c r="Z1738" i="1"/>
  <c r="AC1738" i="1"/>
  <c r="AD1738" i="1"/>
  <c r="AE1738" i="1"/>
  <c r="AN1738" i="1"/>
  <c r="AO1738" i="1"/>
  <c r="AP1738" i="1"/>
  <c r="AQ1738" i="1"/>
  <c r="AS1738" i="1"/>
  <c r="BG1738" i="1"/>
  <c r="BK1738" i="1"/>
  <c r="R1739" i="1"/>
  <c r="S1739" i="1"/>
  <c r="T1739" i="1"/>
  <c r="U1739" i="1"/>
  <c r="X1739" i="1"/>
  <c r="Y1739" i="1"/>
  <c r="Z1739" i="1"/>
  <c r="AA1739" i="1"/>
  <c r="AB1739" i="1"/>
  <c r="AD1739" i="1"/>
  <c r="AE1739" i="1"/>
  <c r="R1740" i="1"/>
  <c r="S1740" i="1"/>
  <c r="T1740" i="1"/>
  <c r="U1740" i="1"/>
  <c r="V1740" i="1"/>
  <c r="X1740" i="1"/>
  <c r="Y1740" i="1"/>
  <c r="Z1740" i="1"/>
  <c r="AA1740" i="1"/>
  <c r="AB1740" i="1"/>
  <c r="AC1740" i="1"/>
  <c r="AD1740" i="1"/>
  <c r="AE1740" i="1"/>
  <c r="R1741" i="1"/>
  <c r="S1741" i="1"/>
  <c r="T1741" i="1"/>
  <c r="U1741" i="1"/>
  <c r="X1741" i="1"/>
  <c r="Y1741" i="1"/>
  <c r="Z1741" i="1"/>
  <c r="AA1741" i="1"/>
  <c r="AB1741" i="1"/>
  <c r="AC1741" i="1"/>
  <c r="AD1741" i="1"/>
  <c r="AE1741" i="1"/>
  <c r="AI1741" i="1"/>
  <c r="AN1741" i="1"/>
  <c r="AO1741" i="1"/>
  <c r="AP1741" i="1"/>
  <c r="AQ1741" i="1"/>
  <c r="AS1741" i="1"/>
  <c r="BA1741" i="1"/>
  <c r="BB1741" i="1"/>
  <c r="BD1741" i="1"/>
  <c r="BE1741" i="1"/>
  <c r="R1742" i="1"/>
  <c r="S1742" i="1"/>
  <c r="T1742" i="1"/>
  <c r="U1742" i="1"/>
  <c r="V1742" i="1"/>
  <c r="X1742" i="1"/>
  <c r="Y1742" i="1"/>
  <c r="Z1742" i="1"/>
  <c r="AA1742" i="1"/>
  <c r="AB1742" i="1"/>
  <c r="AD1742" i="1"/>
  <c r="AE1742" i="1"/>
  <c r="R1743" i="1"/>
  <c r="S1743" i="1"/>
  <c r="T1743" i="1"/>
  <c r="U1743" i="1"/>
  <c r="X1743" i="1"/>
  <c r="Y1743" i="1"/>
  <c r="Z1743" i="1"/>
  <c r="AD1743" i="1"/>
  <c r="AE1743" i="1"/>
  <c r="AN1743" i="1"/>
  <c r="AO1743" i="1"/>
  <c r="AP1743" i="1"/>
  <c r="AQ1743" i="1"/>
  <c r="AS1743" i="1"/>
  <c r="BE1743" i="1"/>
  <c r="BK1743" i="1"/>
  <c r="CF1743" i="1"/>
  <c r="CR1743" i="1"/>
  <c r="EP1743" i="1"/>
  <c r="R1744" i="1"/>
  <c r="S1744" i="1"/>
  <c r="T1744" i="1"/>
  <c r="U1744" i="1"/>
  <c r="V1744" i="1"/>
  <c r="X1744" i="1"/>
  <c r="Z1744" i="1"/>
  <c r="AC1744" i="1"/>
  <c r="AD1744" i="1"/>
  <c r="AE1744" i="1"/>
  <c r="R1745" i="1"/>
  <c r="S1745" i="1"/>
  <c r="T1745" i="1"/>
  <c r="U1745" i="1"/>
  <c r="W1745" i="1"/>
  <c r="X1745" i="1"/>
  <c r="Z1745" i="1"/>
  <c r="AD1745" i="1"/>
  <c r="AE1745" i="1"/>
  <c r="AN1745" i="1"/>
  <c r="AO1745" i="1"/>
  <c r="AP1745" i="1"/>
  <c r="AQ1745" i="1"/>
  <c r="AS1745" i="1"/>
  <c r="BE1745" i="1"/>
  <c r="BF1745" i="1"/>
  <c r="BH1745" i="1"/>
  <c r="BK1745" i="1"/>
  <c r="R1746" i="1"/>
  <c r="S1746" i="1"/>
  <c r="T1746" i="1"/>
  <c r="U1746" i="1"/>
  <c r="X1746" i="1"/>
  <c r="Z1746" i="1"/>
  <c r="AA1746" i="1"/>
  <c r="AB1746" i="1"/>
  <c r="AD1746" i="1"/>
  <c r="AE1746" i="1"/>
  <c r="AI1746" i="1"/>
  <c r="AN1746" i="1"/>
  <c r="AO1746" i="1"/>
  <c r="AP1746" i="1"/>
  <c r="AS1746" i="1"/>
  <c r="R1747" i="1"/>
  <c r="S1747" i="1"/>
  <c r="T1747" i="1"/>
  <c r="U1747" i="1"/>
  <c r="X1747" i="1"/>
  <c r="Y1747" i="1"/>
  <c r="Z1747" i="1"/>
  <c r="AC1747" i="1"/>
  <c r="AD1747" i="1"/>
  <c r="AE1747" i="1"/>
  <c r="R1748" i="1"/>
  <c r="S1748" i="1"/>
  <c r="T1748" i="1"/>
  <c r="U1748" i="1"/>
  <c r="X1748" i="1"/>
  <c r="Z1748" i="1"/>
  <c r="AA1748" i="1"/>
  <c r="AB1748" i="1"/>
  <c r="AD1748" i="1"/>
  <c r="AE1748" i="1"/>
  <c r="AS1748" i="1"/>
  <c r="R1749" i="1"/>
  <c r="S1749" i="1"/>
  <c r="T1749" i="1"/>
  <c r="U1749" i="1"/>
  <c r="X1749" i="1"/>
  <c r="Y1749" i="1"/>
  <c r="Z1749" i="1"/>
  <c r="AA1749" i="1"/>
  <c r="AB1749" i="1"/>
  <c r="AC1749" i="1"/>
  <c r="AD1749" i="1"/>
  <c r="AE1749" i="1"/>
  <c r="R1750" i="1"/>
  <c r="S1750" i="1"/>
  <c r="T1750" i="1"/>
  <c r="U1750" i="1"/>
  <c r="V1750" i="1"/>
  <c r="X1750" i="1"/>
  <c r="Y1750" i="1"/>
  <c r="Z1750" i="1"/>
  <c r="AD1750" i="1"/>
  <c r="AE1750" i="1"/>
  <c r="R1751" i="1"/>
  <c r="S1751" i="1"/>
  <c r="T1751" i="1"/>
  <c r="U1751" i="1"/>
  <c r="X1751" i="1"/>
  <c r="Y1751" i="1"/>
  <c r="Z1751" i="1"/>
  <c r="AA1751" i="1"/>
  <c r="AB1751" i="1"/>
  <c r="AD1751" i="1"/>
  <c r="AE1751" i="1"/>
  <c r="R1752" i="1"/>
  <c r="S1752" i="1"/>
  <c r="T1752" i="1"/>
  <c r="U1752" i="1"/>
  <c r="X1752" i="1"/>
  <c r="Y1752" i="1"/>
  <c r="Z1752" i="1"/>
  <c r="AC1752" i="1"/>
  <c r="AD1752" i="1"/>
  <c r="AE1752" i="1"/>
  <c r="R1753" i="1"/>
  <c r="S1753" i="1"/>
  <c r="T1753" i="1"/>
  <c r="U1753" i="1"/>
  <c r="W1753" i="1"/>
  <c r="X1753" i="1"/>
  <c r="Y1753" i="1"/>
  <c r="Z1753" i="1"/>
  <c r="AD1753" i="1"/>
  <c r="AE1753" i="1"/>
  <c r="R1754" i="1"/>
  <c r="S1754" i="1"/>
  <c r="T1754" i="1"/>
  <c r="U1754" i="1"/>
  <c r="X1754" i="1"/>
  <c r="Y1754" i="1"/>
  <c r="Z1754" i="1"/>
  <c r="AC1754" i="1"/>
  <c r="AD1754" i="1"/>
  <c r="R1755" i="1"/>
  <c r="S1755" i="1"/>
  <c r="T1755" i="1"/>
  <c r="U1755" i="1"/>
  <c r="X1755" i="1"/>
  <c r="Z1755" i="1"/>
  <c r="AA1755" i="1"/>
  <c r="AB1755" i="1"/>
  <c r="AC1755" i="1"/>
  <c r="AD1755" i="1"/>
  <c r="AE1755" i="1"/>
  <c r="R1756" i="1"/>
  <c r="S1756" i="1"/>
  <c r="T1756" i="1"/>
  <c r="U1756" i="1"/>
  <c r="V1756" i="1"/>
  <c r="X1756" i="1"/>
  <c r="Z1756" i="1"/>
  <c r="AD1756" i="1"/>
  <c r="AE1756" i="1"/>
  <c r="R1757" i="1"/>
  <c r="S1757" i="1"/>
  <c r="T1757" i="1"/>
  <c r="U1757" i="1"/>
  <c r="V1757" i="1"/>
  <c r="X1757" i="1"/>
  <c r="Y1757" i="1"/>
  <c r="Z1757" i="1"/>
  <c r="AC1757" i="1"/>
  <c r="AD1757" i="1"/>
  <c r="AE1757" i="1"/>
  <c r="R1758" i="1"/>
  <c r="S1758" i="1"/>
  <c r="T1758" i="1"/>
  <c r="U1758" i="1"/>
  <c r="X1758" i="1"/>
  <c r="Z1758" i="1"/>
  <c r="AC1758" i="1"/>
  <c r="AD1758" i="1"/>
  <c r="AE1758" i="1"/>
  <c r="R1759" i="1"/>
  <c r="S1759" i="1"/>
  <c r="T1759" i="1"/>
  <c r="U1759" i="1"/>
  <c r="X1759" i="1"/>
  <c r="Y1759" i="1"/>
  <c r="Z1759" i="1"/>
  <c r="AA1759" i="1"/>
  <c r="AB1759" i="1"/>
  <c r="AD1759" i="1"/>
  <c r="AE1759" i="1"/>
  <c r="R1760" i="1"/>
  <c r="S1760" i="1"/>
  <c r="T1760" i="1"/>
  <c r="U1760" i="1"/>
  <c r="X1760" i="1"/>
  <c r="Y1760" i="1"/>
  <c r="Z1760" i="1"/>
  <c r="AA1760" i="1"/>
  <c r="AB1760" i="1"/>
  <c r="AD1760" i="1"/>
  <c r="AE1760" i="1"/>
  <c r="R1761" i="1"/>
  <c r="S1761" i="1"/>
  <c r="T1761" i="1"/>
  <c r="U1761" i="1"/>
  <c r="X1761" i="1"/>
  <c r="Y1761" i="1"/>
  <c r="Z1761" i="1"/>
  <c r="AA1761" i="1"/>
  <c r="AB1761" i="1"/>
  <c r="AD1761" i="1"/>
  <c r="AE1761" i="1"/>
  <c r="R1762" i="1"/>
  <c r="S1762" i="1"/>
  <c r="T1762" i="1"/>
  <c r="U1762" i="1"/>
  <c r="X1762" i="1"/>
  <c r="Y1762" i="1"/>
  <c r="Z1762" i="1"/>
  <c r="AA1762" i="1"/>
  <c r="AB1762" i="1"/>
  <c r="AD1762" i="1"/>
  <c r="AE1762" i="1"/>
  <c r="R1763" i="1"/>
  <c r="S1763" i="1"/>
  <c r="T1763" i="1"/>
  <c r="U1763" i="1"/>
  <c r="X1763" i="1"/>
  <c r="Y1763" i="1"/>
  <c r="Z1763" i="1"/>
  <c r="AA1763" i="1"/>
  <c r="AB1763" i="1"/>
  <c r="AD1763" i="1"/>
  <c r="AE1763" i="1"/>
  <c r="R1764" i="1"/>
  <c r="S1764" i="1"/>
  <c r="T1764" i="1"/>
  <c r="U1764" i="1"/>
  <c r="X1764" i="1"/>
  <c r="Y1764" i="1"/>
  <c r="Z1764" i="1"/>
  <c r="AA1764" i="1"/>
  <c r="AD1764" i="1"/>
  <c r="R1765" i="1"/>
  <c r="S1765" i="1"/>
  <c r="T1765" i="1"/>
  <c r="U1765" i="1"/>
  <c r="X1765" i="1"/>
  <c r="Y1765" i="1"/>
  <c r="Z1765" i="1"/>
  <c r="AA1765" i="1"/>
  <c r="AB1765" i="1"/>
  <c r="AD1765" i="1"/>
  <c r="AE1765" i="1"/>
  <c r="R1766" i="1"/>
  <c r="S1766" i="1"/>
  <c r="T1766" i="1"/>
  <c r="U1766" i="1"/>
  <c r="X1766" i="1"/>
  <c r="Y1766" i="1"/>
  <c r="Z1766" i="1"/>
  <c r="AA1766" i="1"/>
  <c r="AD1766" i="1"/>
  <c r="AE1766" i="1"/>
  <c r="R1767" i="1"/>
  <c r="S1767" i="1"/>
  <c r="T1767" i="1"/>
  <c r="U1767" i="1"/>
  <c r="X1767" i="1"/>
  <c r="Z1767" i="1"/>
  <c r="AA1767" i="1"/>
  <c r="AD1767" i="1"/>
  <c r="AE1767" i="1"/>
  <c r="R1768" i="1"/>
  <c r="S1768" i="1"/>
  <c r="T1768" i="1"/>
  <c r="U1768" i="1"/>
  <c r="X1768" i="1"/>
  <c r="Z1768" i="1"/>
  <c r="AA1768" i="1"/>
  <c r="AB1768" i="1"/>
  <c r="AD1768" i="1"/>
  <c r="AE1768" i="1"/>
  <c r="R1769" i="1"/>
  <c r="S1769" i="1"/>
  <c r="T1769" i="1"/>
  <c r="U1769" i="1"/>
  <c r="X1769" i="1"/>
  <c r="Y1769" i="1"/>
  <c r="Z1769" i="1"/>
  <c r="AD1769" i="1"/>
  <c r="AE1769" i="1"/>
  <c r="R1770" i="1"/>
  <c r="S1770" i="1"/>
  <c r="T1770" i="1"/>
  <c r="U1770" i="1"/>
  <c r="X1770" i="1"/>
  <c r="Z1770" i="1"/>
  <c r="AD1770" i="1"/>
  <c r="AE1770" i="1"/>
  <c r="R1771" i="1"/>
  <c r="S1771" i="1"/>
  <c r="T1771" i="1"/>
  <c r="U1771" i="1"/>
  <c r="X1771" i="1"/>
  <c r="Y1771" i="1"/>
  <c r="Z1771" i="1"/>
  <c r="AA1771" i="1"/>
  <c r="AB1771" i="1"/>
  <c r="AD1771" i="1"/>
  <c r="AE1771" i="1"/>
  <c r="R1772" i="1"/>
  <c r="S1772" i="1"/>
  <c r="T1772" i="1"/>
  <c r="U1772" i="1"/>
  <c r="X1772" i="1"/>
  <c r="Y1772" i="1"/>
  <c r="Z1772" i="1"/>
  <c r="AD1772" i="1"/>
  <c r="AE1772" i="1"/>
  <c r="R1773" i="1"/>
  <c r="S1773" i="1"/>
  <c r="T1773" i="1"/>
  <c r="U1773" i="1"/>
  <c r="X1773" i="1"/>
  <c r="Z1773" i="1"/>
  <c r="AA1773" i="1"/>
  <c r="AB1773" i="1"/>
  <c r="AD1773" i="1"/>
  <c r="AE1773" i="1"/>
  <c r="R1774" i="1"/>
  <c r="S1774" i="1"/>
  <c r="T1774" i="1"/>
  <c r="U1774" i="1"/>
  <c r="X1774" i="1"/>
  <c r="Y1774" i="1"/>
  <c r="Z1774" i="1"/>
  <c r="AA1774" i="1"/>
  <c r="AB1774" i="1"/>
  <c r="AD1774" i="1"/>
  <c r="AE1774" i="1"/>
  <c r="R1775" i="1"/>
  <c r="S1775" i="1"/>
  <c r="T1775" i="1"/>
  <c r="U1775" i="1"/>
  <c r="X1775" i="1"/>
  <c r="Z1775" i="1"/>
  <c r="AD1775" i="1"/>
  <c r="AE1775" i="1"/>
  <c r="R1776" i="1"/>
  <c r="S1776" i="1"/>
  <c r="T1776" i="1"/>
  <c r="U1776" i="1"/>
  <c r="X1776" i="1"/>
  <c r="Z1776" i="1"/>
  <c r="AB1776" i="1"/>
  <c r="AD1776" i="1"/>
  <c r="AE1776" i="1"/>
  <c r="R1777" i="1"/>
  <c r="S1777" i="1"/>
  <c r="T1777" i="1"/>
  <c r="U1777" i="1"/>
  <c r="X1777" i="1"/>
  <c r="Y1777" i="1"/>
  <c r="Z1777" i="1"/>
  <c r="AA1777" i="1"/>
  <c r="AB1777" i="1"/>
  <c r="AD1777" i="1"/>
  <c r="AE1777" i="1"/>
  <c r="R1778" i="1"/>
  <c r="S1778" i="1"/>
  <c r="T1778" i="1"/>
  <c r="U1778" i="1"/>
  <c r="X1778" i="1"/>
  <c r="Z1778" i="1"/>
  <c r="AA1778" i="1"/>
  <c r="AD1778" i="1"/>
  <c r="AE1778" i="1"/>
  <c r="R1779" i="1"/>
  <c r="S1779" i="1"/>
  <c r="T1779" i="1"/>
  <c r="U1779" i="1"/>
  <c r="X1779" i="1"/>
  <c r="Z1779" i="1"/>
  <c r="AA1779" i="1"/>
  <c r="AB1779" i="1"/>
  <c r="AD1779" i="1"/>
  <c r="AE1779" i="1"/>
  <c r="R1780" i="1"/>
  <c r="S1780" i="1"/>
  <c r="T1780" i="1"/>
  <c r="U1780" i="1"/>
  <c r="X1780" i="1"/>
  <c r="Z1780" i="1"/>
  <c r="AA1780" i="1"/>
  <c r="AB1780" i="1"/>
  <c r="AD1780" i="1"/>
  <c r="AE1780" i="1"/>
  <c r="R1781" i="1"/>
  <c r="S1781" i="1"/>
  <c r="T1781" i="1"/>
  <c r="U1781" i="1"/>
  <c r="X1781" i="1"/>
  <c r="Y1781" i="1"/>
  <c r="Z1781" i="1"/>
  <c r="AA1781" i="1"/>
  <c r="AB1781" i="1"/>
  <c r="AD1781" i="1"/>
  <c r="AE1781" i="1"/>
  <c r="R1782" i="1"/>
  <c r="S1782" i="1"/>
  <c r="T1782" i="1"/>
  <c r="U1782" i="1"/>
  <c r="X1782" i="1"/>
  <c r="Z1782" i="1"/>
  <c r="AA1782" i="1"/>
  <c r="AB1782" i="1"/>
  <c r="AD1782" i="1"/>
  <c r="AE1782" i="1"/>
  <c r="R1783" i="1"/>
  <c r="S1783" i="1"/>
  <c r="T1783" i="1"/>
  <c r="U1783" i="1"/>
  <c r="X1783" i="1"/>
  <c r="Z1783" i="1"/>
  <c r="AA1783" i="1"/>
  <c r="AB1783" i="1"/>
  <c r="AD1783" i="1"/>
  <c r="AE1783" i="1"/>
  <c r="R1784" i="1"/>
  <c r="S1784" i="1"/>
  <c r="T1784" i="1"/>
  <c r="U1784" i="1"/>
  <c r="X1784" i="1"/>
  <c r="Y1784" i="1"/>
  <c r="Z1784" i="1"/>
  <c r="AA1784" i="1"/>
  <c r="AB1784" i="1"/>
  <c r="AD1784" i="1"/>
  <c r="AE1784" i="1"/>
  <c r="Z1785" i="1"/>
  <c r="AA1785" i="1"/>
  <c r="AB1785" i="1"/>
  <c r="AD1785" i="1"/>
  <c r="R1786" i="1"/>
  <c r="S1786" i="1"/>
  <c r="T1786" i="1"/>
  <c r="U1786" i="1"/>
  <c r="X1786" i="1"/>
  <c r="Y1786" i="1"/>
  <c r="Z1786" i="1"/>
  <c r="AA1786" i="1"/>
  <c r="AB1786" i="1"/>
  <c r="AD1786" i="1"/>
  <c r="AE1786" i="1"/>
  <c r="R1787" i="1"/>
  <c r="S1787" i="1"/>
  <c r="T1787" i="1"/>
  <c r="U1787" i="1"/>
  <c r="X1787" i="1"/>
  <c r="Z1787" i="1"/>
  <c r="AA1787" i="1"/>
  <c r="AB1787" i="1"/>
  <c r="AD1787" i="1"/>
  <c r="AE1787" i="1"/>
  <c r="R1788" i="1"/>
  <c r="S1788" i="1"/>
  <c r="T1788" i="1"/>
  <c r="U1788" i="1"/>
  <c r="X1788" i="1"/>
  <c r="Y1788" i="1"/>
  <c r="AB1788" i="1"/>
  <c r="R1789" i="1"/>
  <c r="S1789" i="1"/>
  <c r="T1789" i="1"/>
  <c r="U1789" i="1"/>
  <c r="X1789" i="1"/>
  <c r="Y1789" i="1"/>
  <c r="Z1789" i="1"/>
  <c r="AA1789" i="1"/>
  <c r="AB1789" i="1"/>
  <c r="AD1789" i="1"/>
  <c r="AE1789" i="1"/>
  <c r="R1790" i="1"/>
  <c r="S1790" i="1"/>
  <c r="T1790" i="1"/>
  <c r="U1790" i="1"/>
  <c r="X1790" i="1"/>
  <c r="Y1790" i="1"/>
  <c r="Z1790" i="1"/>
  <c r="AB1790" i="1"/>
  <c r="AD1790" i="1"/>
  <c r="R1791" i="1"/>
  <c r="S1791" i="1"/>
  <c r="T1791" i="1"/>
  <c r="U1791" i="1"/>
  <c r="X1791" i="1"/>
  <c r="Y1791" i="1"/>
  <c r="Z1791" i="1"/>
  <c r="AD1791" i="1"/>
  <c r="R1792" i="1"/>
  <c r="S1792" i="1"/>
  <c r="T1792" i="1"/>
  <c r="U1792" i="1"/>
  <c r="X1792" i="1"/>
  <c r="Y1792" i="1"/>
  <c r="Z1792" i="1"/>
  <c r="AD1792" i="1"/>
  <c r="AE1792" i="1"/>
  <c r="R1793" i="1"/>
  <c r="S1793" i="1"/>
  <c r="T1793" i="1"/>
  <c r="U1793" i="1"/>
  <c r="X1793" i="1"/>
  <c r="Z1793" i="1"/>
  <c r="AA1793" i="1"/>
  <c r="AB1793" i="1"/>
  <c r="AD1793" i="1"/>
  <c r="AE1793" i="1"/>
  <c r="R1794" i="1"/>
  <c r="S1794" i="1"/>
  <c r="T1794" i="1"/>
  <c r="U1794" i="1"/>
  <c r="X1794" i="1"/>
  <c r="Y1794" i="1"/>
  <c r="Z1794" i="1"/>
  <c r="AA1794" i="1"/>
  <c r="AB1794" i="1"/>
  <c r="AD1794" i="1"/>
  <c r="AE1794" i="1"/>
  <c r="R1795" i="1"/>
  <c r="S1795" i="1"/>
  <c r="T1795" i="1"/>
  <c r="U1795" i="1"/>
  <c r="X1795" i="1"/>
  <c r="Y1795" i="1"/>
  <c r="Z1795" i="1"/>
  <c r="AA1795" i="1"/>
  <c r="AB1795" i="1"/>
  <c r="AD1795" i="1"/>
  <c r="AE1795" i="1"/>
  <c r="R1796" i="1"/>
  <c r="S1796" i="1"/>
  <c r="T1796" i="1"/>
  <c r="U1796" i="1"/>
  <c r="X1796" i="1"/>
  <c r="Y1796" i="1"/>
  <c r="Z1796" i="1"/>
  <c r="AA1796" i="1"/>
  <c r="AD1796" i="1"/>
  <c r="AE1796" i="1"/>
  <c r="R1797" i="1"/>
  <c r="S1797" i="1"/>
  <c r="T1797" i="1"/>
  <c r="U1797" i="1"/>
  <c r="X1797" i="1"/>
  <c r="Y1797" i="1"/>
  <c r="Z1797" i="1"/>
  <c r="AB1797" i="1"/>
  <c r="AD1797" i="1"/>
  <c r="AE1797" i="1"/>
  <c r="R1798" i="1"/>
  <c r="S1798" i="1"/>
  <c r="T1798" i="1"/>
  <c r="U1798" i="1"/>
  <c r="X1798" i="1"/>
  <c r="Z1798" i="1"/>
  <c r="AB1798" i="1"/>
  <c r="AD1798" i="1"/>
  <c r="R1799" i="1"/>
  <c r="S1799" i="1"/>
  <c r="T1799" i="1"/>
  <c r="U1799" i="1"/>
  <c r="X1799" i="1"/>
  <c r="Y1799" i="1"/>
  <c r="Z1799" i="1"/>
  <c r="AA1799" i="1"/>
  <c r="AB1799" i="1"/>
  <c r="AD1799" i="1"/>
  <c r="AE1799" i="1"/>
  <c r="R1800" i="1"/>
  <c r="S1800" i="1"/>
  <c r="T1800" i="1"/>
  <c r="U1800" i="1"/>
  <c r="X1800" i="1"/>
  <c r="Z1800" i="1"/>
  <c r="AA1800" i="1"/>
  <c r="AB1800" i="1"/>
  <c r="AD1800" i="1"/>
  <c r="AE1800" i="1"/>
  <c r="R1801" i="1"/>
  <c r="S1801" i="1"/>
  <c r="T1801" i="1"/>
  <c r="U1801" i="1"/>
  <c r="X1801" i="1"/>
  <c r="Z1801" i="1"/>
  <c r="AA1801" i="1"/>
  <c r="AB1801" i="1"/>
  <c r="AD1801" i="1"/>
  <c r="AE1801" i="1"/>
  <c r="R1802" i="1"/>
  <c r="S1802" i="1"/>
  <c r="T1802" i="1"/>
  <c r="U1802" i="1"/>
  <c r="X1802" i="1"/>
  <c r="Z1802" i="1"/>
  <c r="AA1802" i="1"/>
  <c r="AB1802" i="1"/>
  <c r="AD1802" i="1"/>
  <c r="AE1802" i="1"/>
  <c r="R1803" i="1"/>
  <c r="S1803" i="1"/>
  <c r="T1803" i="1"/>
  <c r="U1803" i="1"/>
  <c r="X1803" i="1"/>
  <c r="Z1803" i="1"/>
  <c r="AD1803" i="1"/>
  <c r="AE1803" i="1"/>
  <c r="R1804" i="1"/>
  <c r="S1804" i="1"/>
  <c r="T1804" i="1"/>
  <c r="U1804" i="1"/>
  <c r="X1804" i="1"/>
  <c r="Y1804" i="1"/>
  <c r="Z1804" i="1"/>
  <c r="AA1804" i="1"/>
  <c r="AB1804" i="1"/>
  <c r="AC1804" i="1"/>
  <c r="AD1804" i="1"/>
  <c r="AE1804" i="1"/>
  <c r="AI1804" i="1"/>
  <c r="AN1804" i="1"/>
  <c r="AO1804" i="1"/>
  <c r="AP1804" i="1"/>
  <c r="AQ1804" i="1"/>
  <c r="R1805" i="1"/>
  <c r="S1805" i="1"/>
  <c r="T1805" i="1"/>
  <c r="U1805" i="1"/>
  <c r="X1805" i="1"/>
  <c r="Y1805" i="1"/>
  <c r="Z1805" i="1"/>
  <c r="AA1805" i="1"/>
  <c r="AB1805" i="1"/>
  <c r="AC1805" i="1"/>
  <c r="AD1805" i="1"/>
  <c r="AE1805" i="1"/>
  <c r="R1806" i="1"/>
  <c r="S1806" i="1"/>
  <c r="T1806" i="1"/>
  <c r="U1806" i="1"/>
  <c r="X1806" i="1"/>
  <c r="Y1806" i="1"/>
  <c r="Z1806" i="1"/>
  <c r="AC1806" i="1"/>
  <c r="AD1806" i="1"/>
  <c r="AE1806" i="1"/>
  <c r="R1807" i="1"/>
  <c r="S1807" i="1"/>
  <c r="T1807" i="1"/>
  <c r="U1807" i="1"/>
  <c r="X1807" i="1"/>
  <c r="Z1807" i="1"/>
  <c r="AC1807" i="1"/>
  <c r="AD1807" i="1"/>
  <c r="AE1807" i="1"/>
  <c r="R1808" i="1"/>
  <c r="S1808" i="1"/>
  <c r="T1808" i="1"/>
  <c r="U1808" i="1"/>
  <c r="X1808" i="1"/>
  <c r="Z1808" i="1"/>
  <c r="AC1808" i="1"/>
  <c r="AD1808" i="1"/>
  <c r="AE1808" i="1"/>
  <c r="R1809" i="1"/>
  <c r="S1809" i="1"/>
  <c r="T1809" i="1"/>
  <c r="U1809" i="1"/>
  <c r="X1809" i="1"/>
  <c r="Z1809" i="1"/>
  <c r="AA1809" i="1"/>
  <c r="AB1809" i="1"/>
  <c r="AC1809" i="1"/>
  <c r="AD1809" i="1"/>
  <c r="AE1809" i="1"/>
  <c r="R1810" i="1"/>
  <c r="S1810" i="1"/>
  <c r="T1810" i="1"/>
  <c r="U1810" i="1"/>
  <c r="X1810" i="1"/>
  <c r="Y1810" i="1"/>
  <c r="Z1810" i="1"/>
  <c r="AA1810" i="1"/>
  <c r="AB1810" i="1"/>
  <c r="AD1810" i="1"/>
  <c r="AE1810" i="1"/>
  <c r="R1811" i="1"/>
  <c r="S1811" i="1"/>
  <c r="T1811" i="1"/>
  <c r="U1811" i="1"/>
  <c r="X1811" i="1"/>
  <c r="Z1811" i="1"/>
  <c r="AD1811" i="1"/>
  <c r="AE1811" i="1"/>
  <c r="R1812" i="1"/>
  <c r="S1812" i="1"/>
  <c r="T1812" i="1"/>
  <c r="U1812" i="1"/>
  <c r="X1812" i="1"/>
  <c r="Z1812" i="1"/>
  <c r="AD1812" i="1"/>
  <c r="AE1812" i="1"/>
  <c r="R1813" i="1"/>
  <c r="S1813" i="1"/>
  <c r="T1813" i="1"/>
  <c r="U1813" i="1"/>
  <c r="X1813" i="1"/>
  <c r="Y1813" i="1"/>
  <c r="Z1813" i="1"/>
  <c r="AA1813" i="1"/>
  <c r="AB1813" i="1"/>
  <c r="AC1813" i="1"/>
  <c r="AD1813" i="1"/>
  <c r="AE1813" i="1"/>
  <c r="R1814" i="1"/>
  <c r="S1814" i="1"/>
  <c r="T1814" i="1"/>
  <c r="U1814" i="1"/>
  <c r="X1814" i="1"/>
  <c r="Y1814" i="1"/>
  <c r="Z1814" i="1"/>
  <c r="AC1814" i="1"/>
  <c r="AD1814" i="1"/>
  <c r="AE1814" i="1"/>
  <c r="R1815" i="1"/>
  <c r="S1815" i="1"/>
  <c r="T1815" i="1"/>
  <c r="U1815" i="1"/>
  <c r="X1815" i="1"/>
  <c r="Y1815" i="1"/>
  <c r="Z1815" i="1"/>
  <c r="AD1815" i="1"/>
  <c r="AE1815" i="1"/>
  <c r="R1816" i="1"/>
  <c r="S1816" i="1"/>
  <c r="T1816" i="1"/>
  <c r="U1816" i="1"/>
  <c r="X1816" i="1"/>
  <c r="Y1816" i="1"/>
  <c r="AA1816" i="1"/>
  <c r="AB1816" i="1"/>
  <c r="AD1816" i="1"/>
  <c r="R1817" i="1"/>
  <c r="S1817" i="1"/>
  <c r="T1817" i="1"/>
  <c r="U1817" i="1"/>
  <c r="X1817" i="1"/>
  <c r="Y1817" i="1"/>
  <c r="Z1817" i="1"/>
  <c r="AA1817" i="1"/>
  <c r="AB1817" i="1"/>
  <c r="AC1817" i="1"/>
  <c r="AD1817" i="1"/>
  <c r="AE1817" i="1"/>
  <c r="R1818" i="1"/>
  <c r="S1818" i="1"/>
  <c r="T1818" i="1"/>
  <c r="U1818" i="1"/>
  <c r="X1818" i="1"/>
  <c r="Z1818" i="1"/>
  <c r="AA1818" i="1"/>
  <c r="AB1818" i="1"/>
  <c r="AD1818" i="1"/>
  <c r="AE1818" i="1"/>
  <c r="AN1818" i="1"/>
  <c r="AO1818" i="1"/>
  <c r="AP1818" i="1"/>
  <c r="AQ1818" i="1"/>
  <c r="R1819" i="1"/>
  <c r="S1819" i="1"/>
  <c r="T1819" i="1"/>
  <c r="U1819" i="1"/>
  <c r="X1819" i="1"/>
  <c r="Z1819" i="1"/>
  <c r="AA1819" i="1"/>
  <c r="AB1819" i="1"/>
  <c r="AD1819" i="1"/>
  <c r="AE1819" i="1"/>
  <c r="R1820" i="1"/>
  <c r="S1820" i="1"/>
  <c r="T1820" i="1"/>
  <c r="U1820" i="1"/>
  <c r="X1820" i="1"/>
  <c r="Y1820" i="1"/>
  <c r="Z1820" i="1"/>
  <c r="AA1820" i="1"/>
  <c r="AB1820" i="1"/>
  <c r="AC1820" i="1"/>
  <c r="AD1820" i="1"/>
  <c r="AE1820" i="1"/>
  <c r="R1821" i="1"/>
  <c r="S1821" i="1"/>
  <c r="T1821" i="1"/>
  <c r="U1821" i="1"/>
  <c r="X1821" i="1"/>
  <c r="Y1821" i="1"/>
  <c r="Z1821" i="1"/>
  <c r="AA1821" i="1"/>
  <c r="AB1821" i="1"/>
  <c r="AC1821" i="1"/>
  <c r="AD1821" i="1"/>
  <c r="AE1821" i="1"/>
  <c r="AI1821" i="1"/>
  <c r="AN1821" i="1"/>
  <c r="AO1821" i="1"/>
  <c r="AP1821" i="1"/>
  <c r="AQ1821" i="1"/>
  <c r="R1822" i="1"/>
  <c r="S1822" i="1"/>
  <c r="T1822" i="1"/>
  <c r="U1822" i="1"/>
  <c r="X1822" i="1"/>
  <c r="Z1822" i="1"/>
  <c r="AD1822" i="1"/>
  <c r="AE1822" i="1"/>
  <c r="R1823" i="1"/>
  <c r="S1823" i="1"/>
  <c r="T1823" i="1"/>
  <c r="U1823" i="1"/>
  <c r="X1823" i="1"/>
  <c r="Y1823" i="1"/>
  <c r="Z1823" i="1"/>
  <c r="AA1823" i="1"/>
  <c r="AB1823" i="1"/>
  <c r="AC1823" i="1"/>
  <c r="AD1823" i="1"/>
  <c r="AE1823" i="1"/>
  <c r="R1824" i="1"/>
  <c r="S1824" i="1"/>
  <c r="T1824" i="1"/>
  <c r="U1824" i="1"/>
  <c r="X1824" i="1"/>
  <c r="Y1824" i="1"/>
  <c r="Z1824" i="1"/>
  <c r="AA1824" i="1"/>
  <c r="AD1824" i="1"/>
  <c r="AE1824" i="1"/>
  <c r="R1825" i="1"/>
  <c r="S1825" i="1"/>
  <c r="T1825" i="1"/>
  <c r="U1825" i="1"/>
  <c r="X1825" i="1"/>
  <c r="Z1825" i="1"/>
  <c r="AC1825" i="1"/>
  <c r="AD1825" i="1"/>
  <c r="AE1825" i="1"/>
</calcChain>
</file>

<file path=xl/sharedStrings.xml><?xml version="1.0" encoding="utf-8"?>
<sst xmlns="http://schemas.openxmlformats.org/spreadsheetml/2006/main" count="34871" uniqueCount="6886">
  <si>
    <t>Vzorec</t>
  </si>
  <si>
    <t>Skladnost</t>
  </si>
  <si>
    <t>Regija</t>
  </si>
  <si>
    <t>NUTS</t>
  </si>
  <si>
    <t>Upravljavec</t>
  </si>
  <si>
    <t>Vodovod</t>
  </si>
  <si>
    <t>OO ID</t>
  </si>
  <si>
    <t>Uporabnikov</t>
  </si>
  <si>
    <t>Izvor</t>
  </si>
  <si>
    <t>Priprava</t>
  </si>
  <si>
    <t>Ime mesta</t>
  </si>
  <si>
    <t>Naslov mesta</t>
  </si>
  <si>
    <t>Koordinate</t>
  </si>
  <si>
    <t>Opomba vzorca</t>
  </si>
  <si>
    <t>Opomba mesta</t>
  </si>
  <si>
    <t>Okus</t>
  </si>
  <si>
    <t>Temperatura vode pri merjenju el. prevodnosti</t>
  </si>
  <si>
    <t>pH vrednost</t>
  </si>
  <si>
    <t>Preostali prosti klor</t>
  </si>
  <si>
    <t>Preostali klordioksid</t>
  </si>
  <si>
    <t>Vonj</t>
  </si>
  <si>
    <t xml:space="preserve">Motnost </t>
  </si>
  <si>
    <t>Escherichia coli (E. coli)</t>
  </si>
  <si>
    <t>Enterokoki</t>
  </si>
  <si>
    <t>Koliformne bakterije</t>
  </si>
  <si>
    <t>1 metil-1H-benzotriazol</t>
  </si>
  <si>
    <t>17-beta Estradiol</t>
  </si>
  <si>
    <t>Barva</t>
  </si>
  <si>
    <t>Celotni organski ogljik</t>
  </si>
  <si>
    <t>Klorat</t>
  </si>
  <si>
    <t>Klorit</t>
  </si>
  <si>
    <t>Amonij</t>
  </si>
  <si>
    <t>Nitrit</t>
  </si>
  <si>
    <t>Nitrat</t>
  </si>
  <si>
    <t>Vsota nitrat/50+nitrit/3</t>
  </si>
  <si>
    <t>Sulfat</t>
  </si>
  <si>
    <t>Klorid</t>
  </si>
  <si>
    <t>Fluorid</t>
  </si>
  <si>
    <t>Natrij</t>
  </si>
  <si>
    <t>nonilfenol</t>
  </si>
  <si>
    <t>1H-benzotriazol</t>
  </si>
  <si>
    <t>4-metil-1H-benzotriazol</t>
  </si>
  <si>
    <t>5-metil-1H-benzotriazol</t>
  </si>
  <si>
    <t>Bromat</t>
  </si>
  <si>
    <t>Mangan</t>
  </si>
  <si>
    <t>Bor</t>
  </si>
  <si>
    <t>Aluminij</t>
  </si>
  <si>
    <t>Antimon</t>
  </si>
  <si>
    <t>Arzen</t>
  </si>
  <si>
    <t>Baker</t>
  </si>
  <si>
    <t>Kadmij</t>
  </si>
  <si>
    <t>Krom</t>
  </si>
  <si>
    <t>Selen</t>
  </si>
  <si>
    <t>Svinec</t>
  </si>
  <si>
    <t>Uran</t>
  </si>
  <si>
    <t>Bentazon</t>
  </si>
  <si>
    <t>Dikamba</t>
  </si>
  <si>
    <t>MCPA</t>
  </si>
  <si>
    <t>Amidosulfuron</t>
  </si>
  <si>
    <t>Foramsulfuron</t>
  </si>
  <si>
    <t>Nikosulfuron</t>
  </si>
  <si>
    <t>Prosulfuron</t>
  </si>
  <si>
    <t>Rimsulfuron</t>
  </si>
  <si>
    <t>Fenheksamid</t>
  </si>
  <si>
    <t>Mezotrion</t>
  </si>
  <si>
    <t>Fludioksonil</t>
  </si>
  <si>
    <t>Folpet</t>
  </si>
  <si>
    <t>Kaptan</t>
  </si>
  <si>
    <t>Krezoksim-metil</t>
  </si>
  <si>
    <t>Penkonazol</t>
  </si>
  <si>
    <t>Trifloksistrobin</t>
  </si>
  <si>
    <t>2,4 - DB</t>
  </si>
  <si>
    <t>Joksinil</t>
  </si>
  <si>
    <t>Ciprodinil</t>
  </si>
  <si>
    <t>Lambda-cihalotrin</t>
  </si>
  <si>
    <t>Metolaklor ESA</t>
  </si>
  <si>
    <t>Metolaklor OXA</t>
  </si>
  <si>
    <t>Cipermetrin</t>
  </si>
  <si>
    <t>Atrazin</t>
  </si>
  <si>
    <t>Prometrin</t>
  </si>
  <si>
    <t>Klortoluron</t>
  </si>
  <si>
    <t>Izoproturon</t>
  </si>
  <si>
    <t>Linuron</t>
  </si>
  <si>
    <t>Pendimetalin</t>
  </si>
  <si>
    <t>Dimetenamid</t>
  </si>
  <si>
    <t>Napropamid</t>
  </si>
  <si>
    <t>Azoksistrobin</t>
  </si>
  <si>
    <t>Desetil-atrazin</t>
  </si>
  <si>
    <t>Desizopropil-atrazin</t>
  </si>
  <si>
    <t>Terbutilazin</t>
  </si>
  <si>
    <t>Metazaklor</t>
  </si>
  <si>
    <t>Metalaksil</t>
  </si>
  <si>
    <t>Metamitron</t>
  </si>
  <si>
    <t>Metobromuron</t>
  </si>
  <si>
    <t>Metribuzin</t>
  </si>
  <si>
    <t>Propikonazol</t>
  </si>
  <si>
    <t>Acetamiprid</t>
  </si>
  <si>
    <t>Boskalid</t>
  </si>
  <si>
    <t>Difenokonazol</t>
  </si>
  <si>
    <t>Diflufenikan</t>
  </si>
  <si>
    <t>Fluroksipir</t>
  </si>
  <si>
    <t>Metaflumizon</t>
  </si>
  <si>
    <t>Tetrakonazol</t>
  </si>
  <si>
    <t>Piridat - M</t>
  </si>
  <si>
    <t>Prosulfokarb</t>
  </si>
  <si>
    <t>Kloridazon</t>
  </si>
  <si>
    <t>Klomazon</t>
  </si>
  <si>
    <t>Petoksamid</t>
  </si>
  <si>
    <t>Fluopikolid</t>
  </si>
  <si>
    <t>Pinoksaden</t>
  </si>
  <si>
    <t>Dimetomorf</t>
  </si>
  <si>
    <t>Fenpropidin</t>
  </si>
  <si>
    <t>Flufenacet</t>
  </si>
  <si>
    <t>Klorantraniliprol</t>
  </si>
  <si>
    <t>Mezosulfuron</t>
  </si>
  <si>
    <t>Tritosulfuron</t>
  </si>
  <si>
    <t>Aklonifen</t>
  </si>
  <si>
    <t>Tribenuron-metil</t>
  </si>
  <si>
    <t>Cimoksanil</t>
  </si>
  <si>
    <t>Mandipropamid</t>
  </si>
  <si>
    <t>Zoksamid</t>
  </si>
  <si>
    <t>Klopiralid</t>
  </si>
  <si>
    <t>Dimetaklor</t>
  </si>
  <si>
    <t>Izoksaflutol</t>
  </si>
  <si>
    <t>S - metolaklor</t>
  </si>
  <si>
    <t>Deltametrin</t>
  </si>
  <si>
    <t>Jodosulfuron</t>
  </si>
  <si>
    <t>Benzo(b)fluoranten</t>
  </si>
  <si>
    <t>Benzo(k)fluoranten</t>
  </si>
  <si>
    <t>Benzo(ghi)perilen</t>
  </si>
  <si>
    <t>Indeno(1,2,3-cd)piren</t>
  </si>
  <si>
    <t>Benzo(a)piren</t>
  </si>
  <si>
    <t>Triklorometan</t>
  </si>
  <si>
    <t>Tribromometan</t>
  </si>
  <si>
    <t>Bromdiklorometan</t>
  </si>
  <si>
    <t>Dibromklorometan</t>
  </si>
  <si>
    <t>1,1,2,2-tetrakloroeten</t>
  </si>
  <si>
    <t>1,1,2-trikloroeten</t>
  </si>
  <si>
    <t>Trihalometani - vsota</t>
  </si>
  <si>
    <t>1,1,2,2-tetrakloroeten + 1,1,2-trikloroeten</t>
  </si>
  <si>
    <t>Benzen</t>
  </si>
  <si>
    <t xml:space="preserve"> </t>
  </si>
  <si>
    <t>mg/L</t>
  </si>
  <si>
    <t>NTU</t>
  </si>
  <si>
    <t>/100mL</t>
  </si>
  <si>
    <t>/mL</t>
  </si>
  <si>
    <t>/m</t>
  </si>
  <si>
    <t>25/0001</t>
  </si>
  <si>
    <t>Skladen</t>
  </si>
  <si>
    <t>MS</t>
  </si>
  <si>
    <t>SI031</t>
  </si>
  <si>
    <t>Vodovod sistema B</t>
  </si>
  <si>
    <t>Sistem B</t>
  </si>
  <si>
    <t>SISTEM B</t>
  </si>
  <si>
    <t>dezinfekcija s plinskim klorom</t>
  </si>
  <si>
    <t>Vrtec Ringa Raja</t>
  </si>
  <si>
    <t>x=169123, y=589775</t>
  </si>
  <si>
    <t>&lt;0,1</t>
  </si>
  <si>
    <t>&lt;10</t>
  </si>
  <si>
    <t>25/0002</t>
  </si>
  <si>
    <t>Bogojina 134, 9222 Bogojina</t>
  </si>
  <si>
    <t>x=171129, y=598073</t>
  </si>
  <si>
    <t>25/0004</t>
  </si>
  <si>
    <t>x=167783, y=591365</t>
  </si>
  <si>
    <t>&lt;0,013</t>
  </si>
  <si>
    <t>&lt;0,007</t>
  </si>
  <si>
    <t>&lt;0,2</t>
  </si>
  <si>
    <t>&lt;1</t>
  </si>
  <si>
    <t>&lt;0,02</t>
  </si>
  <si>
    <t>25/0006</t>
  </si>
  <si>
    <t>JAVNI VODOVOD MOTA - LUKAVCI</t>
  </si>
  <si>
    <t>VODARNA LUKAVCI</t>
  </si>
  <si>
    <t>VRTEC LJUTOMER</t>
  </si>
  <si>
    <t>x=153301, y=592449</t>
  </si>
  <si>
    <t>25/0008</t>
  </si>
  <si>
    <t>LJ</t>
  </si>
  <si>
    <t>SI041</t>
  </si>
  <si>
    <t>KOMUNALNO PODJETJE VRHNIKA</t>
  </si>
  <si>
    <t>VRHNIKA - BOROVNICA- LOG - DRAGOMER</t>
  </si>
  <si>
    <t>Vrhnika - Borovnica</t>
  </si>
  <si>
    <t>ni priprave</t>
  </si>
  <si>
    <t>VVO Bevke</t>
  </si>
  <si>
    <t>Bevke 17, Bevke, 1360 Vrhnika</t>
  </si>
  <si>
    <t>x=93181, y=450339</t>
  </si>
  <si>
    <t>25/0009</t>
  </si>
  <si>
    <t>VVO Borovnica</t>
  </si>
  <si>
    <t>Paplerjeva ul. 5, Borovnica, 1360 Vrhnika</t>
  </si>
  <si>
    <t>x=86082, y=451178</t>
  </si>
  <si>
    <t>25/0010</t>
  </si>
  <si>
    <t>KP</t>
  </si>
  <si>
    <t>SI044</t>
  </si>
  <si>
    <t>ultrafiltracija, dezinfekcija s plinskim klorom</t>
  </si>
  <si>
    <t>VRTEC ROZMANOVA</t>
  </si>
  <si>
    <t>x=44564, y=400624</t>
  </si>
  <si>
    <t>25/0011</t>
  </si>
  <si>
    <t>VRTEC PRISOJE</t>
  </si>
  <si>
    <t>x=40027, y=400540</t>
  </si>
  <si>
    <t>25/0012</t>
  </si>
  <si>
    <t>VRTEC LIVADE</t>
  </si>
  <si>
    <t>UL. OF 15, IZOLA, 6310 Izola - Isola</t>
  </si>
  <si>
    <t>x=43972, y=395824</t>
  </si>
  <si>
    <t>25/0014</t>
  </si>
  <si>
    <t>VRTEC LUCIJA</t>
  </si>
  <si>
    <t>x=41075, y=391538</t>
  </si>
  <si>
    <t>25/0015</t>
  </si>
  <si>
    <t>HOTEL PIRAN</t>
  </si>
  <si>
    <t>x=43619, y=388457</t>
  </si>
  <si>
    <t>&lt;0,03</t>
  </si>
  <si>
    <t>&lt;40</t>
  </si>
  <si>
    <t>&lt;0,05</t>
  </si>
  <si>
    <t>25/0016</t>
  </si>
  <si>
    <t>VRTEC DEKANI</t>
  </si>
  <si>
    <t>DEKANI 118, 6271 Dekani</t>
  </si>
  <si>
    <t>x=45402, y=407701</t>
  </si>
  <si>
    <t>25/0017</t>
  </si>
  <si>
    <t>x=50059, y=399818</t>
  </si>
  <si>
    <t>&lt;0,01</t>
  </si>
  <si>
    <t>&lt;0,002</t>
  </si>
  <si>
    <t>25/0018</t>
  </si>
  <si>
    <t>SV. ANTON 12, POBEGI - SV. ANTON, 6276 Pobegi</t>
  </si>
  <si>
    <t>x=42784, y=409134</t>
  </si>
  <si>
    <t>25/0020</t>
  </si>
  <si>
    <t>NG</t>
  </si>
  <si>
    <t>SI043</t>
  </si>
  <si>
    <t>VIK NG</t>
  </si>
  <si>
    <t>HUBELJ NG</t>
  </si>
  <si>
    <t>Siesta bar</t>
  </si>
  <si>
    <t>x=83247, y=402171</t>
  </si>
  <si>
    <t>25/0021</t>
  </si>
  <si>
    <t>MRZLEK</t>
  </si>
  <si>
    <t>BRDA</t>
  </si>
  <si>
    <t>Kojsko  69, 5211 Kojsko</t>
  </si>
  <si>
    <t>x=96371, y=390007</t>
  </si>
  <si>
    <t>25/0022</t>
  </si>
  <si>
    <t>VIPAVA, BUDANJE, PODNANOS</t>
  </si>
  <si>
    <t>Vinarska c.4, 5271 Vipava</t>
  </si>
  <si>
    <t>x=77843, y=419736</t>
  </si>
  <si>
    <t>&lt;0,4</t>
  </si>
  <si>
    <t>&lt;0,5</t>
  </si>
  <si>
    <t>25/0023</t>
  </si>
  <si>
    <t>x=73093, y=420501</t>
  </si>
  <si>
    <t>25/0024</t>
  </si>
  <si>
    <t>CE</t>
  </si>
  <si>
    <t>SI034</t>
  </si>
  <si>
    <t>VOKA CELJE, d.o.o.</t>
  </si>
  <si>
    <t>CELJE</t>
  </si>
  <si>
    <t>koagulacija, flokulacija, ultrafiltracija, redna dezinfekcija, dezinfekcija s plinskim klorom, dezinfekcija z natrijevim hipokloritom, dezinfekcija z ozonom</t>
  </si>
  <si>
    <t>Oblakova 5, 3000 Celje</t>
  </si>
  <si>
    <t>x=121202, y=520621</t>
  </si>
  <si>
    <t>&lt;0,004</t>
  </si>
  <si>
    <t>&lt;0,025</t>
  </si>
  <si>
    <t>&lt;2</t>
  </si>
  <si>
    <t>25/0026</t>
  </si>
  <si>
    <t>KOMUNALNO PODJETJE VELENJE d.o.o.</t>
  </si>
  <si>
    <t>R1 Velenje</t>
  </si>
  <si>
    <t>filtri, ultrafiltracija, redna dezinfekcija, dezinfekcija s plinskim klorom</t>
  </si>
  <si>
    <t>Konovska cesta 21, 3320 Velenje</t>
  </si>
  <si>
    <t>x=136148, y=509735</t>
  </si>
  <si>
    <t>25/0028</t>
  </si>
  <si>
    <t>filtri, koagulacija, flokulacija, ultrafiltracija, redna dezinfekcija, dezinfekcija s plinskim klorom</t>
  </si>
  <si>
    <t>Vrtec Najdihojca Velenje</t>
  </si>
  <si>
    <t>x=135014, y=508989</t>
  </si>
  <si>
    <t>25/0029</t>
  </si>
  <si>
    <t>x=137360, y=503996</t>
  </si>
  <si>
    <t>25/0031</t>
  </si>
  <si>
    <t>x=137414, y=503942</t>
  </si>
  <si>
    <t>&lt;0,001</t>
  </si>
  <si>
    <t>25/0032</t>
  </si>
  <si>
    <t>Neskladen</t>
  </si>
  <si>
    <t>NM</t>
  </si>
  <si>
    <t>SI037</t>
  </si>
  <si>
    <t>Komunala Novo mesto</t>
  </si>
  <si>
    <t>NOVO MESTO - JEZERO</t>
  </si>
  <si>
    <t>Seidlova cesta 40, 8000 Novo mesto</t>
  </si>
  <si>
    <t>x=74217, y=513862</t>
  </si>
  <si>
    <t>25/0035</t>
  </si>
  <si>
    <t>Mali Slatnik 7, 8000 Novo mesto</t>
  </si>
  <si>
    <t>x=73896, y=516320</t>
  </si>
  <si>
    <t>25/0036</t>
  </si>
  <si>
    <t>Podgrad 2, 8000 Novo mesto</t>
  </si>
  <si>
    <t>x=65715, y=516127</t>
  </si>
  <si>
    <t>25/0037</t>
  </si>
  <si>
    <t>x=71035, y=506136</t>
  </si>
  <si>
    <t>25/0039</t>
  </si>
  <si>
    <t>SI038</t>
  </si>
  <si>
    <t>Kovod Postojna, d.o.o</t>
  </si>
  <si>
    <t>POSTOJNA - PIVKA</t>
  </si>
  <si>
    <t>Osrednji del VS Postojna-Pivka</t>
  </si>
  <si>
    <t>VRTEC POSTOJNA</t>
  </si>
  <si>
    <t>x=70239, y=439435</t>
  </si>
  <si>
    <t>25/0040</t>
  </si>
  <si>
    <t>VRTEC PIVKA</t>
  </si>
  <si>
    <t>POT NA ORLEK 2, 6257 Pivka</t>
  </si>
  <si>
    <t>x=60160, y=437704</t>
  </si>
  <si>
    <t>25/0041</t>
  </si>
  <si>
    <t>SI036</t>
  </si>
  <si>
    <t>x=84823, y=547033</t>
  </si>
  <si>
    <t>25/0042</t>
  </si>
  <si>
    <t>Cerklje ob Krki 3, 8263 Cerklje ob Krki</t>
  </si>
  <si>
    <t>x=82394, y=540946</t>
  </si>
  <si>
    <t>&lt;0,3</t>
  </si>
  <si>
    <t>25/0043</t>
  </si>
  <si>
    <t>dezinfekcija s klorovim dioksidom</t>
  </si>
  <si>
    <t>x=48004, y=514966</t>
  </si>
  <si>
    <t>25/0044</t>
  </si>
  <si>
    <t>x=46792, y=515190</t>
  </si>
  <si>
    <t>25/0045</t>
  </si>
  <si>
    <t>Griblje, bife Pezdirc</t>
  </si>
  <si>
    <t>8332 Gradac</t>
  </si>
  <si>
    <t>x=47519, y=523217</t>
  </si>
  <si>
    <t>25/0048</t>
  </si>
  <si>
    <t>MB</t>
  </si>
  <si>
    <t>SI032</t>
  </si>
  <si>
    <t>ZAJETJE OTOK</t>
  </si>
  <si>
    <t>redna dezinfekcija, dezinfekcija s plinskim klorom, dezinfekcija z ozonom</t>
  </si>
  <si>
    <t>x=149560, y=583052</t>
  </si>
  <si>
    <t>25/0049</t>
  </si>
  <si>
    <t>KR</t>
  </si>
  <si>
    <t>SI042</t>
  </si>
  <si>
    <t>Infrastruktura Bled</t>
  </si>
  <si>
    <t>RADOVNA</t>
  </si>
  <si>
    <t xml:space="preserve">RADOVNA </t>
  </si>
  <si>
    <t>Hotel Ribno, Bled</t>
  </si>
  <si>
    <t>x=133922, y=432852</t>
  </si>
  <si>
    <t>25/0050</t>
  </si>
  <si>
    <t>Komunala Radovljica</t>
  </si>
  <si>
    <t>RADOVLJICA</t>
  </si>
  <si>
    <t>Alpska cesta 58 A, 4248 Lesce</t>
  </si>
  <si>
    <t>x=135755, y=435652</t>
  </si>
  <si>
    <t>pipa v kuhinji</t>
  </si>
  <si>
    <t>25/0051</t>
  </si>
  <si>
    <t>Kostak</t>
  </si>
  <si>
    <t>dezinfekcija s plinskim klorom, dezinfekcija z natrijevim hipokloritom</t>
  </si>
  <si>
    <t>Veliki Podlog VVO</t>
  </si>
  <si>
    <t>x=83922, y=535776</t>
  </si>
  <si>
    <t>25/0052</t>
  </si>
  <si>
    <t>x=90743, y=538463</t>
  </si>
  <si>
    <t>25/0053</t>
  </si>
  <si>
    <t>JEKO IN</t>
  </si>
  <si>
    <t>x=144018, y=428278</t>
  </si>
  <si>
    <t>25/0055</t>
  </si>
  <si>
    <t>x=139790, y=434700</t>
  </si>
  <si>
    <t>25/0057</t>
  </si>
  <si>
    <t>Komunalno podjetje Kamnik</t>
  </si>
  <si>
    <t>KAMNIK - IVERJE</t>
  </si>
  <si>
    <t>Nevlje 18, 1241 Kamnik</t>
  </si>
  <si>
    <t>x=120782, y=471584</t>
  </si>
  <si>
    <t>kuhinja, pipa</t>
  </si>
  <si>
    <t>25/0059</t>
  </si>
  <si>
    <t>Komunala Slovenska Bistrica d.o.o.</t>
  </si>
  <si>
    <t>ultrafiltracija, redna dezinfekcija, dezinfekcija z natrijevim hipokloritom</t>
  </si>
  <si>
    <t>PIONIRSKA ULICA 13, 2331 Pragersko</t>
  </si>
  <si>
    <t>x=139542, y=551022</t>
  </si>
  <si>
    <t>25/0060</t>
  </si>
  <si>
    <t>Hydrovod d.o.o.</t>
  </si>
  <si>
    <t>filtri, dezinfekcija s plinskim klorom</t>
  </si>
  <si>
    <t>x=54646, y=489533</t>
  </si>
  <si>
    <t>25/0061</t>
  </si>
  <si>
    <t>x=62145, y=481101</t>
  </si>
  <si>
    <t>25/0062</t>
  </si>
  <si>
    <t>Komunala Kranj, d.o.o.</t>
  </si>
  <si>
    <t>KRANJ</t>
  </si>
  <si>
    <t>Glavna cesta 47, 4202 Naklo</t>
  </si>
  <si>
    <t>x=125637, y=447876</t>
  </si>
  <si>
    <t>25/0063</t>
  </si>
  <si>
    <t>x=117270, y=448870</t>
  </si>
  <si>
    <t>25/0064</t>
  </si>
  <si>
    <t>Zasavska cesta 53, 4000 Kranj</t>
  </si>
  <si>
    <t>x=119568, y=451402</t>
  </si>
  <si>
    <t>25/0066</t>
  </si>
  <si>
    <t>Prodnik d.o.o.</t>
  </si>
  <si>
    <t>x=113750, y=467035</t>
  </si>
  <si>
    <t>25/0067</t>
  </si>
  <si>
    <t>x=110679, y=469180</t>
  </si>
  <si>
    <t>pipa na urgenci</t>
  </si>
  <si>
    <t>25/0068</t>
  </si>
  <si>
    <t>x=106857, y=468981</t>
  </si>
  <si>
    <t>25/0070</t>
  </si>
  <si>
    <t>x=108413, y=469345</t>
  </si>
  <si>
    <t>25/0072</t>
  </si>
  <si>
    <t>x=115614, y=448325</t>
  </si>
  <si>
    <t>25/0073</t>
  </si>
  <si>
    <t>Vrtec Najdihojca</t>
  </si>
  <si>
    <t>x=114188, y=446135</t>
  </si>
  <si>
    <t>25/0074</t>
  </si>
  <si>
    <t>x=122884, y=455562</t>
  </si>
  <si>
    <t>25/0077</t>
  </si>
  <si>
    <t>redna dezinfekcija, dezinfekcija s plinskim klorom</t>
  </si>
  <si>
    <t>KAVA BAR DRAMLJE</t>
  </si>
  <si>
    <t>LAZE PRI DRAMLJAH 12B, LAZE PRI DRAMLJAH, 3222 Dramlje</t>
  </si>
  <si>
    <t>25/0078</t>
  </si>
  <si>
    <t>JKP Sl. Konjice</t>
  </si>
  <si>
    <t>SLOVENSKE KONJICE</t>
  </si>
  <si>
    <t>redna dezinfekcija, dezinfekcija z natrijevim hipokloritom</t>
  </si>
  <si>
    <t>x=132746, y=532681</t>
  </si>
  <si>
    <t>25/0079</t>
  </si>
  <si>
    <t>x=123379, y=513069</t>
  </si>
  <si>
    <t>25/0080</t>
  </si>
  <si>
    <t>x=122303, y=514787</t>
  </si>
  <si>
    <t>25/0081</t>
  </si>
  <si>
    <t>x=126902, y=515590</t>
  </si>
  <si>
    <t>25/0082</t>
  </si>
  <si>
    <t>x=120956, y=549546</t>
  </si>
  <si>
    <t>25/0085</t>
  </si>
  <si>
    <t>x=120803, y=540165</t>
  </si>
  <si>
    <t>25/0087</t>
  </si>
  <si>
    <t>x=120434, y=540261</t>
  </si>
  <si>
    <t>25/0088</t>
  </si>
  <si>
    <t>x=80105, y=544932</t>
  </si>
  <si>
    <t>25/0089</t>
  </si>
  <si>
    <t>V. Slatnik, bife Pony</t>
  </si>
  <si>
    <t>V. Slatnik , 8000 Novo mesto</t>
  </si>
  <si>
    <t>x=72365, y=518022</t>
  </si>
  <si>
    <t>25/0091</t>
  </si>
  <si>
    <t>Vrtec Zarja Celje - Enota Iskrica</t>
  </si>
  <si>
    <t>Pucova 3, 3000 Celje</t>
  </si>
  <si>
    <t>x=122203, y=519531</t>
  </si>
  <si>
    <t>25/0093</t>
  </si>
  <si>
    <t>Komunala Ptuj d.d.</t>
  </si>
  <si>
    <t>PTUJ</t>
  </si>
  <si>
    <t>Ptuj_OO1 in OO2</t>
  </si>
  <si>
    <t>VVZ PTUJ - CENTRALNA KUHINJA</t>
  </si>
  <si>
    <t>x=142654, y=567628</t>
  </si>
  <si>
    <t>25/0094</t>
  </si>
  <si>
    <t>Mariborski vodovod</t>
  </si>
  <si>
    <t>MARIBORSKI VODOVOD</t>
  </si>
  <si>
    <t>TRGOVINA JAGER</t>
  </si>
  <si>
    <t>x=157037, y=542931</t>
  </si>
  <si>
    <t>25/0095</t>
  </si>
  <si>
    <t>KOMUNALA IDRIJA</t>
  </si>
  <si>
    <t>IDRIJA SISTEM</t>
  </si>
  <si>
    <t>dezinfekcija z natrijevim hipokloritom</t>
  </si>
  <si>
    <t>x=95619, y=424319</t>
  </si>
  <si>
    <t>25/0096</t>
  </si>
  <si>
    <t>Stara cerkev 21,  , 1332 Stara Cerkev</t>
  </si>
  <si>
    <t>x=58385, y=487960</t>
  </si>
  <si>
    <t>25/0097</t>
  </si>
  <si>
    <t>x=139178, y=544166</t>
  </si>
  <si>
    <t>25/0099</t>
  </si>
  <si>
    <t>redna dezinfekcija, dezinfekcija s plinskim klorom, dezinfekcija z natrijevim hipokloritom</t>
  </si>
  <si>
    <t>x=157083, y=553607</t>
  </si>
  <si>
    <t>25/0100</t>
  </si>
  <si>
    <t>OBLAKOVA 5, 2000 Maribor</t>
  </si>
  <si>
    <t>x=155562, y=548841</t>
  </si>
  <si>
    <t>25/0101</t>
  </si>
  <si>
    <t>BETNAVSKA 100, 2000 Maribor</t>
  </si>
  <si>
    <t>x=155768, y=549351</t>
  </si>
  <si>
    <t>25/0102</t>
  </si>
  <si>
    <t>DOM DANICE VOGRINEC, ENOTA TABOR</t>
  </si>
  <si>
    <t>VESELOVA 3, 2000 Maribor</t>
  </si>
  <si>
    <t>x=155707, y=548161</t>
  </si>
  <si>
    <t>25/0103</t>
  </si>
  <si>
    <t>x=157158, y=544777</t>
  </si>
  <si>
    <t>25/0104</t>
  </si>
  <si>
    <t>x=154017, y=552201</t>
  </si>
  <si>
    <t>25/0105</t>
  </si>
  <si>
    <t>VRTEC VRTILJAK</t>
  </si>
  <si>
    <t>x=150719, y=554360</t>
  </si>
  <si>
    <t>25/0106</t>
  </si>
  <si>
    <t>x=150555, y=549806</t>
  </si>
  <si>
    <t>25/0107</t>
  </si>
  <si>
    <t>VRTEC SVETA ANA</t>
  </si>
  <si>
    <t>Sveta Ana 14, 2233 Sv. Ana v Slovenskih goricah</t>
  </si>
  <si>
    <t>x=167527, y=564897</t>
  </si>
  <si>
    <t>25/0108</t>
  </si>
  <si>
    <t>VRTEC PESNICA</t>
  </si>
  <si>
    <t>PESNICA 44, PESNICA, 2211 Pesnica pri Mariboru</t>
  </si>
  <si>
    <t>x=163014, y=552060</t>
  </si>
  <si>
    <t>25/0109</t>
  </si>
  <si>
    <t>Komunala Tolmin, d.o.o.</t>
  </si>
  <si>
    <t>VVZ Ilke Devetak-Bignami</t>
  </si>
  <si>
    <t>Ulica Prekomorskih brigad 1, 5220 Tolmin</t>
  </si>
  <si>
    <t>x=116379, y=402698</t>
  </si>
  <si>
    <t>&lt;0,0009</t>
  </si>
  <si>
    <t>25/0110</t>
  </si>
  <si>
    <t>x=83352, y=415517</t>
  </si>
  <si>
    <t>25/0111</t>
  </si>
  <si>
    <t>x=158094, y=550707</t>
  </si>
  <si>
    <t>25/0112</t>
  </si>
  <si>
    <t>VVO TEZNO</t>
  </si>
  <si>
    <t>x=155098, y=551001</t>
  </si>
  <si>
    <t>25/0114</t>
  </si>
  <si>
    <t>VVO STUDENCI</t>
  </si>
  <si>
    <t>x=154911, y=546610</t>
  </si>
  <si>
    <t>25/0115</t>
  </si>
  <si>
    <t>VVO DOBROVCE</t>
  </si>
  <si>
    <t>x=148828, y=554361</t>
  </si>
  <si>
    <t>25/0116</t>
  </si>
  <si>
    <t>VVO ENOTA RAZVANJE</t>
  </si>
  <si>
    <t>x=152345, y=549087</t>
  </si>
  <si>
    <t>25/0118</t>
  </si>
  <si>
    <t>VVO JARENINA</t>
  </si>
  <si>
    <t>Jareninski dol 26, 2221 Jarenina</t>
  </si>
  <si>
    <t>x=165184, y=553814</t>
  </si>
  <si>
    <t>25/0120</t>
  </si>
  <si>
    <t>NOVA GORICA</t>
  </si>
  <si>
    <t>Mlinotest d.d., Trgovina Pecivo NG</t>
  </si>
  <si>
    <t>x=91399, y=395030</t>
  </si>
  <si>
    <t>25/0122</t>
  </si>
  <si>
    <t>Prehrana Tuli d.o.o.</t>
  </si>
  <si>
    <t>x=119767, y=525391</t>
  </si>
  <si>
    <t>25/0123</t>
  </si>
  <si>
    <t>x=95911, y=386341</t>
  </si>
  <si>
    <t>&lt;3</t>
  </si>
  <si>
    <t>25/0126</t>
  </si>
  <si>
    <t>x=89555, y=394705</t>
  </si>
  <si>
    <t>25/0127</t>
  </si>
  <si>
    <t>x=113523, y=446979</t>
  </si>
  <si>
    <t>25/0128</t>
  </si>
  <si>
    <t>x=83936, y=406611</t>
  </si>
  <si>
    <t>25/0129</t>
  </si>
  <si>
    <t>Dom upokojencev dr. Franceta Bergelja</t>
  </si>
  <si>
    <t>Ulica Staneta Bokala 4, 4270 Jesenice</t>
  </si>
  <si>
    <t>x=144762, y=426591</t>
  </si>
  <si>
    <t>25/0130</t>
  </si>
  <si>
    <t>Penzion Mlino</t>
  </si>
  <si>
    <t>Cesta svobode 45, 4260 Bled</t>
  </si>
  <si>
    <t>x=135430, y=435664</t>
  </si>
  <si>
    <t>25/0132</t>
  </si>
  <si>
    <t>x=112852, y=403135</t>
  </si>
  <si>
    <t>25/0134</t>
  </si>
  <si>
    <t>Ptujska cesta 30, 3252 Rogatec</t>
  </si>
  <si>
    <t>x=121501, y=554734</t>
  </si>
  <si>
    <t>25/0135</t>
  </si>
  <si>
    <t>x=140102, y=598071</t>
  </si>
  <si>
    <t>25/0136</t>
  </si>
  <si>
    <t>Stara cerkev 62, 1332 Stara Cerkev</t>
  </si>
  <si>
    <t>x=58520, y=487907</t>
  </si>
  <si>
    <t>25/0137</t>
  </si>
  <si>
    <t>Gostilna Badovinac</t>
  </si>
  <si>
    <t>Veliki Cerovec 1, 8000 Novo mesto</t>
  </si>
  <si>
    <t>x=66245, y=517705</t>
  </si>
  <si>
    <t>25/0138</t>
  </si>
  <si>
    <t>GOSTILNA ERJAVEC</t>
  </si>
  <si>
    <t>KALOBJE 17, 3233 Kalobje</t>
  </si>
  <si>
    <t>25/0139</t>
  </si>
  <si>
    <t>Sirarstvo Orel</t>
  </si>
  <si>
    <t>x=78937, y=411056</t>
  </si>
  <si>
    <t>25/0140</t>
  </si>
  <si>
    <t>Kuzma 20, 9263 Kuzma</t>
  </si>
  <si>
    <t>x=188052, y=582878</t>
  </si>
  <si>
    <t>25/0141</t>
  </si>
  <si>
    <t>Visoko 67, 4212 Visoko</t>
  </si>
  <si>
    <t>x=125594, y=455543</t>
  </si>
  <si>
    <t>25/0144</t>
  </si>
  <si>
    <t>x=88971, y=537945</t>
  </si>
  <si>
    <t>25/0145</t>
  </si>
  <si>
    <t>Vrtec Mavrica</t>
  </si>
  <si>
    <t>x=127386, y=524010</t>
  </si>
  <si>
    <t>25/0148</t>
  </si>
  <si>
    <t>Spodnja Polskava 240, Spodnja Polskava, 2331 Pragersko</t>
  </si>
  <si>
    <t>x=141230, y=549284</t>
  </si>
  <si>
    <t>25/0149</t>
  </si>
  <si>
    <t>Jordan, prodaja in servis vodomerov d.o.o.</t>
  </si>
  <si>
    <t>x=80517, y=522384</t>
  </si>
  <si>
    <t>25/0151</t>
  </si>
  <si>
    <t>JP VOKA SNAGA d.o.o.</t>
  </si>
  <si>
    <t>LJUBLJANA</t>
  </si>
  <si>
    <t>Vrtec pod Gradom, enota Prule</t>
  </si>
  <si>
    <t>Praprotnikova 2, Ljubljana - Prule, 1000 Ljubljana</t>
  </si>
  <si>
    <t>x=100013, y=462481</t>
  </si>
  <si>
    <t>25/0152</t>
  </si>
  <si>
    <t>Vrtec pod Gradom, enota Stara Ljubljana</t>
  </si>
  <si>
    <t>Ulica na grad 2a, Stara Ljubljana, 1000 Ljubljana</t>
  </si>
  <si>
    <t>x=100349, y=462391</t>
  </si>
  <si>
    <t>25/0153</t>
  </si>
  <si>
    <t>Zemljemerska 7, Ljubljana - Poljane, 1000 Ljubljana</t>
  </si>
  <si>
    <t>x=100445, y=463008</t>
  </si>
  <si>
    <t>25/0154</t>
  </si>
  <si>
    <t>Vrtec Ciciban, enota Ajda</t>
  </si>
  <si>
    <t>x=105018, y=462600</t>
  </si>
  <si>
    <t>25/0155</t>
  </si>
  <si>
    <t>Vrtec Hansa Christiana Andersena, enota Marjetica</t>
  </si>
  <si>
    <t>x=103532, y=459887</t>
  </si>
  <si>
    <t>25/0156</t>
  </si>
  <si>
    <t>x=100804, y=461315</t>
  </si>
  <si>
    <t>25/0157</t>
  </si>
  <si>
    <t>Vrtec Vodmat</t>
  </si>
  <si>
    <t>Bolgarska 20, Ljubljana Vodmat, 1000 Ljubljana</t>
  </si>
  <si>
    <t>x=101534, y=463493</t>
  </si>
  <si>
    <t>25/0158</t>
  </si>
  <si>
    <t>x=102425, y=462622</t>
  </si>
  <si>
    <t>25/0159</t>
  </si>
  <si>
    <t>x=103245, y=459572</t>
  </si>
  <si>
    <t>25/0160</t>
  </si>
  <si>
    <t>x=104378, y=462967</t>
  </si>
  <si>
    <t>25/0162</t>
  </si>
  <si>
    <t>Karunova  14, Ljubljana Trnovo, 1000 Ljubljana</t>
  </si>
  <si>
    <t>x=99849, y=461862</t>
  </si>
  <si>
    <t>25/0163</t>
  </si>
  <si>
    <t>Hotel Medno</t>
  </si>
  <si>
    <t>Medno 54, Ljubljana Medno, 1000 Ljubljana</t>
  </si>
  <si>
    <t>x=109444, y=456232</t>
  </si>
  <si>
    <t>25/0164</t>
  </si>
  <si>
    <t>x=105789, y=459250</t>
  </si>
  <si>
    <t>25/0165</t>
  </si>
  <si>
    <t>x=104130, y=459950</t>
  </si>
  <si>
    <t>25/0166</t>
  </si>
  <si>
    <t>Martinova po 16, Ljubljana - Brod, 1000 Ljubljana</t>
  </si>
  <si>
    <t>x=107819, y=459019</t>
  </si>
  <si>
    <t>25/0169</t>
  </si>
  <si>
    <t>BREST - 1</t>
  </si>
  <si>
    <t>x=99244, y=459561</t>
  </si>
  <si>
    <t>25/0170</t>
  </si>
  <si>
    <t>Hacetova 13, Ljubljana Kozarje, 1000 Ljubljana</t>
  </si>
  <si>
    <t>x=99048, y=457763</t>
  </si>
  <si>
    <t>25/0172</t>
  </si>
  <si>
    <t>x=100979, y=465947</t>
  </si>
  <si>
    <t>25/0173</t>
  </si>
  <si>
    <t>x=100998, y=469166</t>
  </si>
  <si>
    <t>25/0174</t>
  </si>
  <si>
    <t>x=102011, y=468243</t>
  </si>
  <si>
    <t>25/0176</t>
  </si>
  <si>
    <t>Komunala Radgona d.o.o.</t>
  </si>
  <si>
    <t>VODOVOD SISTEM C</t>
  </si>
  <si>
    <t>Titova cesta 1, 9252 Radenci</t>
  </si>
  <si>
    <t>x=167409, y=579898</t>
  </si>
  <si>
    <t>25/0177</t>
  </si>
  <si>
    <t>RK</t>
  </si>
  <si>
    <t>SI033</t>
  </si>
  <si>
    <t>JKP RADLJE</t>
  </si>
  <si>
    <t>VRTEC DRAVOGRAD</t>
  </si>
  <si>
    <t>TRG 4. JULIJA 65, 2370 Dravograd</t>
  </si>
  <si>
    <t>x=160547, y=501994</t>
  </si>
  <si>
    <t>25/0179</t>
  </si>
  <si>
    <t>EKO-PARK</t>
  </si>
  <si>
    <t>Pomurski vodovod - sistem A</t>
  </si>
  <si>
    <t>Gaberje</t>
  </si>
  <si>
    <t>x=157701, y=612401</t>
  </si>
  <si>
    <t>25/0180</t>
  </si>
  <si>
    <t>JKP Grosuplje</t>
  </si>
  <si>
    <t>GROSUPLJE</t>
  </si>
  <si>
    <t>Cesta na Krko 7, 1290 Grosuplje</t>
  </si>
  <si>
    <t>x=89989, y=474182</t>
  </si>
  <si>
    <t>25/0181</t>
  </si>
  <si>
    <t>Vrtec Grosuplje</t>
  </si>
  <si>
    <t>Trubarjeva 15, 1290 Grosuplje</t>
  </si>
  <si>
    <t>x=90150, y=473618</t>
  </si>
  <si>
    <t>25/0182</t>
  </si>
  <si>
    <t>RAVNE - LOKALNI VODOVOD</t>
  </si>
  <si>
    <t>KOTLJE</t>
  </si>
  <si>
    <t>TRGOVINA KOTLJE-MERKATOR</t>
  </si>
  <si>
    <t>KOTLJE 3D, 2394 Kotlje</t>
  </si>
  <si>
    <t>x=153121, y=499271</t>
  </si>
  <si>
    <t>25/0183</t>
  </si>
  <si>
    <t>x=90397, y=485397</t>
  </si>
  <si>
    <t>25/0184</t>
  </si>
  <si>
    <t>x=79487, y=487660</t>
  </si>
  <si>
    <t>25/0185</t>
  </si>
  <si>
    <t>SI035</t>
  </si>
  <si>
    <t>Komunala Zagorje</t>
  </si>
  <si>
    <t>x=110560, y=499344</t>
  </si>
  <si>
    <t>25/0186</t>
  </si>
  <si>
    <t>Vrtec Beltinci</t>
  </si>
  <si>
    <t>Jugovo 33, 9231 Beltinci</t>
  </si>
  <si>
    <t>x=162773, y=595249</t>
  </si>
  <si>
    <t>25/0187</t>
  </si>
  <si>
    <t>VRTEC MELINCI</t>
  </si>
  <si>
    <t>Melinci 64, Melinci, 9231 Beltinci</t>
  </si>
  <si>
    <t>x=159565, y=594953</t>
  </si>
  <si>
    <t>25/0188</t>
  </si>
  <si>
    <t>Vrtec GABERJE</t>
  </si>
  <si>
    <t>Glavna ulica 29, Gaberje , GABERJE, 9220 Lendava</t>
  </si>
  <si>
    <t>x=157781, y=608431</t>
  </si>
  <si>
    <t>25/0190</t>
  </si>
  <si>
    <t xml:space="preserve">KOMUNALA ILIRSKA BISTRICA </t>
  </si>
  <si>
    <t>VODOVOD ILIRSKA BISTRICA</t>
  </si>
  <si>
    <t>STANOVANJSKI OBJEKT #1</t>
  </si>
  <si>
    <t>GORNJI ZEMON 10, ILIRSKA BISTRICA - GORNJI ZEMO, 6250 Ilirska Bistrica</t>
  </si>
  <si>
    <t>x=43655, y=444241</t>
  </si>
  <si>
    <t>Gornji Zemon 13</t>
  </si>
  <si>
    <t>25/0191</t>
  </si>
  <si>
    <t>PREGARJE 18, PREGARJE, 6243 Obrov</t>
  </si>
  <si>
    <t>x=48697, y=432607</t>
  </si>
  <si>
    <t>25/0192</t>
  </si>
  <si>
    <t>PODGRAD 99B, 6244 Podgrad</t>
  </si>
  <si>
    <t>x=42557, y=433465</t>
  </si>
  <si>
    <t>25/0193</t>
  </si>
  <si>
    <t>JP Komunala Cerknica d.o.o.</t>
  </si>
  <si>
    <t>CERKNICA</t>
  </si>
  <si>
    <t>CERKNICA - RAKEK</t>
  </si>
  <si>
    <t>ultrafiltracija, dezinfekcija s klorovim dioksidom</t>
  </si>
  <si>
    <t>C.4 maja 92, 1380 Cerknica</t>
  </si>
  <si>
    <t>x=72659, y=450374</t>
  </si>
  <si>
    <t>25/0194</t>
  </si>
  <si>
    <t>JP KSP Litija d.o.o.</t>
  </si>
  <si>
    <t>VVZ Medvedek</t>
  </si>
  <si>
    <t>Bevkova 1, 1270 Litija</t>
  </si>
  <si>
    <t>x=101916, y=486373</t>
  </si>
  <si>
    <t>25/0195</t>
  </si>
  <si>
    <t>KP Logatec d.o.o.</t>
  </si>
  <si>
    <t>LOGATEC</t>
  </si>
  <si>
    <t>Logatec</t>
  </si>
  <si>
    <t>VVZ Tabor</t>
  </si>
  <si>
    <t>Gorenjska c. 1a, 1370 Logatec</t>
  </si>
  <si>
    <t>x=85329, y=438389</t>
  </si>
  <si>
    <t>25/0196</t>
  </si>
  <si>
    <t>x=79324, y=507024</t>
  </si>
  <si>
    <t>25/0197</t>
  </si>
  <si>
    <t>x=149569, y=575015</t>
  </si>
  <si>
    <t>25/0198</t>
  </si>
  <si>
    <t>DOLENJSKE TOPLICE</t>
  </si>
  <si>
    <t>Dolenjske Toplice, Illy Pab</t>
  </si>
  <si>
    <t>Pionirska cesta1 , 8350 Dolenjske Toplice</t>
  </si>
  <si>
    <t>x=67945, y=504964</t>
  </si>
  <si>
    <t>&gt;300</t>
  </si>
  <si>
    <t>25/0199</t>
  </si>
  <si>
    <t>HRASTJE _NM</t>
  </si>
  <si>
    <t>HRASTJE</t>
  </si>
  <si>
    <t>x=74659, y=524075</t>
  </si>
  <si>
    <t>25/0200</t>
  </si>
  <si>
    <t>VODOVOD BRESTOVICA</t>
  </si>
  <si>
    <t>filtri, redna dezinfekcija, dezinfekcija s plinskim klorom</t>
  </si>
  <si>
    <t>x=60420, y=420060</t>
  </si>
  <si>
    <t>25/0201</t>
  </si>
  <si>
    <t>VRTEC KOMEN</t>
  </si>
  <si>
    <t>KOMEN 16B, 6223 Komen</t>
  </si>
  <si>
    <t>x=75301, y=403138</t>
  </si>
  <si>
    <t>25/0202</t>
  </si>
  <si>
    <t>VRTEC HRPELJE</t>
  </si>
  <si>
    <t>x=51718, y=418155</t>
  </si>
  <si>
    <t>25/0203</t>
  </si>
  <si>
    <t>dezinfekcija s plinskim klorom, dezinfekcija s klorovim dioksidom</t>
  </si>
  <si>
    <t>x=56427, y=514710</t>
  </si>
  <si>
    <t>25/0204</t>
  </si>
  <si>
    <t>KROPA - KAMNA GORICA</t>
  </si>
  <si>
    <t>filtri, dezinfekcija z natrijevim hipokloritom</t>
  </si>
  <si>
    <t>Kropa 98 a, 4245 Kropa</t>
  </si>
  <si>
    <t>x=127822, y=439020</t>
  </si>
  <si>
    <t>25/0205</t>
  </si>
  <si>
    <t>JKP SLOVENJ GRADEC</t>
  </si>
  <si>
    <t>SLOVENJ GRADEC</t>
  </si>
  <si>
    <t>GOSPOSVETSKA CESTA 3, 2380 Slovenj Gradec</t>
  </si>
  <si>
    <t>x=151480, y=506514</t>
  </si>
  <si>
    <t>25/0207</t>
  </si>
  <si>
    <t>Hotel Jezero</t>
  </si>
  <si>
    <t>x=126510, y=414590</t>
  </si>
  <si>
    <t>25/0208</t>
  </si>
  <si>
    <t>MOKRICE</t>
  </si>
  <si>
    <t>Velika Dolina 30, 8261 Jesenice na Dolenjskem</t>
  </si>
  <si>
    <t>x=79106, y=553993</t>
  </si>
  <si>
    <t>25/0209</t>
  </si>
  <si>
    <t>KOSTANJEVICA 2</t>
  </si>
  <si>
    <t>KOSTANJEVICA</t>
  </si>
  <si>
    <t>x=78609, y=532976</t>
  </si>
  <si>
    <t>25/0211</t>
  </si>
  <si>
    <t>Komunala Metlika</t>
  </si>
  <si>
    <t>METLIKA OBRH</t>
  </si>
  <si>
    <t>Metlika VVO</t>
  </si>
  <si>
    <t>x=56748, y=524869</t>
  </si>
  <si>
    <t>25/0212</t>
  </si>
  <si>
    <t>Podzemelj 17, 8332 Gradac</t>
  </si>
  <si>
    <t>x=51576, y=521802</t>
  </si>
  <si>
    <t>25/0214</t>
  </si>
  <si>
    <t>Komunala Trebnje</t>
  </si>
  <si>
    <t>TREBNJE</t>
  </si>
  <si>
    <t>Trebnje VVO</t>
  </si>
  <si>
    <t>Slakova ulica , 8210 Trebnje</t>
  </si>
  <si>
    <t>x=84909, y=501041</t>
  </si>
  <si>
    <t>25/0215</t>
  </si>
  <si>
    <t>Dana d.o.o.</t>
  </si>
  <si>
    <t>MIRNA</t>
  </si>
  <si>
    <t>x=89719, y=505081</t>
  </si>
  <si>
    <t>25/0216</t>
  </si>
  <si>
    <t>KOMUNALA d.o.o. SEVNICA</t>
  </si>
  <si>
    <t>KRMELJ</t>
  </si>
  <si>
    <t>Krmelj 104, 8296 Krmelj</t>
  </si>
  <si>
    <t>x=94061, y=514714</t>
  </si>
  <si>
    <t>25/0218</t>
  </si>
  <si>
    <t>DESKLE</t>
  </si>
  <si>
    <t>DESKLE - ANHOVO</t>
  </si>
  <si>
    <t>filtri, koagulacija, flokulacija, dezinfekcija s plinskim klorom</t>
  </si>
  <si>
    <t>Petra Skalarja 2, Anhovo , 5210 Deskle</t>
  </si>
  <si>
    <t>x=101835, y=393203</t>
  </si>
  <si>
    <t>25/0219</t>
  </si>
  <si>
    <t>KAMNO - VOLARJE</t>
  </si>
  <si>
    <t>Volarje 54 c, 5220 Tolmin</t>
  </si>
  <si>
    <t>x=119341, y=397743</t>
  </si>
  <si>
    <t>25/0221</t>
  </si>
  <si>
    <t>RIBNICA</t>
  </si>
  <si>
    <t>Ribnica VVO</t>
  </si>
  <si>
    <t>Majnikova ulica 3, 1310 Ribnica</t>
  </si>
  <si>
    <t>x=66587, y=479094</t>
  </si>
  <si>
    <t>25/0222</t>
  </si>
  <si>
    <t>x=101616, y=431542</t>
  </si>
  <si>
    <t>25/0223</t>
  </si>
  <si>
    <t>OSEK - VITOVLJE</t>
  </si>
  <si>
    <t>x=87861, y=403185</t>
  </si>
  <si>
    <t>25/0224</t>
  </si>
  <si>
    <t>PODBRDO</t>
  </si>
  <si>
    <t>Dom upokojencev</t>
  </si>
  <si>
    <t>Podbrdo 33, 5243 Podbrdo</t>
  </si>
  <si>
    <t>x=119382, y=421070</t>
  </si>
  <si>
    <t>25/0225</t>
  </si>
  <si>
    <t>ultrafiltracija</t>
  </si>
  <si>
    <t>x=133205, y=445319</t>
  </si>
  <si>
    <t>25/0226</t>
  </si>
  <si>
    <t>x=135875, y=447381</t>
  </si>
  <si>
    <t>25/0227</t>
  </si>
  <si>
    <t>x=133190, y=446097</t>
  </si>
  <si>
    <t>25/0228</t>
  </si>
  <si>
    <t>CERKLJE</t>
  </si>
  <si>
    <t>x=123483, y=460931</t>
  </si>
  <si>
    <t>25/0229</t>
  </si>
  <si>
    <t>Penzion Jagodic, Vopovlje</t>
  </si>
  <si>
    <t>Vopovlje 10, Vopovlje, 4207 Cerklje na Gorenjskem</t>
  </si>
  <si>
    <t>x=120410, y=461350</t>
  </si>
  <si>
    <t>25/0230</t>
  </si>
  <si>
    <t>MEDVODE</t>
  </si>
  <si>
    <t>Ostrovrharjeva 2, 1215 Medvode</t>
  </si>
  <si>
    <t>x=111444, y=454606</t>
  </si>
  <si>
    <t>25/0231</t>
  </si>
  <si>
    <t>KOVOR - NAKLO</t>
  </si>
  <si>
    <t>Sp.Duplje 2, Sp.Duplje, 4203 Duplje</t>
  </si>
  <si>
    <t>x=128991, y=446135</t>
  </si>
  <si>
    <t>25/0232</t>
  </si>
  <si>
    <t>Brdo pri Lukovici 5, 1225 Lukovica</t>
  </si>
  <si>
    <t>x=113910, y=476165</t>
  </si>
  <si>
    <t>25/0233</t>
  </si>
  <si>
    <t>Krtina 41, Krtina, 1233 Dob</t>
  </si>
  <si>
    <t>x=111751, y=474156</t>
  </si>
  <si>
    <t>25/0234</t>
  </si>
  <si>
    <t>x=120326, y=435903</t>
  </si>
  <si>
    <t>25/0235</t>
  </si>
  <si>
    <t>RAVNE</t>
  </si>
  <si>
    <t>MERCATOR CENTER</t>
  </si>
  <si>
    <t>x=155350, y=496450</t>
  </si>
  <si>
    <t>25/0236</t>
  </si>
  <si>
    <t>RONKOVA 4A, 2380 Slovenj Gradec</t>
  </si>
  <si>
    <t>x=151264, y=507127</t>
  </si>
  <si>
    <t>25/0237</t>
  </si>
  <si>
    <t>x=159896, y=500919</t>
  </si>
  <si>
    <t>25/0238</t>
  </si>
  <si>
    <t>x=115380, y=400780</t>
  </si>
  <si>
    <t>25/0239</t>
  </si>
  <si>
    <t>x=157383, y=503140</t>
  </si>
  <si>
    <t>&lt;0,15</t>
  </si>
  <si>
    <t>25/0241</t>
  </si>
  <si>
    <t>KROMBERK</t>
  </si>
  <si>
    <t>JAVNA PIPA ZA CERKVIJO</t>
  </si>
  <si>
    <t>MED TRTAMI , KROMBERK, 5000 Nova Gorica</t>
  </si>
  <si>
    <t>25/0242</t>
  </si>
  <si>
    <t>VZ Preddvor</t>
  </si>
  <si>
    <t>PREDDVOR</t>
  </si>
  <si>
    <t>x=129097, y=455695</t>
  </si>
  <si>
    <t xml:space="preserve">pipa v kuhinji </t>
  </si>
  <si>
    <t>25/0243</t>
  </si>
  <si>
    <t>Komunala Kranjska Gora</t>
  </si>
  <si>
    <t>KRANJSKA GORA</t>
  </si>
  <si>
    <t>KRANJSKA GORA, LOG, GOZD MARTULJEK</t>
  </si>
  <si>
    <t>x=149849, y=406974</t>
  </si>
  <si>
    <t>25/0244</t>
  </si>
  <si>
    <t>MOJSTRANA</t>
  </si>
  <si>
    <t>x=146821, y=418778</t>
  </si>
  <si>
    <t>25/0245</t>
  </si>
  <si>
    <t>GOLNIK</t>
  </si>
  <si>
    <t>OO GOLNIK</t>
  </si>
  <si>
    <t>Golnik 54, 4204 Golnik</t>
  </si>
  <si>
    <t>x=131325, y=448741</t>
  </si>
  <si>
    <t>25/0246</t>
  </si>
  <si>
    <t>Trata 40, 4224 Gorenja vas</t>
  </si>
  <si>
    <t>x=106676, y=433975</t>
  </si>
  <si>
    <t>25/0248</t>
  </si>
  <si>
    <t>STRANICE</t>
  </si>
  <si>
    <t>Stranice 36, 3206 Stranice</t>
  </si>
  <si>
    <t>x=135398, y=528386</t>
  </si>
  <si>
    <t>25/0250</t>
  </si>
  <si>
    <t>PREBOLD</t>
  </si>
  <si>
    <t>Vrtec Prebold</t>
  </si>
  <si>
    <t>Na bazen 1, 3312 Prebold</t>
  </si>
  <si>
    <t>x=121203, y=507520</t>
  </si>
  <si>
    <t>25/0251</t>
  </si>
  <si>
    <t>VRANSKO - POLZELA</t>
  </si>
  <si>
    <t>x=126608, y=503511</t>
  </si>
  <si>
    <t>25/0253</t>
  </si>
  <si>
    <t>x=112061, y=518657</t>
  </si>
  <si>
    <t>25/0254</t>
  </si>
  <si>
    <t>x=112885, y=518316</t>
  </si>
  <si>
    <t>25/0255</t>
  </si>
  <si>
    <t>x=102279, y=514406</t>
  </si>
  <si>
    <t>25/0256</t>
  </si>
  <si>
    <t>TRIJE STUDENCI</t>
  </si>
  <si>
    <t>x=109490, y=522754</t>
  </si>
  <si>
    <t>25/0258</t>
  </si>
  <si>
    <t>JP KOMUNALA p.o. Mozirje</t>
  </si>
  <si>
    <t>MOZIRJE</t>
  </si>
  <si>
    <t>x=131197, y=494388</t>
  </si>
  <si>
    <t>25/0259</t>
  </si>
  <si>
    <t>SEVNICA</t>
  </si>
  <si>
    <t>Vrtec Ciciban Sevnica</t>
  </si>
  <si>
    <t>Naselje heroja Maroka 22, 8290 Sevnica</t>
  </si>
  <si>
    <t>x=96586, y=523616</t>
  </si>
  <si>
    <t>25/0260</t>
  </si>
  <si>
    <t>Savska cesta 2, 8290 Sevnica</t>
  </si>
  <si>
    <t>x=95708, y=524150</t>
  </si>
  <si>
    <t>25/0261</t>
  </si>
  <si>
    <t>x=123343, y=509626</t>
  </si>
  <si>
    <t>25/0262</t>
  </si>
  <si>
    <t>TABOR</t>
  </si>
  <si>
    <t>Vrtec Trnava</t>
  </si>
  <si>
    <t>Trnava 5b, 3303 Gomilsko</t>
  </si>
  <si>
    <t>x=123580, y=505883</t>
  </si>
  <si>
    <t>25/0263</t>
  </si>
  <si>
    <t>PRISTAVA PRI MESTINJU</t>
  </si>
  <si>
    <t>Pristava pri Mestinju 26, 3253 Pristava pri Mestinju</t>
  </si>
  <si>
    <t>x=116899, y=546417</t>
  </si>
  <si>
    <t>25/0264</t>
  </si>
  <si>
    <t>x=108595, y=546626</t>
  </si>
  <si>
    <t>25/0265</t>
  </si>
  <si>
    <t>GRGAR</t>
  </si>
  <si>
    <t>Pekarna Brumat - trgovina Grgar</t>
  </si>
  <si>
    <t>x=95803, y=397552</t>
  </si>
  <si>
    <t>25/0266</t>
  </si>
  <si>
    <t>filtri, ultrafiltracija, redna dezinfekcija, dezinfekcija z natrijevim hipokloritom</t>
  </si>
  <si>
    <t>x=139219, y=502590</t>
  </si>
  <si>
    <t>25/0267</t>
  </si>
  <si>
    <t>x=95658, y=550535</t>
  </si>
  <si>
    <t>25/0268</t>
  </si>
  <si>
    <t>J.P. Komunala Trbovlje d.o.o.</t>
  </si>
  <si>
    <t>TRBOVLJE</t>
  </si>
  <si>
    <t>Osrednji del Trbovelj</t>
  </si>
  <si>
    <t>Trg revolucije 18, 1420 Trbovlje</t>
  </si>
  <si>
    <t>x=111379, y=503642</t>
  </si>
  <si>
    <t>25/0269</t>
  </si>
  <si>
    <t>x=87292, y=426270</t>
  </si>
  <si>
    <t>pitnik v parku</t>
  </si>
  <si>
    <t>25/0270</t>
  </si>
  <si>
    <t>filtri, redna dezinfekcija, dezinfekcija z natrijevim hipokloritom</t>
  </si>
  <si>
    <t>GOSTILNA LESJAK</t>
  </si>
  <si>
    <t>MAKOLE 36, 2321 Makole</t>
  </si>
  <si>
    <t>x=130592, y=551736</t>
  </si>
  <si>
    <t>25/0272</t>
  </si>
  <si>
    <t>VRTEC ZG. DUPLEK</t>
  </si>
  <si>
    <t>ZG. DUPLEK 8/D, DUPLEK, 2241 Spodnji Duplek</t>
  </si>
  <si>
    <t>x=152430, y=555438</t>
  </si>
  <si>
    <t>25/0273</t>
  </si>
  <si>
    <t>SEDLO - STARO SELO</t>
  </si>
  <si>
    <t>IZC Aurora</t>
  </si>
  <si>
    <t>Staro selo 60a, 5222 Kobarid</t>
  </si>
  <si>
    <t>x=123657, y=386794</t>
  </si>
  <si>
    <t>25/0275</t>
  </si>
  <si>
    <t>x=90393, y=430253</t>
  </si>
  <si>
    <t>25/0277</t>
  </si>
  <si>
    <t>Na Gaj 4, MARIBOR, 2351 Kamnica</t>
  </si>
  <si>
    <t>x=158275, y=544552</t>
  </si>
  <si>
    <t>25/0278</t>
  </si>
  <si>
    <t>Trnovo 41, Trnovo, 5252 Trnovo pri Gorici</t>
  </si>
  <si>
    <t>x=92857, y=402844</t>
  </si>
  <si>
    <t>25/0279</t>
  </si>
  <si>
    <t>KANAL</t>
  </si>
  <si>
    <t>Neptunov vodnjak</t>
  </si>
  <si>
    <t>Trg svobode 21, 5213 Kanal</t>
  </si>
  <si>
    <t>x=105449, y=394725</t>
  </si>
  <si>
    <t>25/0280</t>
  </si>
  <si>
    <t>Vrtec Tepanje</t>
  </si>
  <si>
    <t>Tepanje 28, 3210 Slovenske Konjice</t>
  </si>
  <si>
    <t>x=133784, y=537020</t>
  </si>
  <si>
    <t>25/0281</t>
  </si>
  <si>
    <t xml:space="preserve"> LESCE (del sistema Radovna - Bled- Lesce)</t>
  </si>
  <si>
    <t>LESCE</t>
  </si>
  <si>
    <t>x=135516, y=435664</t>
  </si>
  <si>
    <t>25/0282</t>
  </si>
  <si>
    <t>AJDNA</t>
  </si>
  <si>
    <t>x=139221, y=433145</t>
  </si>
  <si>
    <t>25/0283</t>
  </si>
  <si>
    <t>x=108632, y=413467</t>
  </si>
  <si>
    <t>25/0284</t>
  </si>
  <si>
    <t>Mali Nerajec, gostilna Moravec</t>
  </si>
  <si>
    <t>x=39725, y=515225</t>
  </si>
  <si>
    <t>25/0285</t>
  </si>
  <si>
    <t>Club Tinca bar</t>
  </si>
  <si>
    <t>x=96374, y=522152</t>
  </si>
  <si>
    <t>25/0286</t>
  </si>
  <si>
    <t>Lekarna</t>
  </si>
  <si>
    <t>Trg svobode 1, 1270 Litija</t>
  </si>
  <si>
    <t>x=101364, y=487115</t>
  </si>
  <si>
    <t>25/0287</t>
  </si>
  <si>
    <t>Komunalno podjetje Logatec</t>
  </si>
  <si>
    <t>x=86107, y=440051</t>
  </si>
  <si>
    <t>25/0288</t>
  </si>
  <si>
    <t>Bife Fortuna</t>
  </si>
  <si>
    <t>Kolonija 1. maja 11a, 1420 Trbovlje</t>
  </si>
  <si>
    <t>x=111625, y=504286</t>
  </si>
  <si>
    <t>25/0290</t>
  </si>
  <si>
    <t>x=157181, y=503403</t>
  </si>
  <si>
    <t>25/0292</t>
  </si>
  <si>
    <t>x=158578, y=503316</t>
  </si>
  <si>
    <t>25/0293</t>
  </si>
  <si>
    <t>Grajena  60, 2250 Ptuj</t>
  </si>
  <si>
    <t>x=146412, y=564943</t>
  </si>
  <si>
    <t>25/0295</t>
  </si>
  <si>
    <t>x=147191, y=559399</t>
  </si>
  <si>
    <t>25/0297</t>
  </si>
  <si>
    <t>OO-4 - Slovenske gorice</t>
  </si>
  <si>
    <t>x=149848, y=567609</t>
  </si>
  <si>
    <t>25/0298</t>
  </si>
  <si>
    <t>OO3-Lancova vas</t>
  </si>
  <si>
    <t>x=125867, y=561370</t>
  </si>
  <si>
    <t>25/0299</t>
  </si>
  <si>
    <t>Vrtec Grahovo</t>
  </si>
  <si>
    <t>Grahovo 120, 1384 Grahovo</t>
  </si>
  <si>
    <t>x=69824, y=455924</t>
  </si>
  <si>
    <t>25/0300</t>
  </si>
  <si>
    <t>po izbiri</t>
  </si>
  <si>
    <t>x=157030, y=503498</t>
  </si>
  <si>
    <t>25/0301</t>
  </si>
  <si>
    <t>25/0302</t>
  </si>
  <si>
    <t>x=87116, y=471132</t>
  </si>
  <si>
    <t>25/0303</t>
  </si>
  <si>
    <t>x=120695, y=512537</t>
  </si>
  <si>
    <t>25/0304</t>
  </si>
  <si>
    <t>Gostilna pri Zotlarju</t>
  </si>
  <si>
    <t>Buje 3, 6217 Vremski Britof</t>
  </si>
  <si>
    <t>x=56712, y=429150</t>
  </si>
  <si>
    <t>Hidrant Buje</t>
  </si>
  <si>
    <t>25/0306</t>
  </si>
  <si>
    <t>x=136863, y=530343</t>
  </si>
  <si>
    <t>25/0307</t>
  </si>
  <si>
    <t>SENOVO - BRESTANICA</t>
  </si>
  <si>
    <t>Senovo, bencinski servis MOL</t>
  </si>
  <si>
    <t>Titova ulica 101C, 8281 Senovo</t>
  </si>
  <si>
    <t>x=97961, y=537373</t>
  </si>
  <si>
    <t>25/0308</t>
  </si>
  <si>
    <t>TRSTENIK</t>
  </si>
  <si>
    <t>Trstenik  39, Trstenik, 4204 Golnik</t>
  </si>
  <si>
    <t>x=130289, y=451695</t>
  </si>
  <si>
    <t>25/0309</t>
  </si>
  <si>
    <t>Vzgojni zavod Planina</t>
  </si>
  <si>
    <t>Planina 211, 6232 Planina</t>
  </si>
  <si>
    <t>x=75800, y=441300</t>
  </si>
  <si>
    <t>25/0310</t>
  </si>
  <si>
    <t>Dutovlje  135, 6221 Dutovlje</t>
  </si>
  <si>
    <t>x=69136, y=409298</t>
  </si>
  <si>
    <t>25/0311</t>
  </si>
  <si>
    <t>Puhar Franc</t>
  </si>
  <si>
    <t>x=162766, y=577462</t>
  </si>
  <si>
    <t>25/0312</t>
  </si>
  <si>
    <t>Zavod za blagovne rezerve Ortnek, Ortnek NN-vratarnica</t>
  </si>
  <si>
    <t>Ortnek 9, 1316 Ortnek</t>
  </si>
  <si>
    <t>x=71889, y=474711</t>
  </si>
  <si>
    <t>25/0313</t>
  </si>
  <si>
    <t>DOBRNA</t>
  </si>
  <si>
    <t>drugo sredstvo, ultrafiltracija, redna dezinfekcija, dezinfekcija z natrijevim hipokloritom</t>
  </si>
  <si>
    <t>Hotel Park, pipa v kuhinji, desno od pomivalnega stroja</t>
  </si>
  <si>
    <t>Dobrna 52, 3204 Dobrna</t>
  </si>
  <si>
    <t>x=132955, y=517557</t>
  </si>
  <si>
    <t>25/0314</t>
  </si>
  <si>
    <t>SPODNJA IDRIJA</t>
  </si>
  <si>
    <t>x=99293, y=424646</t>
  </si>
  <si>
    <t>25/0315</t>
  </si>
  <si>
    <t>KOBARID</t>
  </si>
  <si>
    <t>Vrtec Kobarid</t>
  </si>
  <si>
    <t>x=123285, y=391089</t>
  </si>
  <si>
    <t>25/0316</t>
  </si>
  <si>
    <t>OZELJAN</t>
  </si>
  <si>
    <t>x=89378, y=401964</t>
  </si>
  <si>
    <t>25/0317</t>
  </si>
  <si>
    <t>MUZEJSKI ZBIRKI PRI STARI DAMI</t>
  </si>
  <si>
    <t>Predjama 13, Predjama, 6230 Postojna</t>
  </si>
  <si>
    <t>x=74856, y=432630</t>
  </si>
  <si>
    <t>25/0318</t>
  </si>
  <si>
    <t xml:space="preserve">Vrtec Cerkvenjak </t>
  </si>
  <si>
    <t>2236 Cerkvenjak</t>
  </si>
  <si>
    <t>x=158616, y=572766</t>
  </si>
  <si>
    <t>25/0319</t>
  </si>
  <si>
    <t>Lancova vas 76 a, 2284 Videm pri Ptuju</t>
  </si>
  <si>
    <t>x=136649, y=565544</t>
  </si>
  <si>
    <t>25/0320</t>
  </si>
  <si>
    <t>BIZELJSKO</t>
  </si>
  <si>
    <t>Bizeljska cesta 67, 8259 Bizeljsko</t>
  </si>
  <si>
    <t>x=96958, y=553980</t>
  </si>
  <si>
    <t>25/0321</t>
  </si>
  <si>
    <t>VODARNA MOTA</t>
  </si>
  <si>
    <t>x=158896, y=578734</t>
  </si>
  <si>
    <t>25/0322</t>
  </si>
  <si>
    <t>x=76312, y=495116</t>
  </si>
  <si>
    <t>25/0323</t>
  </si>
  <si>
    <t>Dvor 23, 8361 Dvor</t>
  </si>
  <si>
    <t>x=74107, y=497712</t>
  </si>
  <si>
    <t>25/0325</t>
  </si>
  <si>
    <t>RADLJE</t>
  </si>
  <si>
    <t>RADLJE OB DRAVI</t>
  </si>
  <si>
    <t>x=163566, y=516509</t>
  </si>
  <si>
    <t>25/0326</t>
  </si>
  <si>
    <t>Petrol Log</t>
  </si>
  <si>
    <t>Savsko naselje 8, 4280 Kranjska Gora</t>
  </si>
  <si>
    <t>x=149876, y=408096</t>
  </si>
  <si>
    <t>pipa v pisarni</t>
  </si>
  <si>
    <t>25/0327</t>
  </si>
  <si>
    <t>x=110928, y=456595</t>
  </si>
  <si>
    <t>25/0328</t>
  </si>
  <si>
    <t>CERKNO</t>
  </si>
  <si>
    <t>Bevkova ulica 9, 5282 Cerkno</t>
  </si>
  <si>
    <t>25/0329</t>
  </si>
  <si>
    <t>Vrtec Zelena jama</t>
  </si>
  <si>
    <t>Zvezna ulica 24, 1000 Ljubljana</t>
  </si>
  <si>
    <t>x=101839, y=464131</t>
  </si>
  <si>
    <t>kuhinja, korito</t>
  </si>
  <si>
    <t>25/0330</t>
  </si>
  <si>
    <t>x=101103, y=464522</t>
  </si>
  <si>
    <t>25/0332</t>
  </si>
  <si>
    <t>Bencinski servis Agip</t>
  </si>
  <si>
    <t>x=104986, y=478469</t>
  </si>
  <si>
    <t>25/0333</t>
  </si>
  <si>
    <t>Gostilna Vegov hram</t>
  </si>
  <si>
    <t>Dolsko 57, Dolsko, 1000 Ljubljana</t>
  </si>
  <si>
    <t>x=105528, y=475487</t>
  </si>
  <si>
    <t>25/0334</t>
  </si>
  <si>
    <t>Mercator #14</t>
  </si>
  <si>
    <t>Podgorica 63, Ljubljana Podgorica, 1000 Ljubljana</t>
  </si>
  <si>
    <t>x=105769, y=468238</t>
  </si>
  <si>
    <t>25/0335</t>
  </si>
  <si>
    <t>Veterinarska fakulteta</t>
  </si>
  <si>
    <t>Cesta v Mestni log 47, Ljubljana Murgle, 1000 Ljubljana</t>
  </si>
  <si>
    <t>x=99361, y=461135</t>
  </si>
  <si>
    <t>25/0336</t>
  </si>
  <si>
    <t>x=100005, y=459486</t>
  </si>
  <si>
    <t>25/0337</t>
  </si>
  <si>
    <t>Vrtec Vrhovci, enota Iga Grudna</t>
  </si>
  <si>
    <t>x=100099, y=459865</t>
  </si>
  <si>
    <t>25/0338</t>
  </si>
  <si>
    <t>Cesta na Brdo 30, Ljubljana - Brdo, 1000 Ljubljana</t>
  </si>
  <si>
    <t>x=100287, y=459632</t>
  </si>
  <si>
    <t>25/0339</t>
  </si>
  <si>
    <t>x=99646, y=460560</t>
  </si>
  <si>
    <t>25/0340</t>
  </si>
  <si>
    <t>Pot v dolino 60, Ljubljana Bizovik, 1000 Ljubljana</t>
  </si>
  <si>
    <t>x=98385, y=466851</t>
  </si>
  <si>
    <t>25/0341</t>
  </si>
  <si>
    <t>Nusdorferjeva ulica 10, 1000 Ljubljana</t>
  </si>
  <si>
    <t>x=100634, y=465301</t>
  </si>
  <si>
    <t>25/0342</t>
  </si>
  <si>
    <t>x=101229, y=465055</t>
  </si>
  <si>
    <t>25/0343</t>
  </si>
  <si>
    <t>x=101122, y=464908</t>
  </si>
  <si>
    <t>25/0344</t>
  </si>
  <si>
    <t>Poslovni objekt, Caffe POP</t>
  </si>
  <si>
    <t>Litijska 38, 1000 Ljubljana</t>
  </si>
  <si>
    <t>x=100449, y=465186</t>
  </si>
  <si>
    <t>25/0345</t>
  </si>
  <si>
    <t>Cesta II. grupe odredov 41, Ljubljana Zadvor, 1000 Ljubljana</t>
  </si>
  <si>
    <t>x=99252, y=469100</t>
  </si>
  <si>
    <t>25/0346</t>
  </si>
  <si>
    <t xml:space="preserve">Vrtec Galjevica, enota Orlova </t>
  </si>
  <si>
    <t>x=99309, y=463008</t>
  </si>
  <si>
    <t>25/0349</t>
  </si>
  <si>
    <t>JKP Brezovica d.o.o.</t>
  </si>
  <si>
    <t>x=92412, y=455581</t>
  </si>
  <si>
    <t>25/0351</t>
  </si>
  <si>
    <t>MUTA - GORTINA</t>
  </si>
  <si>
    <t>GORTINA</t>
  </si>
  <si>
    <t>GOSTILNA PRI MESARJU</t>
  </si>
  <si>
    <t>GORTINA 65, GORTINA, 2366 Muta</t>
  </si>
  <si>
    <t>x=162439, y=509901</t>
  </si>
  <si>
    <t>25/0352</t>
  </si>
  <si>
    <t>x=76312, y=495122</t>
  </si>
  <si>
    <t>25/0353</t>
  </si>
  <si>
    <t>RIBNICA NA POHORJU</t>
  </si>
  <si>
    <t>RIBNICA NA POHORJU 29, 2364 Ribnica na Pohorju</t>
  </si>
  <si>
    <t>x=154510, y=520839</t>
  </si>
  <si>
    <t>25/0354</t>
  </si>
  <si>
    <t>Zdravstveni dom Zag.</t>
  </si>
  <si>
    <t>C. Zmage 1, Zagorje, 1410 Zagorje ob Savi</t>
  </si>
  <si>
    <t>x=109966, y=500038</t>
  </si>
  <si>
    <t>25/0355</t>
  </si>
  <si>
    <t>Dnevni bar Bacardi Gomilica</t>
  </si>
  <si>
    <t>x=162664, y=600230</t>
  </si>
  <si>
    <t>25/0356</t>
  </si>
  <si>
    <t>MISLINJA</t>
  </si>
  <si>
    <t>x=144880, y=515121</t>
  </si>
  <si>
    <t>25/0357</t>
  </si>
  <si>
    <t>Zgornji del Trbovelj</t>
  </si>
  <si>
    <t>Gabrsko 19, Trbovelj, 1420 Trbovlje</t>
  </si>
  <si>
    <t>x=114290, y=504822</t>
  </si>
  <si>
    <t>25/0358</t>
  </si>
  <si>
    <t>Vrtec Velika Polana</t>
  </si>
  <si>
    <t>Velika Polana 215b, 9225 Velika Polana</t>
  </si>
  <si>
    <t>x=159823, y=603302</t>
  </si>
  <si>
    <t>25/0359</t>
  </si>
  <si>
    <t>25/0360</t>
  </si>
  <si>
    <t>x=162517, y=590417</t>
  </si>
  <si>
    <t>25/0361</t>
  </si>
  <si>
    <t>x=39826, y=443585</t>
  </si>
  <si>
    <t>25/0363</t>
  </si>
  <si>
    <t>DOBREPOLJE - ROB</t>
  </si>
  <si>
    <t>Kompolje 78, 1312 Videm - Dobrepolje</t>
  </si>
  <si>
    <t>x=74500, y=478427</t>
  </si>
  <si>
    <t>25/0364</t>
  </si>
  <si>
    <t>Cesta notranjskega odreda 32, Stari trg, 1380 Cerknica</t>
  </si>
  <si>
    <t>x=63296, y=459333</t>
  </si>
  <si>
    <t>25/0365</t>
  </si>
  <si>
    <t>JP Komunala Hrastnik d.o.o.</t>
  </si>
  <si>
    <t>DOL PRI HRASTNIKU</t>
  </si>
  <si>
    <t>Planinska c. 15, Dol pri Hrastniku, 1430 Hrastnik</t>
  </si>
  <si>
    <t>x=110613, y=509493</t>
  </si>
  <si>
    <t>&lt;0,13</t>
  </si>
  <si>
    <t>25/0367</t>
  </si>
  <si>
    <t>Toplica</t>
  </si>
  <si>
    <t>ultrafiltracija, dezinfekcija z natrijevim hipokloritom</t>
  </si>
  <si>
    <t>x=123910, y=525195</t>
  </si>
  <si>
    <t>25/0368</t>
  </si>
  <si>
    <t>Vrtec</t>
  </si>
  <si>
    <t>x=92476, y=470474</t>
  </si>
  <si>
    <t>25/0369</t>
  </si>
  <si>
    <t>x=51109, y=440689</t>
  </si>
  <si>
    <t>25/0370</t>
  </si>
  <si>
    <t>Vel. Brusnice 101, Vel. Brusnice, 8321 Brusnice</t>
  </si>
  <si>
    <t>x=74189, y=520318</t>
  </si>
  <si>
    <t>25/0371</t>
  </si>
  <si>
    <t>JP Komunala Vodice d.o.o.,</t>
  </si>
  <si>
    <t>VODICE</t>
  </si>
  <si>
    <t>Gostilna Mak</t>
  </si>
  <si>
    <t>Polje pri Vodicah 7, Polje pri Vodicah, 1217 Vodice</t>
  </si>
  <si>
    <t>x=113331, y=461163</t>
  </si>
  <si>
    <t>25/0373</t>
  </si>
  <si>
    <t>BRANICA</t>
  </si>
  <si>
    <t>STANOVANJSKI OBJEKT</t>
  </si>
  <si>
    <t>x=74775, y=413699</t>
  </si>
  <si>
    <t>25/0374</t>
  </si>
  <si>
    <t>x=141881, y=517083</t>
  </si>
  <si>
    <t>25/0375</t>
  </si>
  <si>
    <t>x=42410, y=447895</t>
  </si>
  <si>
    <t>25/0376</t>
  </si>
  <si>
    <t>PODGRAJE</t>
  </si>
  <si>
    <t>TRGOVINA PODGRAJE</t>
  </si>
  <si>
    <t>PODGRAJE 34, ILIRSKA BISTRICA - PODGRAJE, 6250 Ilirska Bistrica</t>
  </si>
  <si>
    <t>x=42575, y=449257</t>
  </si>
  <si>
    <t>Podgraje 57</t>
  </si>
  <si>
    <t>25/0377</t>
  </si>
  <si>
    <t>KS Vrbovo</t>
  </si>
  <si>
    <t>VRBOVO</t>
  </si>
  <si>
    <t>PIZZERIA KODRA</t>
  </si>
  <si>
    <t>VRBOVO 22, 6250 Ilirska Bistrica</t>
  </si>
  <si>
    <t>x=45689, y=443744</t>
  </si>
  <si>
    <t>25/0378</t>
  </si>
  <si>
    <t>x=41229, y=449184</t>
  </si>
  <si>
    <t>25/0380</t>
  </si>
  <si>
    <t>x=69140, y=431969</t>
  </si>
  <si>
    <t>25/0381</t>
  </si>
  <si>
    <t>VODOVOD NANOS</t>
  </si>
  <si>
    <t>x=64194, y=425469</t>
  </si>
  <si>
    <t>25/0382</t>
  </si>
  <si>
    <t>PODNART</t>
  </si>
  <si>
    <t>x=127433, y=442669</t>
  </si>
  <si>
    <t>25/0383</t>
  </si>
  <si>
    <t>x=149900, y=508660</t>
  </si>
  <si>
    <t>25/0384</t>
  </si>
  <si>
    <t>x=79973, y=536342</t>
  </si>
  <si>
    <t>25/0385</t>
  </si>
  <si>
    <t>IZLAKE</t>
  </si>
  <si>
    <t>DSO Izlake</t>
  </si>
  <si>
    <t>Izlake 13, Trbovlje, 1411 Izlake</t>
  </si>
  <si>
    <t>x=112348, y=494948</t>
  </si>
  <si>
    <t>25/0386</t>
  </si>
  <si>
    <t>DOLENJA VAS 2</t>
  </si>
  <si>
    <t>DOLENJA VAS</t>
  </si>
  <si>
    <t>Dolenja vas, VVO</t>
  </si>
  <si>
    <t>x=89443, y=542746</t>
  </si>
  <si>
    <t>25/0387</t>
  </si>
  <si>
    <t>METLIKA - JAMNIKI</t>
  </si>
  <si>
    <t>Radovica 11, Radovica, 8330 Metlika</t>
  </si>
  <si>
    <t>x=60905, y=527644</t>
  </si>
  <si>
    <t>25/0388</t>
  </si>
  <si>
    <t>x=92523, y=507142</t>
  </si>
  <si>
    <t>25/0389</t>
  </si>
  <si>
    <t>Komunala d.o.o. Gornji Grad</t>
  </si>
  <si>
    <t>GORNJI GRAD</t>
  </si>
  <si>
    <t>Kocbekova cesta 21, 3342 Gornji Grad</t>
  </si>
  <si>
    <t>x=128157, y=485735</t>
  </si>
  <si>
    <t>25/0390</t>
  </si>
  <si>
    <t>x=131061, y=534967</t>
  </si>
  <si>
    <t>25/0391</t>
  </si>
  <si>
    <t>JAVNI VODOVODNI SISTEM VISOLE</t>
  </si>
  <si>
    <t>VISOLE</t>
  </si>
  <si>
    <t>LOVSKI DOM ZG. BISTRICA</t>
  </si>
  <si>
    <t>ZG. BISTRICA 25, 2310 Slovenska Bistrica</t>
  </si>
  <si>
    <t>x=139282, y=542027</t>
  </si>
  <si>
    <t>25/0392</t>
  </si>
  <si>
    <t>SIRARNA HUBJANI</t>
  </si>
  <si>
    <t>BATE 2, BATE, 5251 Grgar</t>
  </si>
  <si>
    <t>pipa na koritu</t>
  </si>
  <si>
    <t>25/0393</t>
  </si>
  <si>
    <t>x=124470, y=393820</t>
  </si>
  <si>
    <t>25/0394</t>
  </si>
  <si>
    <t>Lokovina 34 a, 3204 Dobrna</t>
  </si>
  <si>
    <t>x=132408, y=516395</t>
  </si>
  <si>
    <t>25/0395</t>
  </si>
  <si>
    <t>x=134630, y=480796</t>
  </si>
  <si>
    <t>25/0396</t>
  </si>
  <si>
    <t>VUHRED</t>
  </si>
  <si>
    <t>VUHRED 148, 2365 Vuhred</t>
  </si>
  <si>
    <t>x=161160, y=518240</t>
  </si>
  <si>
    <t>25/0397</t>
  </si>
  <si>
    <t>x=68759, y=472173</t>
  </si>
  <si>
    <t>25/0398</t>
  </si>
  <si>
    <t>LADRA - SMAST</t>
  </si>
  <si>
    <t>x=122041, y=393383</t>
  </si>
  <si>
    <t>25/0399</t>
  </si>
  <si>
    <t>x=101926, y=392163</t>
  </si>
  <si>
    <t>pipa</t>
  </si>
  <si>
    <t>25/0400</t>
  </si>
  <si>
    <t>x=61903, y=468536</t>
  </si>
  <si>
    <t>25/0401</t>
  </si>
  <si>
    <t>VUZENICA</t>
  </si>
  <si>
    <t>MLADINSKA ULICA 3, 2367 Vuzenica</t>
  </si>
  <si>
    <t>x=161802, y=513050</t>
  </si>
  <si>
    <t>25/0402</t>
  </si>
  <si>
    <t>BESNICA</t>
  </si>
  <si>
    <t>Videmce 12, Zg.Besnica, 4201 Zgornja Besnica</t>
  </si>
  <si>
    <t>x=124348, y=446005</t>
  </si>
  <si>
    <t>25/0403</t>
  </si>
  <si>
    <t>KOMENDA</t>
  </si>
  <si>
    <t>Glavarjeva cesta 37, 1218 Komenda</t>
  </si>
  <si>
    <t>x=117615, y=465040</t>
  </si>
  <si>
    <t>25/0404</t>
  </si>
  <si>
    <t>PLES - PODOREH - KRULC</t>
  </si>
  <si>
    <t>x=110486, y=480770</t>
  </si>
  <si>
    <t>25/0405</t>
  </si>
  <si>
    <t>KOLOVEC</t>
  </si>
  <si>
    <t>Trgovina, Radomlje</t>
  </si>
  <si>
    <t>x=114413, y=470250</t>
  </si>
  <si>
    <t>25/0406</t>
  </si>
  <si>
    <t>x=114289, y=469900</t>
  </si>
  <si>
    <t>25/0407</t>
  </si>
  <si>
    <t>x=153841, y=506740</t>
  </si>
  <si>
    <t>25/0408</t>
  </si>
  <si>
    <t>x=129885, y=383392</t>
  </si>
  <si>
    <t>25/0409</t>
  </si>
  <si>
    <t>JEZERSKO - ZGORNJE</t>
  </si>
  <si>
    <t>Zgornje Jezersko 62, 4206 Zgornje Jezersko</t>
  </si>
  <si>
    <t>x=138934, y=461858</t>
  </si>
  <si>
    <t>25/0410</t>
  </si>
  <si>
    <t>DOBROVA -POLHOV GRADEC</t>
  </si>
  <si>
    <t>DOBROVA</t>
  </si>
  <si>
    <t>Cesta 7. maja 20, 1356 Dobrova</t>
  </si>
  <si>
    <t>x=101557, y=454871</t>
  </si>
  <si>
    <t>25/0411</t>
  </si>
  <si>
    <t>POLHOV GRADEC</t>
  </si>
  <si>
    <t>Polhov Gradec 95, 1355 Polhov Gradec</t>
  </si>
  <si>
    <t>x=102474, y=447160</t>
  </si>
  <si>
    <t>25/0412</t>
  </si>
  <si>
    <t>HORJUL - LJUBGOJNA</t>
  </si>
  <si>
    <t>HORJUL- LJUBGOJNA</t>
  </si>
  <si>
    <t>x=97971, y=445983</t>
  </si>
  <si>
    <t>25/0413</t>
  </si>
  <si>
    <t>x=151017, y=402101</t>
  </si>
  <si>
    <t>25/0414</t>
  </si>
  <si>
    <t>ROVTE</t>
  </si>
  <si>
    <t>Rovte 90a, 1370 Logatec</t>
  </si>
  <si>
    <t>x=93819, y=436468</t>
  </si>
  <si>
    <t>25/0415</t>
  </si>
  <si>
    <t>SELCA</t>
  </si>
  <si>
    <t>Selca 95, 4227 Selca</t>
  </si>
  <si>
    <t>x=120281, y=438725</t>
  </si>
  <si>
    <t>25/0416</t>
  </si>
  <si>
    <t>Gostilna Pri Zalogarju, Dolenja vas</t>
  </si>
  <si>
    <t>Dolenja vas 1A, Dolenja vas, 4227 Selca</t>
  </si>
  <si>
    <t>x=118720, y=440472</t>
  </si>
  <si>
    <t>25/0417</t>
  </si>
  <si>
    <t>FRAM</t>
  </si>
  <si>
    <t>FRAM 56, 2313 Fram</t>
  </si>
  <si>
    <t>x=145986, y=548547</t>
  </si>
  <si>
    <t>25/0418</t>
  </si>
  <si>
    <t>Morje</t>
  </si>
  <si>
    <t>MORJE</t>
  </si>
  <si>
    <t>STRMA ULICA 10, 2313 Fram</t>
  </si>
  <si>
    <t>25/0419</t>
  </si>
  <si>
    <t>x=129867, y=545136</t>
  </si>
  <si>
    <t>25/0421</t>
  </si>
  <si>
    <t>RADMIRJE</t>
  </si>
  <si>
    <t>Radmirje , 3333 Ljubno ob Savinji</t>
  </si>
  <si>
    <t>x=131922, y=488895</t>
  </si>
  <si>
    <t>25/0422</t>
  </si>
  <si>
    <t>x=149898, y=548201</t>
  </si>
  <si>
    <t>25/0423</t>
  </si>
  <si>
    <t>KRESNICE</t>
  </si>
  <si>
    <t>Kresnice 26a, Kresnice, 1270 Litija</t>
  </si>
  <si>
    <t>x=106451, y=483935</t>
  </si>
  <si>
    <t>25/0424</t>
  </si>
  <si>
    <t>x=136135, y=448721</t>
  </si>
  <si>
    <t>25/0425</t>
  </si>
  <si>
    <t>BREZJE</t>
  </si>
  <si>
    <t>x=135038, y=444610</t>
  </si>
  <si>
    <t>25/0426</t>
  </si>
  <si>
    <t>POLJANE</t>
  </si>
  <si>
    <t>x=108687, y=437001</t>
  </si>
  <si>
    <t>25/0427</t>
  </si>
  <si>
    <t>PLANINA PRI SEVNICI</t>
  </si>
  <si>
    <t>KAVA BAR AS</t>
  </si>
  <si>
    <t>PLANINA PRI SEVNICI 35, 3225 Planina pri Sevnici</t>
  </si>
  <si>
    <t>25/0428</t>
  </si>
  <si>
    <t>RIMSKE TOPLICE</t>
  </si>
  <si>
    <t>Vrtec Rimske Toplice</t>
  </si>
  <si>
    <t>Cankarjeva 14, 3272 Rimske Toplice</t>
  </si>
  <si>
    <t>x=109073, y=515432</t>
  </si>
  <si>
    <t>25/0429</t>
  </si>
  <si>
    <t>KOMUNALA VITANJE, d.o.o.</t>
  </si>
  <si>
    <t>VITANJE</t>
  </si>
  <si>
    <t>Vrtec Vitanje</t>
  </si>
  <si>
    <t>NA GMAJNI , 3205 Vitanje</t>
  </si>
  <si>
    <t>x=137737, y=523259</t>
  </si>
  <si>
    <t>25/0430</t>
  </si>
  <si>
    <t>BLANCA</t>
  </si>
  <si>
    <t>Blanca 13, 8283 Blanca</t>
  </si>
  <si>
    <t>x=94247, y=530739</t>
  </si>
  <si>
    <t>25/0431</t>
  </si>
  <si>
    <t>x=130124, y=501968</t>
  </si>
  <si>
    <t>25/0432</t>
  </si>
  <si>
    <t>x=112789, y=546361</t>
  </si>
  <si>
    <t>25/0433</t>
  </si>
  <si>
    <t>BISTRICA OB SOTLI</t>
  </si>
  <si>
    <t>Bistrica ob Sotli 63 a, 3256 Bistrica ob Sotli</t>
  </si>
  <si>
    <t>x=101483, y=551753</t>
  </si>
  <si>
    <t>25/0434</t>
  </si>
  <si>
    <t>V. TRN</t>
  </si>
  <si>
    <t>Trgovina Felicijan d. o. o.</t>
  </si>
  <si>
    <t>x=90972, y=531007</t>
  </si>
  <si>
    <t>&lt;0,9</t>
  </si>
  <si>
    <t>25/0435</t>
  </si>
  <si>
    <t>GABRJE</t>
  </si>
  <si>
    <t>Gabrje, gostilna Hudoklin</t>
  </si>
  <si>
    <t>Loka 21, 8321 Brusnice</t>
  </si>
  <si>
    <t>x=70600, y=521465</t>
  </si>
  <si>
    <t>25/0438</t>
  </si>
  <si>
    <t>Zahodni del Trbovelj</t>
  </si>
  <si>
    <t>Kolodvorska 21, 1420 Trbovlje</t>
  </si>
  <si>
    <t>x=110112, y=503073</t>
  </si>
  <si>
    <t>25/0439</t>
  </si>
  <si>
    <t>Elektroelement</t>
  </si>
  <si>
    <t>ELEKTROELEMENT</t>
  </si>
  <si>
    <t>Kuhinja Elektroelem.</t>
  </si>
  <si>
    <t>Obrezija 5, Zagorje ob Savi, 1411 Izlake</t>
  </si>
  <si>
    <t>x=111738, y=494975</t>
  </si>
  <si>
    <t>25/0440</t>
  </si>
  <si>
    <t>drugo sredstvo, redna dezinfekcija</t>
  </si>
  <si>
    <t>Podvin pri Polzeli 8, 3313 Polzela</t>
  </si>
  <si>
    <t>x=127081, y=505241</t>
  </si>
  <si>
    <t>25/0441</t>
  </si>
  <si>
    <t>Beli potok</t>
  </si>
  <si>
    <t>Vrtec Frankolovo</t>
  </si>
  <si>
    <t>Verpete 1B, 3213 Frankolovo</t>
  </si>
  <si>
    <t>x=131932, y=524747</t>
  </si>
  <si>
    <t>25/0442</t>
  </si>
  <si>
    <t>x=108101, y=397599</t>
  </si>
  <si>
    <t>25/0443</t>
  </si>
  <si>
    <t>PIJAVA GORICA</t>
  </si>
  <si>
    <t>x=90075, y=467359</t>
  </si>
  <si>
    <t>25/0444</t>
  </si>
  <si>
    <t>KAMNJE</t>
  </si>
  <si>
    <t>Kamnje  2c, 5263 Dobravlje</t>
  </si>
  <si>
    <t>x=84274, y=409289</t>
  </si>
  <si>
    <t>25/0445</t>
  </si>
  <si>
    <t>ZGORNJI CEROVEC</t>
  </si>
  <si>
    <t>Bife Cerovec</t>
  </si>
  <si>
    <t>x=122880, y=550195</t>
  </si>
  <si>
    <t>25/0447</t>
  </si>
  <si>
    <t>JAVNI VODOVODNI SISTEM OPLOTNICA-KEBELJ</t>
  </si>
  <si>
    <t>OPLOTNICA- KEBELJ</t>
  </si>
  <si>
    <t>UL. POHORSKEGA BATALJONA 23, 2317 Oplotnica</t>
  </si>
  <si>
    <t>x=138253, y=535104</t>
  </si>
  <si>
    <t>25/0448</t>
  </si>
  <si>
    <t>VRTEC SLADKI VRH</t>
  </si>
  <si>
    <t>SLADKI VRH 8/A, 2214 Sladki Vrh</t>
  </si>
  <si>
    <t>x=172865, y=556972</t>
  </si>
  <si>
    <t>25/0449</t>
  </si>
  <si>
    <t>VODOVODNA ZADRUGA POHORSKI IZVIRI</t>
  </si>
  <si>
    <t>PRIHOVA</t>
  </si>
  <si>
    <t>TRGOVINA IN KAVA BAR FURMAN VIDA</t>
  </si>
  <si>
    <t>PRELOGE 10/A, 2310 Slovenska Bistrica</t>
  </si>
  <si>
    <t>x=135905, y=539082</t>
  </si>
  <si>
    <t>25/0452</t>
  </si>
  <si>
    <t>x=152821, y=489104</t>
  </si>
  <si>
    <t>25/0453</t>
  </si>
  <si>
    <t>GORENJE DESKLE</t>
  </si>
  <si>
    <t>Bevkova ulica 15, 5210 Deskle</t>
  </si>
  <si>
    <t>x=101728, y=393930</t>
  </si>
  <si>
    <t>25/0454</t>
  </si>
  <si>
    <t>Kapelca</t>
  </si>
  <si>
    <t>Lindek 7, 3213 Frankolovo</t>
  </si>
  <si>
    <t>x=133595, y=525207</t>
  </si>
  <si>
    <t>25/0456</t>
  </si>
  <si>
    <t>Trubarjev dom upokojencev</t>
  </si>
  <si>
    <t>Loka 48, 1434 Loka pri Zidanem Mostu</t>
  </si>
  <si>
    <t>x=101322, y=516441</t>
  </si>
  <si>
    <t>25/0457</t>
  </si>
  <si>
    <t>x=130723, y=450134</t>
  </si>
  <si>
    <t>25/0458</t>
  </si>
  <si>
    <t>x=146357, y=431414</t>
  </si>
  <si>
    <t>25/0459</t>
  </si>
  <si>
    <t>Bar Petra</t>
  </si>
  <si>
    <t>x=127355, y=488951</t>
  </si>
  <si>
    <t>25/0460</t>
  </si>
  <si>
    <t>KORITNICA</t>
  </si>
  <si>
    <t>x=114018, y=413178</t>
  </si>
  <si>
    <t>25/0461</t>
  </si>
  <si>
    <t>Gostilna Janc</t>
  </si>
  <si>
    <t>Studenec 44, 8293 Studenec</t>
  </si>
  <si>
    <t>x=91902, y=527253</t>
  </si>
  <si>
    <t>25/0462</t>
  </si>
  <si>
    <t>VZ Srednja vas v Bohinju</t>
  </si>
  <si>
    <t>SREDNJA VAS V BOHINJU</t>
  </si>
  <si>
    <t>Srednja vas v Bohinju</t>
  </si>
  <si>
    <t>Zavod sv. Martina</t>
  </si>
  <si>
    <t>Srednja vas v Bohinju 33A, SREDNJA VAS V BOHINJU</t>
  </si>
  <si>
    <t>x=128570, y=417468</t>
  </si>
  <si>
    <t>25/0463</t>
  </si>
  <si>
    <t>PREVORJE</t>
  </si>
  <si>
    <t>Kava bar Jasmina</t>
  </si>
  <si>
    <t>Lopaca 7D, 3262 Prevorje</t>
  </si>
  <si>
    <t>x=109451, y=537315</t>
  </si>
  <si>
    <t>25/0465</t>
  </si>
  <si>
    <t>KRAJEVNA SKUPNOST BEZINA</t>
  </si>
  <si>
    <t>Stanovanjski objekt (Kamenik)</t>
  </si>
  <si>
    <t>Bezina 38 A, 3210 Slovenske Konjice</t>
  </si>
  <si>
    <t>x=135904, y=533351</t>
  </si>
  <si>
    <t>25/0466</t>
  </si>
  <si>
    <t>x=187296, y=597788</t>
  </si>
  <si>
    <t>25/0467</t>
  </si>
  <si>
    <t>RIBNIK</t>
  </si>
  <si>
    <t>Petrol Hrastnik</t>
  </si>
  <si>
    <t>Podkraj 77B, 1430 Hrastnik</t>
  </si>
  <si>
    <t>x=108364, y=506607</t>
  </si>
  <si>
    <t>25/0468</t>
  </si>
  <si>
    <t>HRASTNIK</t>
  </si>
  <si>
    <t>filtri, dezinfekcija s plinskim klorom, dezinfekcija z natrijevim hipokloritom</t>
  </si>
  <si>
    <t>Cesta 3.julija 1, 1430 Hrastnik</t>
  </si>
  <si>
    <t>x=111606, y=506953</t>
  </si>
  <si>
    <t>25/0469</t>
  </si>
  <si>
    <t>x=53674, y=441507</t>
  </si>
  <si>
    <t>25/0470</t>
  </si>
  <si>
    <t>VRHPOLJE</t>
  </si>
  <si>
    <t>x=75926, y=526885</t>
  </si>
  <si>
    <t>25/0471</t>
  </si>
  <si>
    <t>x=91278, y=498005</t>
  </si>
  <si>
    <t>25/0472</t>
  </si>
  <si>
    <t>x=172950, y=569836</t>
  </si>
  <si>
    <t>25/0473</t>
  </si>
  <si>
    <t>Kava bar Lipa</t>
  </si>
  <si>
    <t>x=190424, y=593283</t>
  </si>
  <si>
    <t>25/0475</t>
  </si>
  <si>
    <t>SLAP OB IDRIJCI</t>
  </si>
  <si>
    <t>Slap ob Idrijci 20, 5283 Slap ob Idrijci</t>
  </si>
  <si>
    <t>x=108789, y=408102</t>
  </si>
  <si>
    <t>25/0477</t>
  </si>
  <si>
    <t>x=113716, y=409923</t>
  </si>
  <si>
    <t>25/0478</t>
  </si>
  <si>
    <t>x=121039, y=540259</t>
  </si>
  <si>
    <t>25/0479</t>
  </si>
  <si>
    <t>Trgovina in bife Kaos</t>
  </si>
  <si>
    <t>x=144764, y=541688</t>
  </si>
  <si>
    <t>25/0480</t>
  </si>
  <si>
    <t>VZ Zg. Besnica</t>
  </si>
  <si>
    <t>BESNICA (ZGORNJA)</t>
  </si>
  <si>
    <t>Nova vas 12, 4201 Zgornja Besnica</t>
  </si>
  <si>
    <t>x=125178, y=444249</t>
  </si>
  <si>
    <t>25/0481</t>
  </si>
  <si>
    <t>RAKA</t>
  </si>
  <si>
    <t>Raka 36, 8274 Raka</t>
  </si>
  <si>
    <t>x=87307, y=529902</t>
  </si>
  <si>
    <t>25/0483</t>
  </si>
  <si>
    <t>MISLINJSKA DOBRAVA</t>
  </si>
  <si>
    <t>Trgovina KGZ</t>
  </si>
  <si>
    <t>x=147811, y=510360</t>
  </si>
  <si>
    <t>25/0485</t>
  </si>
  <si>
    <t>LEDINE</t>
  </si>
  <si>
    <t>Ledine 10, 5281 Spodnja Idrija</t>
  </si>
  <si>
    <t>x=100016, y=427396</t>
  </si>
  <si>
    <t>25/0486</t>
  </si>
  <si>
    <t>Povezava Ilirska Bistrica</t>
  </si>
  <si>
    <t>Javorje 13, Javorje, 6243 Obrov</t>
  </si>
  <si>
    <t>x=46007, y=430189</t>
  </si>
  <si>
    <t>25/0487</t>
  </si>
  <si>
    <t>Rabzelj</t>
  </si>
  <si>
    <t>x=85007, y=522970</t>
  </si>
  <si>
    <t>25/0488</t>
  </si>
  <si>
    <t>MOKRONOG</t>
  </si>
  <si>
    <t xml:space="preserve">MOKRONOG </t>
  </si>
  <si>
    <t>Bencinski servis</t>
  </si>
  <si>
    <t>x=89213, y=511140</t>
  </si>
  <si>
    <t>25/0489</t>
  </si>
  <si>
    <t>Segrap</t>
  </si>
  <si>
    <t>Vodovod Bioterme Mala Nedelja</t>
  </si>
  <si>
    <t>Bioterme Mala Nedelja</t>
  </si>
  <si>
    <t>Moravci v Slov. Goricah 34, 9243 Mala Nedelja</t>
  </si>
  <si>
    <t>x=152831, y=581109</t>
  </si>
  <si>
    <t>25/0490</t>
  </si>
  <si>
    <t>filtri, koagulacija, flokulacija, dezinfekcija z natrijevim hipokloritom</t>
  </si>
  <si>
    <t>x=119099, y=525363</t>
  </si>
  <si>
    <t>25/0491</t>
  </si>
  <si>
    <t>GLADOMES</t>
  </si>
  <si>
    <t>x=138681, y=538887</t>
  </si>
  <si>
    <t>25/0492</t>
  </si>
  <si>
    <t>x=128424, y=419048</t>
  </si>
  <si>
    <t>25/0493</t>
  </si>
  <si>
    <t>x=165500, y=600820</t>
  </si>
  <si>
    <t>25/0494</t>
  </si>
  <si>
    <t>x=113241, y=467303</t>
  </si>
  <si>
    <t>25/0495</t>
  </si>
  <si>
    <t>CVS BREST</t>
  </si>
  <si>
    <t>x=90836, y=463833</t>
  </si>
  <si>
    <t>25/0496</t>
  </si>
  <si>
    <t>Vrtec Nova vas</t>
  </si>
  <si>
    <t>Nova vas 4b, 1385 Nova vas</t>
  </si>
  <si>
    <t>x=70069, y=462034</t>
  </si>
  <si>
    <t>25/0497</t>
  </si>
  <si>
    <t>x=119145, y=518527</t>
  </si>
  <si>
    <t>25/0498</t>
  </si>
  <si>
    <t>x=115761, y=461492</t>
  </si>
  <si>
    <t>25/0499</t>
  </si>
  <si>
    <t>Bar Zvezda</t>
  </si>
  <si>
    <t>Pod ostrim vrhom 31, 1420 Trbovlje</t>
  </si>
  <si>
    <t>x=111638, y=503387</t>
  </si>
  <si>
    <t>25/0501</t>
  </si>
  <si>
    <t>Zagorica nad Kamnikom 10, 1242 Stahovica</t>
  </si>
  <si>
    <t>x=123948, y=469788</t>
  </si>
  <si>
    <t>25/0502</t>
  </si>
  <si>
    <t xml:space="preserve">CENTER </t>
  </si>
  <si>
    <t>x=147372, y=488746</t>
  </si>
  <si>
    <t>25/0503</t>
  </si>
  <si>
    <t>KS ZGORNJA POLSKAVA</t>
  </si>
  <si>
    <t>LV ZGORNJA POLSKAVA</t>
  </si>
  <si>
    <t>ZG.POLSKAVA</t>
  </si>
  <si>
    <t>Vrtec Zgornja Polskava</t>
  </si>
  <si>
    <t>x=142882, y=547351</t>
  </si>
  <si>
    <t>25/0504</t>
  </si>
  <si>
    <t>x=123918, y=465008</t>
  </si>
  <si>
    <t>25/0505</t>
  </si>
  <si>
    <t>Srednja vas</t>
  </si>
  <si>
    <t xml:space="preserve">VODOVOD SREDNJA VAS </t>
  </si>
  <si>
    <t>SREDNJA VAS</t>
  </si>
  <si>
    <t>Potok 9, Potok, 1219 Laze v Tuhinju</t>
  </si>
  <si>
    <t>x=119429, y=477195</t>
  </si>
  <si>
    <t>25/0507</t>
  </si>
  <si>
    <t>Gostilna Lovec</t>
  </si>
  <si>
    <t>Laze v Tuhinju 3, 1219 Laze v Tuhinju</t>
  </si>
  <si>
    <t>x=119366, y=481756</t>
  </si>
  <si>
    <t>25/0509</t>
  </si>
  <si>
    <t>VODOKOMUNALNI SISTEMI, d.o.o.</t>
  </si>
  <si>
    <t>x=76579, y=471970</t>
  </si>
  <si>
    <t>25/0510</t>
  </si>
  <si>
    <t>SROMLJE</t>
  </si>
  <si>
    <t>Curnovec 6B</t>
  </si>
  <si>
    <t>x=91881, y=547210</t>
  </si>
  <si>
    <t>Curnovec 6 c</t>
  </si>
  <si>
    <t>25/0511</t>
  </si>
  <si>
    <t>DOVJE</t>
  </si>
  <si>
    <t>Dovje , Dovje, 4281 Mojstrana</t>
  </si>
  <si>
    <t>x=147305, y=419377</t>
  </si>
  <si>
    <t>25/0512</t>
  </si>
  <si>
    <t>JAVORJE</t>
  </si>
  <si>
    <t>x=112976, y=436861</t>
  </si>
  <si>
    <t>25/0513</t>
  </si>
  <si>
    <t>KS Jevnica</t>
  </si>
  <si>
    <t>JEVNICA</t>
  </si>
  <si>
    <t>Jevnica 33, Jevnica, 1281 Kresnice</t>
  </si>
  <si>
    <t>x=104388, y=480020</t>
  </si>
  <si>
    <t>25/0514</t>
  </si>
  <si>
    <t>Prevole 32, Prevole, 8362 Hinje</t>
  </si>
  <si>
    <t>x=69919, y=489697</t>
  </si>
  <si>
    <t>25/0515</t>
  </si>
  <si>
    <t>MUTA</t>
  </si>
  <si>
    <t>x=162722, y=512819</t>
  </si>
  <si>
    <t>25/0516</t>
  </si>
  <si>
    <t>JKP LOG</t>
  </si>
  <si>
    <t>x=154199, y=492277</t>
  </si>
  <si>
    <t>25/0517</t>
  </si>
  <si>
    <t>RADIZEL</t>
  </si>
  <si>
    <t>Unicar d.o.o.</t>
  </si>
  <si>
    <t>Ulica Milke volk 1, Radizel, 2312 Orehova vas</t>
  </si>
  <si>
    <t>x=146762, y=550654</t>
  </si>
  <si>
    <t>25/0518</t>
  </si>
  <si>
    <t>JAVOROVICA</t>
  </si>
  <si>
    <t>x=75420, y=528234</t>
  </si>
  <si>
    <t>25/0520</t>
  </si>
  <si>
    <t>x=103965, y=464507</t>
  </si>
  <si>
    <t>25/0521</t>
  </si>
  <si>
    <t>x=141754, y=543793</t>
  </si>
  <si>
    <t>25/0522</t>
  </si>
  <si>
    <t>dezinfekcija z Dizosan klor tabletami, dezinfekcija s klorovim dioksidom</t>
  </si>
  <si>
    <t>x=148691, y=548869</t>
  </si>
  <si>
    <t>25/0523</t>
  </si>
  <si>
    <t>MOL</t>
  </si>
  <si>
    <t>SADINJA VAS</t>
  </si>
  <si>
    <t>Bar 113</t>
  </si>
  <si>
    <t>Sadinja vas 113, Sadinja vas, 1000 Ljubljana</t>
  </si>
  <si>
    <t>x=97685, y=470255</t>
  </si>
  <si>
    <t>25/0525</t>
  </si>
  <si>
    <t>x=87176, y=467367</t>
  </si>
  <si>
    <t>25/0526</t>
  </si>
  <si>
    <t>HRASTJE MOTA</t>
  </si>
  <si>
    <t>Krajnc Franc</t>
  </si>
  <si>
    <t>Hrastje Mota 35, Hrastje Mota, 9252 Radenci</t>
  </si>
  <si>
    <t>x=164234, y=582778</t>
  </si>
  <si>
    <t>25/0527</t>
  </si>
  <si>
    <t>x=161423, y=580613</t>
  </si>
  <si>
    <t>25/0528</t>
  </si>
  <si>
    <t>x=187930, y=601519</t>
  </si>
  <si>
    <t>25/0531</t>
  </si>
  <si>
    <t>St.h. Pint.19</t>
  </si>
  <si>
    <t>Pintarjeva 19, Zagorje, 1410 Zagorje ob Savi</t>
  </si>
  <si>
    <t>x=110486, y=500544</t>
  </si>
  <si>
    <t>25/0532</t>
  </si>
  <si>
    <t>Bele vode</t>
  </si>
  <si>
    <t>x=139670, y=499024</t>
  </si>
  <si>
    <t>25/0533</t>
  </si>
  <si>
    <t>VELIKE LIPLJENE</t>
  </si>
  <si>
    <t>Male Lipljene 4, 1290 Grosuplje</t>
  </si>
  <si>
    <t>x=82904, y=471907</t>
  </si>
  <si>
    <t>25/0534</t>
  </si>
  <si>
    <t>x=88301, y=476920</t>
  </si>
  <si>
    <t>25/0535</t>
  </si>
  <si>
    <t>SEVNIK</t>
  </si>
  <si>
    <t>St.h. Sev. V. 7</t>
  </si>
  <si>
    <t>x=86198, y=470257</t>
  </si>
  <si>
    <t>25/0536</t>
  </si>
  <si>
    <t>METNAJ</t>
  </si>
  <si>
    <t>Metnaj 12, Metnaj, 1290 Grosuplje</t>
  </si>
  <si>
    <t>x=92931, y=485327</t>
  </si>
  <si>
    <t>Metnaj  7</t>
  </si>
  <si>
    <t>25/0537</t>
  </si>
  <si>
    <t>RAKITNA</t>
  </si>
  <si>
    <t>Rakitna 96, Rakitna, 1352 Preserje</t>
  </si>
  <si>
    <t>x=83053, y=457373</t>
  </si>
  <si>
    <t>&lt;0,04</t>
  </si>
  <si>
    <t>25/0538</t>
  </si>
  <si>
    <t>BARKA</t>
  </si>
  <si>
    <t>GOSTILNA BARKA</t>
  </si>
  <si>
    <t>BARKA 28, 6217 Vremski Britof</t>
  </si>
  <si>
    <t>x=55519, y=426453</t>
  </si>
  <si>
    <t>25/0539</t>
  </si>
  <si>
    <t>JABLANICA</t>
  </si>
  <si>
    <t>JABLANICA #2</t>
  </si>
  <si>
    <t>JABLANICA 11, ILIRSKA BISTRICA - JABLANICA, 6250 Ilirska Bistrica</t>
  </si>
  <si>
    <t>x=44260, y=445632</t>
  </si>
  <si>
    <t>Jablanica 20</t>
  </si>
  <si>
    <t>25/0540</t>
  </si>
  <si>
    <t>LOKA</t>
  </si>
  <si>
    <t>x=44113, y=413612</t>
  </si>
  <si>
    <t>25/0541</t>
  </si>
  <si>
    <t>KS Razdrto</t>
  </si>
  <si>
    <t>RAZDRTO</t>
  </si>
  <si>
    <t>PAVLINOVA KLET</t>
  </si>
  <si>
    <t>x=68434, y=428231</t>
  </si>
  <si>
    <t>Profile D.o.o.</t>
  </si>
  <si>
    <t>25/0542</t>
  </si>
  <si>
    <t>SLIVJE</t>
  </si>
  <si>
    <t>SLIVJE 14, 6242 Materija</t>
  </si>
  <si>
    <t>x=47998, y=426077</t>
  </si>
  <si>
    <t>Slivje 14a</t>
  </si>
  <si>
    <t>25/0543</t>
  </si>
  <si>
    <t>SUHORJE</t>
  </si>
  <si>
    <t>SUHORJE 7, VREMSKI BRITOF - SUHORJE, 6217 Vremski Britof</t>
  </si>
  <si>
    <t>x=55364, y=430456</t>
  </si>
  <si>
    <t>25/0544</t>
  </si>
  <si>
    <t>x=42856, y=447098</t>
  </si>
  <si>
    <t>25/0545</t>
  </si>
  <si>
    <t>VRBICA</t>
  </si>
  <si>
    <t>VRBICA 30, 6250 Ilirska Bistrica</t>
  </si>
  <si>
    <t>x=44815, y=444705</t>
  </si>
  <si>
    <t>25/0546</t>
  </si>
  <si>
    <t>x=72902, y=415311</t>
  </si>
  <si>
    <t>25/0547</t>
  </si>
  <si>
    <t>KS V. Ubeljsko</t>
  </si>
  <si>
    <t>VELIKO UBELJSKO</t>
  </si>
  <si>
    <t>TRGOVINA MI</t>
  </si>
  <si>
    <t>x=70124, y=428303</t>
  </si>
  <si>
    <t>25/0548</t>
  </si>
  <si>
    <t>x=102596, y=497359</t>
  </si>
  <si>
    <t>25/0549</t>
  </si>
  <si>
    <t>KOPRIVNICA</t>
  </si>
  <si>
    <t>Koprivnica 2, 8282 Koprivnica</t>
  </si>
  <si>
    <t>x=99166, y=542215</t>
  </si>
  <si>
    <t>25/0550</t>
  </si>
  <si>
    <t>METLIKA - HRAST</t>
  </si>
  <si>
    <t>Hrast pri Jugorju 1, 8331 Suhor</t>
  </si>
  <si>
    <t>x=60933, y=520562</t>
  </si>
  <si>
    <t>25/0552</t>
  </si>
  <si>
    <t>MIRNA VAS - V. STRMICA</t>
  </si>
  <si>
    <t>Velika Strmica 12, 8231 Trebelno</t>
  </si>
  <si>
    <t>x=83840, y=516872</t>
  </si>
  <si>
    <t>&gt;100</t>
  </si>
  <si>
    <t>25/0553</t>
  </si>
  <si>
    <t>x=92483, y=507325</t>
  </si>
  <si>
    <t>25/0554</t>
  </si>
  <si>
    <t>DOLGA GORA 2</t>
  </si>
  <si>
    <t>FIDLER LIDIJA</t>
  </si>
  <si>
    <t>DOLGA GORA 51C, 3232 Ponikva</t>
  </si>
  <si>
    <t>25/0555</t>
  </si>
  <si>
    <t>HUDA JAMA</t>
  </si>
  <si>
    <t>Gasilski dom Huda jama - Huda jama</t>
  </si>
  <si>
    <t>x=113296, y=514698</t>
  </si>
  <si>
    <t>25/0556</t>
  </si>
  <si>
    <t>BREZOVICA</t>
  </si>
  <si>
    <t>BREZOVICA 10, MATERIJA - BREZOVICA, 6242 Materija</t>
  </si>
  <si>
    <t>x=51154, y=422474</t>
  </si>
  <si>
    <t>25/0557</t>
  </si>
  <si>
    <t>x=114002, y=400776</t>
  </si>
  <si>
    <t>25/0558</t>
  </si>
  <si>
    <t>x=113156, y=412721</t>
  </si>
  <si>
    <t>25/0559</t>
  </si>
  <si>
    <t>BREZNO</t>
  </si>
  <si>
    <t>BREZNO 78, PODVELKA, 2366 Muta</t>
  </si>
  <si>
    <t>x=161007, y=524769</t>
  </si>
  <si>
    <t>25/0560</t>
  </si>
  <si>
    <t>x=68589, y=476941</t>
  </si>
  <si>
    <t>25/0561</t>
  </si>
  <si>
    <t>x=125922, y=540754</t>
  </si>
  <si>
    <t>25/0562</t>
  </si>
  <si>
    <t>x=125509, y=464279</t>
  </si>
  <si>
    <t>25/0563</t>
  </si>
  <si>
    <t>x=164646, y=523338</t>
  </si>
  <si>
    <t>25/0564</t>
  </si>
  <si>
    <t>TROBLJE</t>
  </si>
  <si>
    <t>TROBLJE 23A, TROBLJE, 2380 Slovenj Gradec</t>
  </si>
  <si>
    <t>x=153780, y=506890</t>
  </si>
  <si>
    <t>25/0565</t>
  </si>
  <si>
    <t>VRSNO - SELCE</t>
  </si>
  <si>
    <t>x=120940, y=395793</t>
  </si>
  <si>
    <t>25/0566</t>
  </si>
  <si>
    <t>BREZJE PRI DOBROVI</t>
  </si>
  <si>
    <t>Brezje pri Dobrovi 18, Brezje pri Dobrovi, 1356 Dobrova</t>
  </si>
  <si>
    <t>x=98363, y=449839</t>
  </si>
  <si>
    <t>25/0568</t>
  </si>
  <si>
    <t>VODOVOD PODKUM</t>
  </si>
  <si>
    <t>PODKUM</t>
  </si>
  <si>
    <t>GORENJA VAS 1, 1414 Podkum</t>
  </si>
  <si>
    <t>25/0569</t>
  </si>
  <si>
    <t>PIJOVCI - PRELOGE</t>
  </si>
  <si>
    <t>x=120858, y=542787</t>
  </si>
  <si>
    <t>25/0570</t>
  </si>
  <si>
    <t>x=123571, y=436783</t>
  </si>
  <si>
    <t>25/0571</t>
  </si>
  <si>
    <t>PONIKVA</t>
  </si>
  <si>
    <t>x=129627, y=511256</t>
  </si>
  <si>
    <t>25/0573</t>
  </si>
  <si>
    <t>Vodovodna zadruga ZIMERL z.o.o.</t>
  </si>
  <si>
    <t>PRISTAVA - PRELOGE</t>
  </si>
  <si>
    <t>Spodnje Preloge 24, 3210 Slovenske Konjice</t>
  </si>
  <si>
    <t>x=133522, y=531636</t>
  </si>
  <si>
    <t>25/0574</t>
  </si>
  <si>
    <t>x=98896, y=440534</t>
  </si>
  <si>
    <t>25/0575</t>
  </si>
  <si>
    <t>STRMA GORA</t>
  </si>
  <si>
    <t>LV STRMA GORA</t>
  </si>
  <si>
    <t>x=157291, y=562520</t>
  </si>
  <si>
    <t>&gt;80</t>
  </si>
  <si>
    <t>25/0577</t>
  </si>
  <si>
    <t>Dolenje Brdo 11, Dolenje Brdo, 4224 Gorenja vas</t>
  </si>
  <si>
    <t>x=109326, y=434568</t>
  </si>
  <si>
    <t>25/0578</t>
  </si>
  <si>
    <t>x=102274, y=438141</t>
  </si>
  <si>
    <t>25/0579</t>
  </si>
  <si>
    <t>25/0580</t>
  </si>
  <si>
    <t>PODMOLNIK</t>
  </si>
  <si>
    <t>Bar Tinkara</t>
  </si>
  <si>
    <t>x=97826, y=469145</t>
  </si>
  <si>
    <t>25/0581</t>
  </si>
  <si>
    <t>x=79700, y=492782</t>
  </si>
  <si>
    <t>25/0582</t>
  </si>
  <si>
    <t>x=87252, y=524910</t>
  </si>
  <si>
    <t>25/0583</t>
  </si>
  <si>
    <t>PODSREDA</t>
  </si>
  <si>
    <t>Bar pod gradom Podsreda</t>
  </si>
  <si>
    <t>Podsreda 49, 3257 Podsreda</t>
  </si>
  <si>
    <t>x=99720, y=546043</t>
  </si>
  <si>
    <t>25/0584</t>
  </si>
  <si>
    <t>Slom Pihovec</t>
  </si>
  <si>
    <t>SLOM PIHOVEC</t>
  </si>
  <si>
    <t>SLOM ILOVEC</t>
  </si>
  <si>
    <t>Stolovnik 51, 8280 Brestanica</t>
  </si>
  <si>
    <t>x=94408, y=538387</t>
  </si>
  <si>
    <t>25/0585</t>
  </si>
  <si>
    <t>V. KAMEN</t>
  </si>
  <si>
    <t>V. Kamen 12, Senovo, 8282 Koprivnica</t>
  </si>
  <si>
    <t>x=91511, y=530946</t>
  </si>
  <si>
    <t>25/0586</t>
  </si>
  <si>
    <t>Radulje</t>
  </si>
  <si>
    <t>RADULJE</t>
  </si>
  <si>
    <t>x=88225, y=525638</t>
  </si>
  <si>
    <t>25/0587</t>
  </si>
  <si>
    <t>Trbovlje</t>
  </si>
  <si>
    <t>Dobovec</t>
  </si>
  <si>
    <t>ni podatka</t>
  </si>
  <si>
    <t>Dobovec 19, Dobovec, 1420 Trbovlje</t>
  </si>
  <si>
    <t>x=107558, y=504954</t>
  </si>
  <si>
    <t>25/0588</t>
  </si>
  <si>
    <t>x=89879, y=545729</t>
  </si>
  <si>
    <t>25/0589</t>
  </si>
  <si>
    <t>x=149030, y=490770</t>
  </si>
  <si>
    <t>25/0590</t>
  </si>
  <si>
    <t>DUO IMPOLJCA</t>
  </si>
  <si>
    <t>Arto 13, 8293 Studenec</t>
  </si>
  <si>
    <t>x=94230, y=527910</t>
  </si>
  <si>
    <t>25/0591</t>
  </si>
  <si>
    <t>x=134621, y=530350</t>
  </si>
  <si>
    <t>25/0592</t>
  </si>
  <si>
    <t>Tirosek 50, 3342 Gornji Grad</t>
  </si>
  <si>
    <t>x=125181, y=480764</t>
  </si>
  <si>
    <t>25/0593</t>
  </si>
  <si>
    <t>PRESKA - BPT</t>
  </si>
  <si>
    <t>x=135437, y=446933</t>
  </si>
  <si>
    <t>25/0594</t>
  </si>
  <si>
    <t>x=104420, y=422385</t>
  </si>
  <si>
    <t>25/0595</t>
  </si>
  <si>
    <t>x=112677, y=421927</t>
  </si>
  <si>
    <t>25/0596</t>
  </si>
  <si>
    <t>x=83411, y=548586</t>
  </si>
  <si>
    <t>25/0597</t>
  </si>
  <si>
    <t>ZAPLANA - ZGORNJA</t>
  </si>
  <si>
    <t>Strmica 14, 1360 Vrhnika</t>
  </si>
  <si>
    <t>x=90278, y=441946</t>
  </si>
  <si>
    <t>25/0598</t>
  </si>
  <si>
    <t>x=134037, y=397859</t>
  </si>
  <si>
    <t>25/0599</t>
  </si>
  <si>
    <t>Gostilna</t>
  </si>
  <si>
    <t>x=106495, y=410680</t>
  </si>
  <si>
    <t>25/0600</t>
  </si>
  <si>
    <t xml:space="preserve"> DOB- MIRNA</t>
  </si>
  <si>
    <t>POHORJE DOB</t>
  </si>
  <si>
    <t>kuhinja za zaposlene</t>
  </si>
  <si>
    <t>x=90101, y=507407</t>
  </si>
  <si>
    <t>&lt;0,014</t>
  </si>
  <si>
    <t>&lt;0,006</t>
  </si>
  <si>
    <t>&lt;0,016</t>
  </si>
  <si>
    <t>&lt;0,009</t>
  </si>
  <si>
    <t>&lt;0,015</t>
  </si>
  <si>
    <t>&lt;0,008</t>
  </si>
  <si>
    <t>&lt;0,003</t>
  </si>
  <si>
    <t>&lt;0,005</t>
  </si>
  <si>
    <t>&lt;0,021</t>
  </si>
  <si>
    <t>&lt;0,06</t>
  </si>
  <si>
    <t>25/0601</t>
  </si>
  <si>
    <t>PODVELKA - RADLJE</t>
  </si>
  <si>
    <t>Zdravstveni dom Podvelka</t>
  </si>
  <si>
    <t>Podvelka , 2363 Podvelka</t>
  </si>
  <si>
    <t>x=160868, y=525993</t>
  </si>
  <si>
    <t>25/0602</t>
  </si>
  <si>
    <t>PODKRAJ</t>
  </si>
  <si>
    <t>Podkraj 17, 3320 Velenje</t>
  </si>
  <si>
    <t>x=134525, y=507874</t>
  </si>
  <si>
    <t>25/0603</t>
  </si>
  <si>
    <t>x=132198, y=447934</t>
  </si>
  <si>
    <t>pipa v mlekarni</t>
  </si>
  <si>
    <t>25/0604</t>
  </si>
  <si>
    <t>x=88962, y=462372</t>
  </si>
  <si>
    <t>25/0605</t>
  </si>
  <si>
    <t>RUDNO</t>
  </si>
  <si>
    <t>x=122823, y=436148</t>
  </si>
  <si>
    <t>25/0606</t>
  </si>
  <si>
    <t>LOG PRI SEVNICI</t>
  </si>
  <si>
    <t>Bife Kebrov Kevder</t>
  </si>
  <si>
    <t>x=95357, y=525266</t>
  </si>
  <si>
    <t>25/0607</t>
  </si>
  <si>
    <t>Stanovanjski objekt Draksler Stane</t>
  </si>
  <si>
    <t>x=100085, y=519524</t>
  </si>
  <si>
    <t>25/0608</t>
  </si>
  <si>
    <t>PLANINKA</t>
  </si>
  <si>
    <t>x=149990, y=544131</t>
  </si>
  <si>
    <t>25/0609</t>
  </si>
  <si>
    <t>PIVOLA</t>
  </si>
  <si>
    <t>Ledinek Ferdo</t>
  </si>
  <si>
    <t>x=150944, y=548158</t>
  </si>
  <si>
    <t>25/0610</t>
  </si>
  <si>
    <t>SV. FLORIJAN</t>
  </si>
  <si>
    <t>Vrtec Sveti Florijan</t>
  </si>
  <si>
    <t>x=124308, y=552482</t>
  </si>
  <si>
    <t>25/0611</t>
  </si>
  <si>
    <t>BRUNK GORELJCE</t>
  </si>
  <si>
    <t>x=99263, y=514212</t>
  </si>
  <si>
    <t>25/0612</t>
  </si>
  <si>
    <t>x=141770, y=476745</t>
  </si>
  <si>
    <t>25/0613</t>
  </si>
  <si>
    <t>VODOVOD GABROVKA</t>
  </si>
  <si>
    <t>GABROVKA</t>
  </si>
  <si>
    <t>Gabrovka 30, 1274 Gabrovka</t>
  </si>
  <si>
    <t>x=95132, y=499457</t>
  </si>
  <si>
    <t>25/0614</t>
  </si>
  <si>
    <t>x=105461, y=485916</t>
  </si>
  <si>
    <t>25/0615</t>
  </si>
  <si>
    <t>VODOVOD DOLE</t>
  </si>
  <si>
    <t>Dole pri Litiji 28, 1273 Dole pri Litiji</t>
  </si>
  <si>
    <t>x=98265, y=501690</t>
  </si>
  <si>
    <t>25/0616</t>
  </si>
  <si>
    <t>DEBELI HRIB</t>
  </si>
  <si>
    <t>Stanovanjski objekt</t>
  </si>
  <si>
    <t>Mihelca 7, 1276 Primskovo</t>
  </si>
  <si>
    <t>x=92876, y=492280</t>
  </si>
  <si>
    <t>25/0617</t>
  </si>
  <si>
    <t>KOPRIVNIK 2</t>
  </si>
  <si>
    <t>KOPRIVNIK</t>
  </si>
  <si>
    <t>stanovanjski objekt Dijak</t>
  </si>
  <si>
    <t>Koprivnik 73, BOHINJ, 4265 Bohinjsko jezero</t>
  </si>
  <si>
    <t>x=130393, y=421830</t>
  </si>
  <si>
    <t>25/0618</t>
  </si>
  <si>
    <t>filtri, koagulacija, flokulacija, redna dezinfekcija, dezinfekcija z natrijevim hipokloritom</t>
  </si>
  <si>
    <t>x=138173, y=515221</t>
  </si>
  <si>
    <t>25/0619</t>
  </si>
  <si>
    <t>x=108451, y=487678</t>
  </si>
  <si>
    <t>25/0620</t>
  </si>
  <si>
    <t>TKK d.o.o.</t>
  </si>
  <si>
    <t>TKK SRPENICA</t>
  </si>
  <si>
    <t>Srpenica 1, 5224 Srpenica</t>
  </si>
  <si>
    <t>x=127748, y=386048</t>
  </si>
  <si>
    <t>25/0621</t>
  </si>
  <si>
    <t>Vrtec Litija, Enota Kekec</t>
  </si>
  <si>
    <t>Sava 21, 1282 Sava</t>
  </si>
  <si>
    <t>x=104276, y=492412</t>
  </si>
  <si>
    <t>25/0622</t>
  </si>
  <si>
    <t>VO ZAVRSTNIK</t>
  </si>
  <si>
    <t>Zavrstnik</t>
  </si>
  <si>
    <t>x=100251, y=486371</t>
  </si>
  <si>
    <t>25/0623</t>
  </si>
  <si>
    <t>DVOR - DOLENJA VAS</t>
  </si>
  <si>
    <t>Gostinski objekt Pr'Andrejc</t>
  </si>
  <si>
    <t>Dvor 1, 1355 Polhov Gradec</t>
  </si>
  <si>
    <t>x=102675, y=449934</t>
  </si>
  <si>
    <t>25/0624</t>
  </si>
  <si>
    <t>KAL NAD KANALOM - LEVPA</t>
  </si>
  <si>
    <t>KAL NAD KANALOM</t>
  </si>
  <si>
    <t>Kal nad Kanalom 119, 5214 Kal nad Kanalom</t>
  </si>
  <si>
    <t>x=105207, y=403089</t>
  </si>
  <si>
    <t>25/0625</t>
  </si>
  <si>
    <t>KAL KORITNICA</t>
  </si>
  <si>
    <t>Kal Koritnica 8, 5230 Bovec</t>
  </si>
  <si>
    <t>x=133587, y=390932</t>
  </si>
  <si>
    <t>25/0627</t>
  </si>
  <si>
    <t>LOG POD MANGARTOM</t>
  </si>
  <si>
    <t>Log pod Mangartom 34, 5231 Log pod Mangartom</t>
  </si>
  <si>
    <t>x=140592, y=392494</t>
  </si>
  <si>
    <t>25/0628</t>
  </si>
  <si>
    <t>x=104338, y=545500</t>
  </si>
  <si>
    <t>25/0629</t>
  </si>
  <si>
    <t>LESKOVICA-STUDOR-DEBENI-SR. BRDO</t>
  </si>
  <si>
    <t>LESKOVICA-STUDOR-DEBENI-SR.BRDO</t>
  </si>
  <si>
    <t>Leskovica 12, Leskovica, 4224 Gorenja vas</t>
  </si>
  <si>
    <t>x=111877, y=429654</t>
  </si>
  <si>
    <t>25/0630</t>
  </si>
  <si>
    <t>GABERNIK II</t>
  </si>
  <si>
    <t>Gabernik 27, 2314 Zgornja Polskava</t>
  </si>
  <si>
    <t>x=142205, y=545869</t>
  </si>
  <si>
    <t>25/0631</t>
  </si>
  <si>
    <t>REKA POHORJE</t>
  </si>
  <si>
    <t>REKA-POHORJE</t>
  </si>
  <si>
    <t>x=149794, y=547402</t>
  </si>
  <si>
    <t>25/0632</t>
  </si>
  <si>
    <t>x=147395, y=547074</t>
  </si>
  <si>
    <t>25/0633</t>
  </si>
  <si>
    <t>KS TINJE</t>
  </si>
  <si>
    <t>TINJE</t>
  </si>
  <si>
    <t xml:space="preserve">TINJSKA GORA I </t>
  </si>
  <si>
    <t>x=139916, y=539357</t>
  </si>
  <si>
    <t>25/0634</t>
  </si>
  <si>
    <t>Velika Kostrevnica - Obla Gorica</t>
  </si>
  <si>
    <t>x=97746, y=491064</t>
  </si>
  <si>
    <t>25/0636</t>
  </si>
  <si>
    <t>LAZE - JAKOVICA</t>
  </si>
  <si>
    <t>LAZE JAKOVICA</t>
  </si>
  <si>
    <t>Laze 57, 1370 Logatec</t>
  </si>
  <si>
    <t>x=79691, y=443472</t>
  </si>
  <si>
    <t>25/0637</t>
  </si>
  <si>
    <t>x=87306, y=433898</t>
  </si>
  <si>
    <t>25/0638</t>
  </si>
  <si>
    <t>x=155371, y=575385</t>
  </si>
  <si>
    <t>25/0639</t>
  </si>
  <si>
    <t>JAVORNIK</t>
  </si>
  <si>
    <t>Javornik 10, 4000 Kranj</t>
  </si>
  <si>
    <t>x=121553, y=445959</t>
  </si>
  <si>
    <t>25/0640</t>
  </si>
  <si>
    <t>Hotavlje</t>
  </si>
  <si>
    <t>HOTAVLJE</t>
  </si>
  <si>
    <t>Hotavlje 38, 4224 Gorenja vas</t>
  </si>
  <si>
    <t>x=108187, y=432143</t>
  </si>
  <si>
    <t>mlekarna, pipa</t>
  </si>
  <si>
    <t>25/0641</t>
  </si>
  <si>
    <t xml:space="preserve">Polica </t>
  </si>
  <si>
    <t>Polica 35, 1290 Grosuplje</t>
  </si>
  <si>
    <t>x=93200, y=477296</t>
  </si>
  <si>
    <t>25/0642</t>
  </si>
  <si>
    <t>PODLIPA</t>
  </si>
  <si>
    <t>Gostilna Jurca</t>
  </si>
  <si>
    <t>Podlipa 44, 1360 Vrhnika</t>
  </si>
  <si>
    <t>x=96043, y=440189</t>
  </si>
  <si>
    <t>25/0644</t>
  </si>
  <si>
    <t>x=154451, y=506511</t>
  </si>
  <si>
    <t>25/0646</t>
  </si>
  <si>
    <t>x=90357, y=480456</t>
  </si>
  <si>
    <t>25/0647</t>
  </si>
  <si>
    <t>Ligojna</t>
  </si>
  <si>
    <t>Mala Ligojna  13, Mala Ligojna, 1360 Vrhnika</t>
  </si>
  <si>
    <t>x=94635, y=446503</t>
  </si>
  <si>
    <t>&gt;2</t>
  </si>
  <si>
    <t>25/0648</t>
  </si>
  <si>
    <t>x=163941, y=496503</t>
  </si>
  <si>
    <t>25/0649</t>
  </si>
  <si>
    <t>VRHE</t>
  </si>
  <si>
    <t>25/0650</t>
  </si>
  <si>
    <t>Trebeljevo</t>
  </si>
  <si>
    <t>x=97866, y=479331</t>
  </si>
  <si>
    <t>25/0651</t>
  </si>
  <si>
    <t>x=134939, y=443083</t>
  </si>
  <si>
    <t>25/0652</t>
  </si>
  <si>
    <t>NJIVICE</t>
  </si>
  <si>
    <t>x=102274, y=511338</t>
  </si>
  <si>
    <t>25/0653</t>
  </si>
  <si>
    <t>Restavracija</t>
  </si>
  <si>
    <t>x=134836, y=434911</t>
  </si>
  <si>
    <t>25/0654</t>
  </si>
  <si>
    <t>SVETINA</t>
  </si>
  <si>
    <t>x=116789, y=521619</t>
  </si>
  <si>
    <t>25/0655</t>
  </si>
  <si>
    <t>KS Spodnja Polskava</t>
  </si>
  <si>
    <t>x=141396, y=547244</t>
  </si>
  <si>
    <t>25/0657</t>
  </si>
  <si>
    <t>Bencinski servis Demol</t>
  </si>
  <si>
    <t>x=146158, y=510895</t>
  </si>
  <si>
    <t>25/0658</t>
  </si>
  <si>
    <t>x=124391, y=475023</t>
  </si>
  <si>
    <t>25/0659</t>
  </si>
  <si>
    <t>Sela pri Kamniku 5c, Sela pri Kamniku, 1241 Kamnik</t>
  </si>
  <si>
    <t>x=121508, y=476111</t>
  </si>
  <si>
    <t>25/0660</t>
  </si>
  <si>
    <t>Srednja vas, Pinocchio bar</t>
  </si>
  <si>
    <t>Srednja vas pri Kamniku 10, Srednja vas pri Kamniku, 1241 Kamnik</t>
  </si>
  <si>
    <t>x=120219, y=475828</t>
  </si>
  <si>
    <t>25/0661</t>
  </si>
  <si>
    <t>x=119736, y=479523</t>
  </si>
  <si>
    <t>25/0662</t>
  </si>
  <si>
    <t>x=119262, y=484070</t>
  </si>
  <si>
    <t>25/0663</t>
  </si>
  <si>
    <t>x=142831, y=511378</t>
  </si>
  <si>
    <t>25/0664</t>
  </si>
  <si>
    <t>x=132138, y=501387</t>
  </si>
  <si>
    <t>25/0665</t>
  </si>
  <si>
    <t>ZALOKA</t>
  </si>
  <si>
    <t>x=93869, y=504735</t>
  </si>
  <si>
    <t>25/0667</t>
  </si>
  <si>
    <t>TURJAK</t>
  </si>
  <si>
    <t>Turjak 17, 1311 Turjak</t>
  </si>
  <si>
    <t>x=81449, y=470303</t>
  </si>
  <si>
    <t>25/0668</t>
  </si>
  <si>
    <t>VISOKO ROGATEC</t>
  </si>
  <si>
    <t>VISOKO - ROGATEC</t>
  </si>
  <si>
    <t>Visoko 14, 1292 Ig</t>
  </si>
  <si>
    <t>x=82448, y=467425</t>
  </si>
  <si>
    <t>25/0669</t>
  </si>
  <si>
    <t>Koritno 7, Koritno, 2317 Oplotnica</t>
  </si>
  <si>
    <t>x=139818, y=533910</t>
  </si>
  <si>
    <t>25/0670</t>
  </si>
  <si>
    <t>Vrzdenec  88, Vrzdenec , 1354 Horjul</t>
  </si>
  <si>
    <t>x=97449, y=443964</t>
  </si>
  <si>
    <t>25/0671</t>
  </si>
  <si>
    <t>Marjan Dovnik</t>
  </si>
  <si>
    <t>x=139139, y=538199</t>
  </si>
  <si>
    <t>25/0672</t>
  </si>
  <si>
    <t>JEPIHOVEC</t>
  </si>
  <si>
    <t>Jepihovec</t>
  </si>
  <si>
    <t>Turje 74, 1431 Dol pri Hrastniku</t>
  </si>
  <si>
    <t>x=109153, y=511970</t>
  </si>
  <si>
    <t>25/0673</t>
  </si>
  <si>
    <t>RAKOVEC</t>
  </si>
  <si>
    <t>Rakovec</t>
  </si>
  <si>
    <t>Kovk 2, 1431 Dol pri Hrastniku</t>
  </si>
  <si>
    <t>x=109809, y=509778</t>
  </si>
  <si>
    <t>25/0674</t>
  </si>
  <si>
    <t>PLANINA POD GOLICO - PRIHODI</t>
  </si>
  <si>
    <t>PLANINA POD GOLICO1</t>
  </si>
  <si>
    <t>Planina pod Golico 3B, Planina pod Golico, 4270 Jesenice</t>
  </si>
  <si>
    <t>x=146913, y=427343</t>
  </si>
  <si>
    <t>25/0675</t>
  </si>
  <si>
    <t>x=114091, y=408464</t>
  </si>
  <si>
    <t>25/0676</t>
  </si>
  <si>
    <t>x=123042, y=388613</t>
  </si>
  <si>
    <t>25/0677</t>
  </si>
  <si>
    <t>x=127196, y=388752</t>
  </si>
  <si>
    <t>25/0678</t>
  </si>
  <si>
    <t>OKONINA</t>
  </si>
  <si>
    <t>JUVANJE 1, 3333 Ljubno ob Savinji</t>
  </si>
  <si>
    <t>x=131733, y=489614</t>
  </si>
  <si>
    <t>25/0679</t>
  </si>
  <si>
    <t>Gospodinjstvo Satler Darko</t>
  </si>
  <si>
    <t>x=135284, y=535743</t>
  </si>
  <si>
    <t>25/0680</t>
  </si>
  <si>
    <t>DOBJE</t>
  </si>
  <si>
    <t>Dobje pri Planini 20a, 3224 Dobje pri Planini</t>
  </si>
  <si>
    <t>x=110111, y=530434</t>
  </si>
  <si>
    <t>25/0681</t>
  </si>
  <si>
    <t>Kamna gora - Sojek</t>
  </si>
  <si>
    <t>Kamna gora , 3213 Frankolovo</t>
  </si>
  <si>
    <t>25/0682</t>
  </si>
  <si>
    <t>OREHOVA - HOTINJA VAS</t>
  </si>
  <si>
    <t>HOTINJA VAS</t>
  </si>
  <si>
    <t>Cebe Ana</t>
  </si>
  <si>
    <t>Ulica talcev  31, 2312 Orehova vas</t>
  </si>
  <si>
    <t>x=146529, y=550344</t>
  </si>
  <si>
    <t>25/0683</t>
  </si>
  <si>
    <t>LIPOGLAV</t>
  </si>
  <si>
    <t>x=94344, y=472731</t>
  </si>
  <si>
    <t>25/0684</t>
  </si>
  <si>
    <t>DOBOVEC pri Rogatcu</t>
  </si>
  <si>
    <t>Dobovec pri Rogatcu 35, 3252 Rogatec</t>
  </si>
  <si>
    <t>x=118912, y=559107</t>
  </si>
  <si>
    <t>25/0686</t>
  </si>
  <si>
    <t>x=160108, y=530419</t>
  </si>
  <si>
    <t>25/0687</t>
  </si>
  <si>
    <t>VAS - KOZJI VRH</t>
  </si>
  <si>
    <t>Bife Pekarna Vas</t>
  </si>
  <si>
    <t>Vas 32, Vas, 2360 Radlje ob Dravi</t>
  </si>
  <si>
    <t>x=161831, y=520197</t>
  </si>
  <si>
    <t>25/0688</t>
  </si>
  <si>
    <t>x=163260, y=515666</t>
  </si>
  <si>
    <t>25/0689</t>
  </si>
  <si>
    <t>LJUBINJ</t>
  </si>
  <si>
    <t>Ljubinj 40, Ljubinj, 5220 Tolmin</t>
  </si>
  <si>
    <t>x=114470, y=405569</t>
  </si>
  <si>
    <t>25/0690</t>
  </si>
  <si>
    <t>JASNA</t>
  </si>
  <si>
    <t>Jasna, Chalet Resorte</t>
  </si>
  <si>
    <t>x=148670, y=406949</t>
  </si>
  <si>
    <t>25/0691</t>
  </si>
  <si>
    <t>ZAKLANEC-PODOLNICA- LESNO BRDO</t>
  </si>
  <si>
    <t>ZAKLANEC - PODOLNICA- LESNO BRDO</t>
  </si>
  <si>
    <t>STANOVANJSKI OBJEKT (SMRTNIK IZIDOR)</t>
  </si>
  <si>
    <t>PODOLNICA 37, PODOLNICA, 1354 Horjul</t>
  </si>
  <si>
    <t>25/0692</t>
  </si>
  <si>
    <t>PLAVE</t>
  </si>
  <si>
    <t>ULICA IVANA GRADNIKA 2, PLAVE, 5210 Deskle</t>
  </si>
  <si>
    <t>25/0693</t>
  </si>
  <si>
    <t>25/0694</t>
  </si>
  <si>
    <t>POLANA 3</t>
  </si>
  <si>
    <t>POLANA</t>
  </si>
  <si>
    <t>SATLER ANTON</t>
  </si>
  <si>
    <t>x=149072, y=547872</t>
  </si>
  <si>
    <t>25/0695</t>
  </si>
  <si>
    <t>POLANA 1</t>
  </si>
  <si>
    <t>VRHI</t>
  </si>
  <si>
    <t>x=149036, y=547309</t>
  </si>
  <si>
    <t>25/0696</t>
  </si>
  <si>
    <t>25/0699</t>
  </si>
  <si>
    <t>25/0700</t>
  </si>
  <si>
    <t>KLOPCE VRH</t>
  </si>
  <si>
    <t>KLOPCE VRH - ZAGORIC</t>
  </si>
  <si>
    <t>St. h. Klop. Vrh</t>
  </si>
  <si>
    <t>Klopce 5, 1262 Dol pri Ljubljani</t>
  </si>
  <si>
    <t>x=107027, y=476666</t>
  </si>
  <si>
    <t>25/0702</t>
  </si>
  <si>
    <t>x=48546, y=424787</t>
  </si>
  <si>
    <t>25/0703</t>
  </si>
  <si>
    <t>MALO UBELJSKO</t>
  </si>
  <si>
    <t>x=70229, y=428900</t>
  </si>
  <si>
    <t>25/0704</t>
  </si>
  <si>
    <t>SELA</t>
  </si>
  <si>
    <t>x=70241, y=417372</t>
  </si>
  <si>
    <t>25/0705</t>
  </si>
  <si>
    <t>Bohinjska Bela 128, 4263 Bohinjska Bela</t>
  </si>
  <si>
    <t>x=133037, y=427998</t>
  </si>
  <si>
    <t>25/0706</t>
  </si>
  <si>
    <t>x=125664, y=421538</t>
  </si>
  <si>
    <t>25/0708</t>
  </si>
  <si>
    <t>x=119607, y=512188</t>
  </si>
  <si>
    <t>25/0709</t>
  </si>
  <si>
    <t>Socka 48, 3203 Nova Cerkev</t>
  </si>
  <si>
    <t>x=133511, y=520835</t>
  </si>
  <si>
    <t>25/0710</t>
  </si>
  <si>
    <t>Fara 3, 1336 Kostel</t>
  </si>
  <si>
    <t>x=36872, y=491107</t>
  </si>
  <si>
    <t>25/0713</t>
  </si>
  <si>
    <t>PETROVO BRDO</t>
  </si>
  <si>
    <t>x=119422, y=423039</t>
  </si>
  <si>
    <t>25/0715</t>
  </si>
  <si>
    <t>Gostilna pri Lukatu</t>
  </si>
  <si>
    <t>x=70452, y=469812</t>
  </si>
  <si>
    <t>25/0716</t>
  </si>
  <si>
    <t xml:space="preserve">TOPOL </t>
  </si>
  <si>
    <t>TOPOL</t>
  </si>
  <si>
    <t>Topol pri Medvodah 17, Topol pri Medvodah, 1215 Medvode</t>
  </si>
  <si>
    <t>x=105691, y=451572</t>
  </si>
  <si>
    <t>25/0717</t>
  </si>
  <si>
    <t>PODLIPOGLAV</t>
  </si>
  <si>
    <t>Podlipoglav 16, Podlipoglav, 1260 Ljubljana - Polje</t>
  </si>
  <si>
    <t>x=97008, y=471173</t>
  </si>
  <si>
    <t>25/0718</t>
  </si>
  <si>
    <t>x=151328, y=488769</t>
  </si>
  <si>
    <t>25/0719</t>
  </si>
  <si>
    <t>x=163948, y=496285</t>
  </si>
  <si>
    <t>25/0720</t>
  </si>
  <si>
    <t>KAPLA</t>
  </si>
  <si>
    <t>SPODNJA KAPLA 2, 2362 Kapla</t>
  </si>
  <si>
    <t>x=165943, y=529150</t>
  </si>
  <si>
    <t>25/0721</t>
  </si>
  <si>
    <t>DOM TISJE</t>
  </si>
  <si>
    <t>DSO Tisje</t>
  </si>
  <si>
    <t>x=97940, y=487927</t>
  </si>
  <si>
    <t>25/0722</t>
  </si>
  <si>
    <t>x=156434, y=495038</t>
  </si>
  <si>
    <t>25/0725</t>
  </si>
  <si>
    <t>SELE - VRHE</t>
  </si>
  <si>
    <t>SELE , SELE, 2380 Slovenj Gradec</t>
  </si>
  <si>
    <t>x=152558, y=503524</t>
  </si>
  <si>
    <t>25/0726</t>
  </si>
  <si>
    <t>x=120223, y=443551</t>
  </si>
  <si>
    <t>25/0727</t>
  </si>
  <si>
    <t>x=116267, y=438243</t>
  </si>
  <si>
    <t>25/0728</t>
  </si>
  <si>
    <t>KREK</t>
  </si>
  <si>
    <t xml:space="preserve">BRODE </t>
  </si>
  <si>
    <t>stanovanjski objekt Krmelj, Brode</t>
  </si>
  <si>
    <t>x=110826, y=442822</t>
  </si>
  <si>
    <t>25/0729</t>
  </si>
  <si>
    <t>x=108828, y=455644</t>
  </si>
  <si>
    <t>25/0730</t>
  </si>
  <si>
    <t xml:space="preserve">V.Z. Planinska vas - Planinski vrh </t>
  </si>
  <si>
    <t>Planinska vas - Planinski vrh</t>
  </si>
  <si>
    <t>PLANINSKA VAS - PLANINSKI VRH</t>
  </si>
  <si>
    <t>Podvine 11a, 3225 Planina pri Sevnici</t>
  </si>
  <si>
    <t>x=107362, y=534731</t>
  </si>
  <si>
    <t>25/0731</t>
  </si>
  <si>
    <t>RAKULK</t>
  </si>
  <si>
    <t>stanovanjski objekt, Rakulk #172</t>
  </si>
  <si>
    <t>x=101978, y=432151</t>
  </si>
  <si>
    <t>25/0733</t>
  </si>
  <si>
    <t>x=105196, y=442932</t>
  </si>
  <si>
    <t>25/0735</t>
  </si>
  <si>
    <t>SLIVNICA</t>
  </si>
  <si>
    <t>GOSTILNA ZUPANC</t>
  </si>
  <si>
    <t>x=147988, y=550679</t>
  </si>
  <si>
    <t>25/0737</t>
  </si>
  <si>
    <t>SOVODENJ</t>
  </si>
  <si>
    <t>Sovodenj 32, 4225 Sovodenj</t>
  </si>
  <si>
    <t>x=105137, y=425908</t>
  </si>
  <si>
    <t>25/0739</t>
  </si>
  <si>
    <t>BREZOVICA PRI BOROVNICI</t>
  </si>
  <si>
    <t>St. h. Brezovica 24</t>
  </si>
  <si>
    <t>Brezovica 24, 1353 Borovnica</t>
  </si>
  <si>
    <t>x=84194, y=453276</t>
  </si>
  <si>
    <t>25/0742</t>
  </si>
  <si>
    <t>x=96357, y=470891</t>
  </si>
  <si>
    <t>25/0743</t>
  </si>
  <si>
    <t>x=69426, y=476492</t>
  </si>
  <si>
    <t>25/0749</t>
  </si>
  <si>
    <t>G. Jesenice</t>
  </si>
  <si>
    <t>G. JESENICE</t>
  </si>
  <si>
    <t>G. Jesenice, Us Rudi</t>
  </si>
  <si>
    <t>x=92768, y=402231</t>
  </si>
  <si>
    <t>25/0753</t>
  </si>
  <si>
    <t>LV CEZLAK</t>
  </si>
  <si>
    <t>CEZLAK</t>
  </si>
  <si>
    <t>LV  CEZLAK</t>
  </si>
  <si>
    <t>MINERAL,CEZLAK 14, CEZLAK, 2317 Oplotnica</t>
  </si>
  <si>
    <t>x=141554, y=534061</t>
  </si>
  <si>
    <t>25/0756</t>
  </si>
  <si>
    <t>ZABUKOVICA VAS</t>
  </si>
  <si>
    <t>x=118778, y=513266</t>
  </si>
  <si>
    <t>25/0757</t>
  </si>
  <si>
    <t>ZGORNJE NEGONJE</t>
  </si>
  <si>
    <t>Restavracija GIC Gradnje Zgornje Negonje</t>
  </si>
  <si>
    <t>x=123660, y=547870</t>
  </si>
  <si>
    <t>25/0758</t>
  </si>
  <si>
    <t>LOKAVEC-SLOKARJI</t>
  </si>
  <si>
    <t>x=86253, y=414357</t>
  </si>
  <si>
    <t>25/0759</t>
  </si>
  <si>
    <t>PODVELKA</t>
  </si>
  <si>
    <t>PODVELKA - STARI</t>
  </si>
  <si>
    <t>BAR IRENA</t>
  </si>
  <si>
    <t>PODVELKA 19, 2363 Podvelka</t>
  </si>
  <si>
    <t>x=160635, y=525544</t>
  </si>
  <si>
    <t>25/0762</t>
  </si>
  <si>
    <t>DOLNJE BREZOVO</t>
  </si>
  <si>
    <t>Dolnje Brezovo 33, 8283 Blanca</t>
  </si>
  <si>
    <t>x=94556, y=528705</t>
  </si>
  <si>
    <t>25/0765</t>
  </si>
  <si>
    <t>25/0766</t>
  </si>
  <si>
    <t>x=138945, y=539454</t>
  </si>
  <si>
    <t>25/0767</t>
  </si>
  <si>
    <t>AGRARNA SKUPNOST DOLJE GABRJE</t>
  </si>
  <si>
    <t>GABRJE 2</t>
  </si>
  <si>
    <t>GABRJE_</t>
  </si>
  <si>
    <t>Gabrje 8, 5220 Tolmin</t>
  </si>
  <si>
    <t>x=118206, y=400035</t>
  </si>
  <si>
    <t>25/0771</t>
  </si>
  <si>
    <t>stanovanjski objekt Zupan</t>
  </si>
  <si>
    <t>x=140059, y=463187</t>
  </si>
  <si>
    <t>25/0772</t>
  </si>
  <si>
    <t>VO Draga</t>
  </si>
  <si>
    <t>DRAGA</t>
  </si>
  <si>
    <t>stanovanjski objekt Gaber, Draga</t>
  </si>
  <si>
    <t>x=111657, y=450733</t>
  </si>
  <si>
    <t>25/0774</t>
  </si>
  <si>
    <t>x=61482, y=506946</t>
  </si>
  <si>
    <t>25/0775</t>
  </si>
  <si>
    <t>LEDINA</t>
  </si>
  <si>
    <t>x=151144, y=544413</t>
  </si>
  <si>
    <t>25/0777</t>
  </si>
  <si>
    <t>Stanovanjski objekt (Lorber Vinko)</t>
  </si>
  <si>
    <t>x=130426, y=553636</t>
  </si>
  <si>
    <t>25/0780</t>
  </si>
  <si>
    <t>x=92860, y=497445</t>
  </si>
  <si>
    <t>25/0781</t>
  </si>
  <si>
    <t>Hotel Jakec</t>
  </si>
  <si>
    <t>Hotel  Jakec</t>
  </si>
  <si>
    <t>x=143808, y=535714</t>
  </si>
  <si>
    <t>25/0782</t>
  </si>
  <si>
    <t>x=141590, y=429660</t>
  </si>
  <si>
    <t>25/0783</t>
  </si>
  <si>
    <t>Logar</t>
  </si>
  <si>
    <t>x=81256, y=439238</t>
  </si>
  <si>
    <t>25/0785</t>
  </si>
  <si>
    <t>x=99341, y=491936</t>
  </si>
  <si>
    <t>25/0786</t>
  </si>
  <si>
    <t>x=100696, y=489747</t>
  </si>
  <si>
    <t>25/0787</t>
  </si>
  <si>
    <t>GABERNIK I</t>
  </si>
  <si>
    <t>Gabernik 79, 2314 Zgornja Polskava</t>
  </si>
  <si>
    <t>x=143032, y=545922</t>
  </si>
  <si>
    <t>25/0788</t>
  </si>
  <si>
    <t>S. Laknice - Vrh pri Mokronogu</t>
  </si>
  <si>
    <t>S. LAKNICE - VRH PRI MOKRONOGU</t>
  </si>
  <si>
    <t>Sr. Laknice 8</t>
  </si>
  <si>
    <t>Sr. Laknice 8, 8230 Mokronog</t>
  </si>
  <si>
    <t>25/0790</t>
  </si>
  <si>
    <t>x=113835, y=401725</t>
  </si>
  <si>
    <t>25/0791</t>
  </si>
  <si>
    <t>POSTAJA 2</t>
  </si>
  <si>
    <t>POSTAJA</t>
  </si>
  <si>
    <t>Postaja 10, 5220 Tolmin</t>
  </si>
  <si>
    <t>x=112128, y=404540</t>
  </si>
  <si>
    <t>25/0792</t>
  </si>
  <si>
    <t>x=111523, y=401291</t>
  </si>
  <si>
    <t>25/0793</t>
  </si>
  <si>
    <t>SVINO</t>
  </si>
  <si>
    <t>Svino 25, 5222 Kobarid</t>
  </si>
  <si>
    <t>x=122706, y=389800</t>
  </si>
  <si>
    <t>25/0795</t>
  </si>
  <si>
    <t>KOSTANJEVEC</t>
  </si>
  <si>
    <t xml:space="preserve">KOSTANJEVEC </t>
  </si>
  <si>
    <t>x=138714, y=540301</t>
  </si>
  <si>
    <t>25/0797</t>
  </si>
  <si>
    <t>PRIMSKOVO</t>
  </si>
  <si>
    <t>Primskovo</t>
  </si>
  <si>
    <t>x=93015, y=493738</t>
  </si>
  <si>
    <t>25/0798</t>
  </si>
  <si>
    <t>Szoks</t>
  </si>
  <si>
    <t>x=96748, y=527999</t>
  </si>
  <si>
    <t>25/0799</t>
  </si>
  <si>
    <t>MEDVEDJE BRDO</t>
  </si>
  <si>
    <t>x=91299, y=435890</t>
  </si>
  <si>
    <t>25/0801</t>
  </si>
  <si>
    <t>NOMENJ</t>
  </si>
  <si>
    <t xml:space="preserve">Nomenj </t>
  </si>
  <si>
    <t>Nomenj 16, 4264 Bohinjska Bistrica</t>
  </si>
  <si>
    <t>x=128050, y=423727</t>
  </si>
  <si>
    <t>25/0802</t>
  </si>
  <si>
    <t>OSREDEK SV. VID</t>
  </si>
  <si>
    <t>Sv. Vid 28, 1380 Cerknica</t>
  </si>
  <si>
    <t>x=78766, y=458600</t>
  </si>
  <si>
    <t>25/0803</t>
  </si>
  <si>
    <t>x=98490, y=471322</t>
  </si>
  <si>
    <t>25/0807</t>
  </si>
  <si>
    <t>CSOD</t>
  </si>
  <si>
    <t>x=163309, y=496119</t>
  </si>
  <si>
    <t>25/0808</t>
  </si>
  <si>
    <t>x=163545, y=539835</t>
  </si>
  <si>
    <t>25/0809</t>
  </si>
  <si>
    <t>Tim Bar</t>
  </si>
  <si>
    <t>x=47960, y=484789</t>
  </si>
  <si>
    <t>25/0810</t>
  </si>
  <si>
    <t>Mali konec 1, 1290 Grosuplje</t>
  </si>
  <si>
    <t>x=95159, y=477235</t>
  </si>
  <si>
    <t>25/0811</t>
  </si>
  <si>
    <t>Cajnarje</t>
  </si>
  <si>
    <t>x=76754, y=457845</t>
  </si>
  <si>
    <t>25/0812</t>
  </si>
  <si>
    <t>Podslivnica</t>
  </si>
  <si>
    <t>Topol pri Begunjah 2, Topol pri Begunjah, 1382 Begunje pri Cerknici</t>
  </si>
  <si>
    <t>x=74986, y=454093</t>
  </si>
  <si>
    <t>25/0813</t>
  </si>
  <si>
    <t>x=109303, y=497908</t>
  </si>
  <si>
    <t>25/0814</t>
  </si>
  <si>
    <t>Zagorje ob Savi</t>
  </si>
  <si>
    <t>x=107434, y=495355</t>
  </si>
  <si>
    <t>25/0815</t>
  </si>
  <si>
    <t>Tirna</t>
  </si>
  <si>
    <t>Planinski dom na Zasavski gori</t>
  </si>
  <si>
    <t>x=109303, y=492421</t>
  </si>
  <si>
    <t>25/0819</t>
  </si>
  <si>
    <t>Petrol</t>
  </si>
  <si>
    <t>x=155577, y=496505</t>
  </si>
  <si>
    <t>25/0820</t>
  </si>
  <si>
    <t>Studor</t>
  </si>
  <si>
    <t>Studor , 4267 Srednja vas v Bohinju</t>
  </si>
  <si>
    <t>x=128450, y=416769</t>
  </si>
  <si>
    <t>25/0821</t>
  </si>
  <si>
    <t>VS Kope</t>
  </si>
  <si>
    <t>Kope</t>
  </si>
  <si>
    <t>x=150973, y=516580</t>
  </si>
  <si>
    <t>25/0822</t>
  </si>
  <si>
    <t>Radulja</t>
  </si>
  <si>
    <t>Bitnja vas 7, 8231 Trebelno</t>
  </si>
  <si>
    <t>x=83900, y=509673</t>
  </si>
  <si>
    <t>25/0823</t>
  </si>
  <si>
    <t>KS Zavodnje</t>
  </si>
  <si>
    <t>Zavodnje - Vrhi</t>
  </si>
  <si>
    <t>Zavodnje - center</t>
  </si>
  <si>
    <t>x=142305, y=501524</t>
  </si>
  <si>
    <t>25/0824</t>
  </si>
  <si>
    <t>x=111333, y=513713</t>
  </si>
  <si>
    <t>25/0825</t>
  </si>
  <si>
    <t>x=127150, y=460464, z=670</t>
  </si>
  <si>
    <t>25/0826</t>
  </si>
  <si>
    <t>SORICA</t>
  </si>
  <si>
    <t>Spodnja Sorica 16, 4229 Sorica</t>
  </si>
  <si>
    <t>x=119870, y=425513</t>
  </si>
  <si>
    <t>25/0827</t>
  </si>
  <si>
    <t>ZALI LOG</t>
  </si>
  <si>
    <t>x=118614, y=431031</t>
  </si>
  <si>
    <t>25/0828</t>
  </si>
  <si>
    <t>x=94418, y=534861</t>
  </si>
  <si>
    <t>25/0829</t>
  </si>
  <si>
    <t>VETRNO</t>
  </si>
  <si>
    <t>Objekt Rezar David</t>
  </si>
  <si>
    <t>x=133191, y=449098</t>
  </si>
  <si>
    <t>zunanja pipa</t>
  </si>
  <si>
    <t>25/0831</t>
  </si>
  <si>
    <t>VODOVOD MOTNIK</t>
  </si>
  <si>
    <t>MOTNIK</t>
  </si>
  <si>
    <t>Motnik 8, 1221 Motnik</t>
  </si>
  <si>
    <t>x=119108, y=491466</t>
  </si>
  <si>
    <t>25/0832</t>
  </si>
  <si>
    <t>Podvrh - Zapreval</t>
  </si>
  <si>
    <t>x=113974, y=437512</t>
  </si>
  <si>
    <t>25/0835</t>
  </si>
  <si>
    <t>x=141483, y=539595</t>
  </si>
  <si>
    <t>25/0836</t>
  </si>
  <si>
    <t>Tolsti Vrh</t>
  </si>
  <si>
    <t>TOLSTI VRH III</t>
  </si>
  <si>
    <t>x=156815, y=499501</t>
  </si>
  <si>
    <t>25/0837</t>
  </si>
  <si>
    <t>x=141739, y=528888</t>
  </si>
  <si>
    <t>25/0838</t>
  </si>
  <si>
    <t>PD Paloma</t>
  </si>
  <si>
    <t>Hudi kot 24, 2364 Ribnica na Pohorju</t>
  </si>
  <si>
    <t>x=150472, y=519998, z=1507</t>
  </si>
  <si>
    <t>25/0840</t>
  </si>
  <si>
    <t>Zgornji Slemen, 2354 Bresternica</t>
  </si>
  <si>
    <t>x=162068, y=540467</t>
  </si>
  <si>
    <t>25/0841</t>
  </si>
  <si>
    <t>LUKOVEC</t>
  </si>
  <si>
    <t>x=94845, y=523890</t>
  </si>
  <si>
    <t>25/0842</t>
  </si>
  <si>
    <t>x=111639, y=421811</t>
  </si>
  <si>
    <t>25/0844</t>
  </si>
  <si>
    <t>DOL PRI TREBNJEM</t>
  </si>
  <si>
    <t>Dol pri Trebnjem 8, 8210 Trebnje</t>
  </si>
  <si>
    <t>x=86876, y=502948</t>
  </si>
  <si>
    <t>25/0847</t>
  </si>
  <si>
    <t>x=149281, y=548855</t>
  </si>
  <si>
    <t>25/0848</t>
  </si>
  <si>
    <t>x=160625, y=510258</t>
  </si>
  <si>
    <t>25/0849</t>
  </si>
  <si>
    <t>LEHEN</t>
  </si>
  <si>
    <t>x=157323, y=525110</t>
  </si>
  <si>
    <t>25/0850</t>
  </si>
  <si>
    <t>BUTAJNOVA</t>
  </si>
  <si>
    <t>Stanovanjski objekt Krek</t>
  </si>
  <si>
    <t>Butajnova 25, 1354 Horjul</t>
  </si>
  <si>
    <t>x=100662, y=440793</t>
  </si>
  <si>
    <t>25/0852</t>
  </si>
  <si>
    <t>MANDL HERMAN</t>
  </si>
  <si>
    <t>x=163667, y=543570</t>
  </si>
  <si>
    <t>25/0853</t>
  </si>
  <si>
    <t>JAZNE</t>
  </si>
  <si>
    <t>Jazne 14, Jazne, 5282 Cerkno</t>
  </si>
  <si>
    <t>x=103457, y=424037</t>
  </si>
  <si>
    <t>25/0854</t>
  </si>
  <si>
    <t>VV Robidnica</t>
  </si>
  <si>
    <t>Janez Kokelj, Robidnica 4, 4224 Gorenja vas</t>
  </si>
  <si>
    <t>Robidnica  4, 4224 Gorenja vas</t>
  </si>
  <si>
    <t>25/0855</t>
  </si>
  <si>
    <t>Vodovod Kladje nad Blanco</t>
  </si>
  <si>
    <t>Kladje nad Blanco</t>
  </si>
  <si>
    <t>Vodohram (Vodovod Kladje nad Blanco 2B)</t>
  </si>
  <si>
    <t>Vodohram - Vodovod Kladje nad Blanco  2B, Blanca, 8290 Sevnica</t>
  </si>
  <si>
    <t>25/0856</t>
  </si>
  <si>
    <t>PLANINA</t>
  </si>
  <si>
    <t>PLANINA PRI CERKNEM</t>
  </si>
  <si>
    <t>PLANINA PRI CERKNEM - DELAVNICA</t>
  </si>
  <si>
    <t>PLANINA 53, 5282 Cerkno</t>
  </si>
  <si>
    <t>25/0857</t>
  </si>
  <si>
    <t>LAZEC</t>
  </si>
  <si>
    <t>LAZEC 10 - DELAVNICA</t>
  </si>
  <si>
    <t>LAZEC 10, 5282 Cerkno</t>
  </si>
  <si>
    <t>25/0858</t>
  </si>
  <si>
    <t xml:space="preserve">hidrant v vasi </t>
  </si>
  <si>
    <t>25/0859</t>
  </si>
  <si>
    <t>LIG</t>
  </si>
  <si>
    <t>LIG 23, 5213 Kanal</t>
  </si>
  <si>
    <t>25/0860</t>
  </si>
  <si>
    <t>LOKAVEC-KOMPARI</t>
  </si>
  <si>
    <t>25/0861</t>
  </si>
  <si>
    <t>25/0862</t>
  </si>
  <si>
    <t>BREZJE PRI LIPOGLAVU</t>
  </si>
  <si>
    <t>St.h. Brez. pri Lip. 28</t>
  </si>
  <si>
    <t>Brezje pri Lipoglavu 28, Brezje pri Lipoglavu, 1260 Ljubljana - Polje</t>
  </si>
  <si>
    <t>x=95396, y=471504</t>
  </si>
  <si>
    <t>25/0863</t>
  </si>
  <si>
    <t>x=100939, y=477933</t>
  </si>
  <si>
    <t>25/0864</t>
  </si>
  <si>
    <t>PODGORA</t>
  </si>
  <si>
    <t>St. h. Podg. 24</t>
  </si>
  <si>
    <t>Podgora 24, Podgora, 1262 Dol pri Ljubljani</t>
  </si>
  <si>
    <t>x=105347, y=473654</t>
  </si>
  <si>
    <t>Podgora 1</t>
  </si>
  <si>
    <t>25/0865</t>
  </si>
  <si>
    <t>G. SUHADOL</t>
  </si>
  <si>
    <t>Gorenji Suhadol, Kosec Ivan</t>
  </si>
  <si>
    <t>Gorenji Suhadol 1, 8321 Brusnice</t>
  </si>
  <si>
    <t>x=72292, y=522444</t>
  </si>
  <si>
    <t>25/0866</t>
  </si>
  <si>
    <t>x=129172, y=442297</t>
  </si>
  <si>
    <t>25/0867</t>
  </si>
  <si>
    <t>BEZOVJE</t>
  </si>
  <si>
    <t>x=119964, y=532702</t>
  </si>
  <si>
    <t>25/0868</t>
  </si>
  <si>
    <t>x=106921, y=545318</t>
  </si>
  <si>
    <t>25/0869</t>
  </si>
  <si>
    <t>x=104518, y=513950</t>
  </si>
  <si>
    <t>25/0870</t>
  </si>
  <si>
    <t>x=101894, y=553339</t>
  </si>
  <si>
    <t>25/0871</t>
  </si>
  <si>
    <t>x=117847, y=480772</t>
  </si>
  <si>
    <t>25/0872</t>
  </si>
  <si>
    <t>x=130735, y=384009</t>
  </si>
  <si>
    <t>25/0873</t>
  </si>
  <si>
    <t>OKROG</t>
  </si>
  <si>
    <t>Okrog 10, 3232 Ponikva</t>
  </si>
  <si>
    <t>x=123483, y=536302</t>
  </si>
  <si>
    <t>25/0874</t>
  </si>
  <si>
    <t>stanovanjski objekt Zg.Prekar</t>
  </si>
  <si>
    <t>Zgornji prekar 1, Zg.Prekar, 1281 Kresnice</t>
  </si>
  <si>
    <t>x=105966, y=484485</t>
  </si>
  <si>
    <t>25/0875</t>
  </si>
  <si>
    <t>x=115998, y=493179</t>
  </si>
  <si>
    <t>25/0876</t>
  </si>
  <si>
    <t>x=115074, y=496130</t>
  </si>
  <si>
    <t>25/0877</t>
  </si>
  <si>
    <t>Vinje 5, 1262 Dol pri Ljubljani</t>
  </si>
  <si>
    <t>x=106857, y=474870</t>
  </si>
  <si>
    <t>Vinje 1</t>
  </si>
  <si>
    <t>25/0878</t>
  </si>
  <si>
    <t>GOLO BRDO-POLANA</t>
  </si>
  <si>
    <t>GOLO BRDO - POLANA</t>
  </si>
  <si>
    <t>St. h. Pol. #161</t>
  </si>
  <si>
    <t>Golo Brdo 3a, 1215 Medvode</t>
  </si>
  <si>
    <t>x=106962, y=455643</t>
  </si>
  <si>
    <t>25/0879</t>
  </si>
  <si>
    <t>BELCA</t>
  </si>
  <si>
    <t>stanovanjski objekt Kemperle Belca</t>
  </si>
  <si>
    <t>Belca 24, Belca, 4281 Mojstrana</t>
  </si>
  <si>
    <t>x=148574, y=416647</t>
  </si>
  <si>
    <t>25/0880</t>
  </si>
  <si>
    <t>BUKOVICA</t>
  </si>
  <si>
    <t>Bukovica 21, Bukovica, 4227 Selca</t>
  </si>
  <si>
    <t>x=117459, y=442067</t>
  </si>
  <si>
    <t>25/0881</t>
  </si>
  <si>
    <t>Ogrevanje Starman</t>
  </si>
  <si>
    <t>GABRK</t>
  </si>
  <si>
    <t>stanovanjski objekt Pustovrh, Gabrk</t>
  </si>
  <si>
    <t>x=110668, y=442142</t>
  </si>
  <si>
    <t>25/0882</t>
  </si>
  <si>
    <t>PEVNO</t>
  </si>
  <si>
    <t>x=116416, y=446403</t>
  </si>
  <si>
    <t>25/0883</t>
  </si>
  <si>
    <t>x=108001, y=454127</t>
  </si>
  <si>
    <t>25/0884</t>
  </si>
  <si>
    <t>Dobnikar</t>
  </si>
  <si>
    <t>x=108944, y=453016</t>
  </si>
  <si>
    <t>25/0885</t>
  </si>
  <si>
    <t>x=151253, y=543572</t>
  </si>
  <si>
    <t>25/0888</t>
  </si>
  <si>
    <t>PIKOVNIK</t>
  </si>
  <si>
    <t>St. h. Pikov.</t>
  </si>
  <si>
    <t>Gorenje otave 2, Gornje Ozave, 1380 Cerknica</t>
  </si>
  <si>
    <t>x=78108, y=455128</t>
  </si>
  <si>
    <t>25/0889</t>
  </si>
  <si>
    <t>PODREBER</t>
  </si>
  <si>
    <t>stanovanjski objekt Dolinar, Podreber</t>
  </si>
  <si>
    <t>Podreber 17, Podreber, 1355 Polhov Gradec</t>
  </si>
  <si>
    <t>x=102046, y=448717</t>
  </si>
  <si>
    <t>25/0890</t>
  </si>
  <si>
    <t>LOM-ZAKOBILJEK</t>
  </si>
  <si>
    <t>LOM - ZAKOBILJEK</t>
  </si>
  <si>
    <t>x=111756, y=435999</t>
  </si>
  <si>
    <t>25/0891</t>
  </si>
  <si>
    <t>MENINA KAMNIK</t>
  </si>
  <si>
    <t>Menina Kamnik - kuhinja</t>
  </si>
  <si>
    <t>x=116292, y=469234</t>
  </si>
  <si>
    <t>25/0892</t>
  </si>
  <si>
    <t>STRUGE</t>
  </si>
  <si>
    <t>Gostilna Struge</t>
  </si>
  <si>
    <t>x=135734, y=482894</t>
  </si>
  <si>
    <t>25/0893</t>
  </si>
  <si>
    <t>x=105627, y=526968</t>
  </si>
  <si>
    <t>25/0894</t>
  </si>
  <si>
    <t>BREZOVICA NOVI VODOVOD</t>
  </si>
  <si>
    <t>x=98073, y=454071</t>
  </si>
  <si>
    <t>25/0895</t>
  </si>
  <si>
    <t>MNZ</t>
  </si>
  <si>
    <t>GOTENICA</t>
  </si>
  <si>
    <t>Vadbeni center Gotenica</t>
  </si>
  <si>
    <t>x=51967, y=480674</t>
  </si>
  <si>
    <t>25/0896</t>
  </si>
  <si>
    <t>GORA</t>
  </si>
  <si>
    <t>Petrinci 5</t>
  </si>
  <si>
    <t>x=67911, y=468623</t>
  </si>
  <si>
    <t>Petrinci 2</t>
  </si>
  <si>
    <t>25/0897</t>
  </si>
  <si>
    <t>x=122221, y=555481</t>
  </si>
  <si>
    <t>25/0898</t>
  </si>
  <si>
    <t>x=123405, y=496501</t>
  </si>
  <si>
    <t>25/0899</t>
  </si>
  <si>
    <t>GORENJE</t>
  </si>
  <si>
    <t>drugo sredstvo, redna dezinfekcija, dezinfekcija s kalcijevim hipokloritom</t>
  </si>
  <si>
    <t>x=139972, y=530529</t>
  </si>
  <si>
    <t>25/0900</t>
  </si>
  <si>
    <t>x=93488, y=532661</t>
  </si>
  <si>
    <t>25/0901</t>
  </si>
  <si>
    <t>ARDRO PRI RAKI</t>
  </si>
  <si>
    <t>Ardro, Bajc</t>
  </si>
  <si>
    <t>Ardro 10, 8274 Raka</t>
  </si>
  <si>
    <t>x=87330, y=531319</t>
  </si>
  <si>
    <t>25/0902</t>
  </si>
  <si>
    <t>x=83409, y=513044</t>
  </si>
  <si>
    <t>25/0903</t>
  </si>
  <si>
    <t>BREZJE PRI TREBELNEM</t>
  </si>
  <si>
    <t>Brezje pri Trebelnem, Grivec</t>
  </si>
  <si>
    <t>Brezje pri Trebelnem 2, 8231 Trebelno</t>
  </si>
  <si>
    <t>x=82014, y=510393</t>
  </si>
  <si>
    <t>25/0904</t>
  </si>
  <si>
    <t>Kostanjek, Debelak</t>
  </si>
  <si>
    <t>Kostanjek 9, 8272 Zdole</t>
  </si>
  <si>
    <t>x=95427, y=543459</t>
  </si>
  <si>
    <t>25/0905</t>
  </si>
  <si>
    <t>G. Laknice</t>
  </si>
  <si>
    <t>G. LAKNICE</t>
  </si>
  <si>
    <t>G. Laknice 7, 8230 Mokronog</t>
  </si>
  <si>
    <t>x=87415, y=512754</t>
  </si>
  <si>
    <t>25/0906</t>
  </si>
  <si>
    <t>Presladol</t>
  </si>
  <si>
    <t>PRESLADOL I.- KOZOLE</t>
  </si>
  <si>
    <t>PRESLADOL I.- KOZOLE #2</t>
  </si>
  <si>
    <t>Presadol, Jazbec</t>
  </si>
  <si>
    <t>Presadol 53, 8280 Brestanica</t>
  </si>
  <si>
    <t>x=97037, y=534523</t>
  </si>
  <si>
    <t>25/0907</t>
  </si>
  <si>
    <t>SELO PRI MIRNI</t>
  </si>
  <si>
    <t>Migolska Gora 21, 8233 Mirna</t>
  </si>
  <si>
    <t>x=90702, y=502925</t>
  </si>
  <si>
    <t>25/0908</t>
  </si>
  <si>
    <t>ZAGABER</t>
  </si>
  <si>
    <t>x=118443, y=527353</t>
  </si>
  <si>
    <t>25/0909</t>
  </si>
  <si>
    <t>SANABOR</t>
  </si>
  <si>
    <t>x=81562, y=421835</t>
  </si>
  <si>
    <t>25/0910</t>
  </si>
  <si>
    <t>x=105304, y=421010</t>
  </si>
  <si>
    <t>25/0911</t>
  </si>
  <si>
    <t>Velika hosta</t>
  </si>
  <si>
    <t>VELIKA HOSTA</t>
  </si>
  <si>
    <t>x=120005, y=511719</t>
  </si>
  <si>
    <t>25/0912</t>
  </si>
  <si>
    <t>Apartmaji Kranjc</t>
  </si>
  <si>
    <t>x=123926, y=394144</t>
  </si>
  <si>
    <t>25/0913</t>
  </si>
  <si>
    <t>PRILESJE 2</t>
  </si>
  <si>
    <t>PRILESJE</t>
  </si>
  <si>
    <t>Prilesje 7, Plave , 5210 Deskle</t>
  </si>
  <si>
    <t>x=99853, y=391649</t>
  </si>
  <si>
    <t>25/0914</t>
  </si>
  <si>
    <t>TRNOVEC</t>
  </si>
  <si>
    <t>Trnovec 12, 8292 Zabukovje</t>
  </si>
  <si>
    <t>x=98659, y=529838</t>
  </si>
  <si>
    <t>25/0915</t>
  </si>
  <si>
    <t>VELIKI CIRNIK</t>
  </si>
  <si>
    <t>x=94454, y=511127</t>
  </si>
  <si>
    <t>25/0916</t>
  </si>
  <si>
    <t>x=95531, y=518547</t>
  </si>
  <si>
    <t>25/0917</t>
  </si>
  <si>
    <t>KRSINJI VRH</t>
  </si>
  <si>
    <t>x=88446, y=517825</t>
  </si>
  <si>
    <t>25/0919</t>
  </si>
  <si>
    <t>x=126501, y=490759</t>
  </si>
  <si>
    <t>25/0920</t>
  </si>
  <si>
    <t>x=128073, y=491483</t>
  </si>
  <si>
    <t>25/0921</t>
  </si>
  <si>
    <t>INDUSTRIJA VITANJE</t>
  </si>
  <si>
    <t>Brezen 2, 3205 Vitanje</t>
  </si>
  <si>
    <t>x=136020, y=521964</t>
  </si>
  <si>
    <t>25/0922</t>
  </si>
  <si>
    <t>RON</t>
  </si>
  <si>
    <t>x=119982, y=425407</t>
  </si>
  <si>
    <t>25/0924</t>
  </si>
  <si>
    <t>KRAJEVNA SKUPNOST POLENE</t>
  </si>
  <si>
    <t>POLENE</t>
  </si>
  <si>
    <t>Javna izlivka</t>
  </si>
  <si>
    <t>3210 Slovenske Konjice</t>
  </si>
  <si>
    <t>x=133540, y=530204</t>
  </si>
  <si>
    <t>25/0925</t>
  </si>
  <si>
    <t>Bar Zver</t>
  </si>
  <si>
    <t>x=115025, y=416516</t>
  </si>
  <si>
    <t>25/0926</t>
  </si>
  <si>
    <t>x=110207, y=395997</t>
  </si>
  <si>
    <t>25/0927</t>
  </si>
  <si>
    <t>Razbor - Lisce</t>
  </si>
  <si>
    <t>RAZBOR - LISCE</t>
  </si>
  <si>
    <t>Razbor 15, 1434 Loka pri Zidanem Mostu</t>
  </si>
  <si>
    <t>x=101708, y=520226</t>
  </si>
  <si>
    <t>25/0928</t>
  </si>
  <si>
    <t>FRANC ARNOLJ</t>
  </si>
  <si>
    <t>Stanovanjski objekt Kokalj</t>
  </si>
  <si>
    <t>x=110350, y=436852</t>
  </si>
  <si>
    <t>25/0929</t>
  </si>
  <si>
    <t>Kava bar</t>
  </si>
  <si>
    <t>x=124655, y=471452</t>
  </si>
  <si>
    <t>25/0930</t>
  </si>
  <si>
    <t>x=109752, y=423289</t>
  </si>
  <si>
    <t xml:space="preserve">javna izlivka </t>
  </si>
  <si>
    <t>25/0931</t>
  </si>
  <si>
    <t>Ingart d.o.o.</t>
  </si>
  <si>
    <t>stanovanjski objekt</t>
  </si>
  <si>
    <t>x=118599, y=441630</t>
  </si>
  <si>
    <t>25/0932</t>
  </si>
  <si>
    <t>KS Gabrovka</t>
  </si>
  <si>
    <t>BEZOVO</t>
  </si>
  <si>
    <t>BREZOVO</t>
  </si>
  <si>
    <t>Stanovanjski objekt (Brane Logar)</t>
  </si>
  <si>
    <t>Brezovo 17, 1274 Gabrovka</t>
  </si>
  <si>
    <t>x=96155, y=499942</t>
  </si>
  <si>
    <t>25/0933</t>
  </si>
  <si>
    <t>Leskovica -Vrata</t>
  </si>
  <si>
    <t>Leskovica - Vrata</t>
  </si>
  <si>
    <t>x=96817, y=489240</t>
  </si>
  <si>
    <t>Leskovica 3</t>
  </si>
  <si>
    <t>25/0934</t>
  </si>
  <si>
    <t>Vintarjevec</t>
  </si>
  <si>
    <t>x=96851, y=486911</t>
  </si>
  <si>
    <t>Vintarjevec 24b</t>
  </si>
  <si>
    <t>25/0935</t>
  </si>
  <si>
    <t>KANALSKI VRH</t>
  </si>
  <si>
    <t>Kanalski vrh 8, 5213 Kanal</t>
  </si>
  <si>
    <t>x=104591, y=397018</t>
  </si>
  <si>
    <t>25/0936</t>
  </si>
  <si>
    <t>BREZOVICA - VIMOLJ</t>
  </si>
  <si>
    <t>x=44097, y=503547</t>
  </si>
  <si>
    <t>25/0937</t>
  </si>
  <si>
    <t>TRENTA</t>
  </si>
  <si>
    <t>x=138134, y=404310</t>
  </si>
  <si>
    <t>25/0938</t>
  </si>
  <si>
    <t>x=135259, y=445949</t>
  </si>
  <si>
    <t>kopalnica, pipa</t>
  </si>
  <si>
    <t>25/0940</t>
  </si>
  <si>
    <t>Skrovnik</t>
  </si>
  <si>
    <t>x=90792, y=513414</t>
  </si>
  <si>
    <t>25/0941</t>
  </si>
  <si>
    <t>Labinje</t>
  </si>
  <si>
    <t>LABINJE</t>
  </si>
  <si>
    <t>Labinje - pipa zunaj</t>
  </si>
  <si>
    <t>Labinje 4, 5282 Cerkno</t>
  </si>
  <si>
    <t>x=111325, y=423252</t>
  </si>
  <si>
    <t>25/0942</t>
  </si>
  <si>
    <t>Kalan</t>
  </si>
  <si>
    <t>x=117314, y=444440</t>
  </si>
  <si>
    <t>25/0943</t>
  </si>
  <si>
    <t>Zahom</t>
  </si>
  <si>
    <t>ZAHOM</t>
  </si>
  <si>
    <t>Matke 49, 3312 Prebold</t>
  </si>
  <si>
    <t>x=118706, y=509911</t>
  </si>
  <si>
    <t>25/0944</t>
  </si>
  <si>
    <t>Mrzlavski Gaj Vitovec Stankovo</t>
  </si>
  <si>
    <t>x=80955, y=544213</t>
  </si>
  <si>
    <t xml:space="preserve">pipa zunaj </t>
  </si>
  <si>
    <t>25/0945</t>
  </si>
  <si>
    <t>x=112120, y=501380</t>
  </si>
  <si>
    <t>25/0946</t>
  </si>
  <si>
    <t>Sinji vrh</t>
  </si>
  <si>
    <t>Sinji Vrh 5, 8344 Vinica</t>
  </si>
  <si>
    <t>x=34096, y=513326</t>
  </si>
  <si>
    <t>25/0947</t>
  </si>
  <si>
    <t>TISA</t>
  </si>
  <si>
    <t>Hotel Tisa</t>
  </si>
  <si>
    <t>x=150686, y=543869</t>
  </si>
  <si>
    <t>25/0948</t>
  </si>
  <si>
    <t>x=95189, y=533723</t>
  </si>
  <si>
    <t>25/0949</t>
  </si>
  <si>
    <t>ZGORNJE JESENOVO</t>
  </si>
  <si>
    <t>Zgornje Jesenovo</t>
  </si>
  <si>
    <t>st. hisa</t>
  </si>
  <si>
    <t>Zg. Jesenovo 47 a, 1410 Zagorje ob Savi</t>
  </si>
  <si>
    <t>x=115347, y=497896</t>
  </si>
  <si>
    <t>25/0950</t>
  </si>
  <si>
    <t>3312 Prebold</t>
  </si>
  <si>
    <t>x=121468, y=509893</t>
  </si>
  <si>
    <t>25/0951</t>
  </si>
  <si>
    <t>Vrhi</t>
  </si>
  <si>
    <t>stan. hisa Zavodnje</t>
  </si>
  <si>
    <t>x=143160, y=500122</t>
  </si>
  <si>
    <t>25/0952</t>
  </si>
  <si>
    <t>x=96685, y=543719</t>
  </si>
  <si>
    <t xml:space="preserve">v kleti </t>
  </si>
  <si>
    <t>25/0953</t>
  </si>
  <si>
    <t>Trnovec - Govejek</t>
  </si>
  <si>
    <t>trnovec 15, 1215 Medvode</t>
  </si>
  <si>
    <t>x=106677, y=450317</t>
  </si>
  <si>
    <t>25/0955</t>
  </si>
  <si>
    <t>Dolanc</t>
  </si>
  <si>
    <t>x=106122, y=499139</t>
  </si>
  <si>
    <t>25/0956</t>
  </si>
  <si>
    <t>Gostilna pri Janezu</t>
  </si>
  <si>
    <t>x=100485, y=482077</t>
  </si>
  <si>
    <t>25/0958</t>
  </si>
  <si>
    <t>x=138739, y=529101</t>
  </si>
  <si>
    <t>25/0959</t>
  </si>
  <si>
    <t>Bergant</t>
  </si>
  <si>
    <t>x=109067, y=453753</t>
  </si>
  <si>
    <t>25/0960</t>
  </si>
  <si>
    <t>Zabrdje Praprotnica</t>
  </si>
  <si>
    <t>Praprotnica  4, Praprotnica, 8233 Mirna</t>
  </si>
  <si>
    <t>x=87893, y=505911</t>
  </si>
  <si>
    <t>25/0961</t>
  </si>
  <si>
    <t>PODLONK</t>
  </si>
  <si>
    <t>Objekt Potes d.o.o., Podlonk</t>
  </si>
  <si>
    <t>x=121418, y=432766</t>
  </si>
  <si>
    <t>25/0962</t>
  </si>
  <si>
    <t>x=102325, y=430893</t>
  </si>
  <si>
    <t>25/0963</t>
  </si>
  <si>
    <t>x=101467, y=432072</t>
  </si>
  <si>
    <t>pralnica, pipa</t>
  </si>
  <si>
    <t>25/0964</t>
  </si>
  <si>
    <t>GOROPEKE</t>
  </si>
  <si>
    <t>x=99366, y=432317</t>
  </si>
  <si>
    <t>25/0965</t>
  </si>
  <si>
    <t>Agrarna skupnost</t>
  </si>
  <si>
    <t>Planinski dom na Uskovnici</t>
  </si>
  <si>
    <t>Srednje vas v Bohinju 137, 4267 Srednja vas v Bohinju</t>
  </si>
  <si>
    <t>x=131289, y=416387</t>
  </si>
  <si>
    <t>25/0967</t>
  </si>
  <si>
    <t>AJBA</t>
  </si>
  <si>
    <t>Ajba 15, Ajba, 5213 Kanal</t>
  </si>
  <si>
    <t>x=107322, y=395827</t>
  </si>
  <si>
    <t>25/0968</t>
  </si>
  <si>
    <t>25/0969</t>
  </si>
  <si>
    <t>TINJSKA GORA 2</t>
  </si>
  <si>
    <t>x=139748, y=538905</t>
  </si>
  <si>
    <t>25/0970</t>
  </si>
  <si>
    <t>BUKOVO</t>
  </si>
  <si>
    <t>Bukovo 25, Bukovo, 5282 Cerkno</t>
  </si>
  <si>
    <t>x=112430, y=415738</t>
  </si>
  <si>
    <t>25/0972</t>
  </si>
  <si>
    <t>DELNICE - PODPREVAL</t>
  </si>
  <si>
    <t>x=112501, y=438052</t>
  </si>
  <si>
    <t>25/0973</t>
  </si>
  <si>
    <t>x=147065, y=485529</t>
  </si>
  <si>
    <t>25/0982</t>
  </si>
  <si>
    <t>25/0984</t>
  </si>
  <si>
    <t>25/0985</t>
  </si>
  <si>
    <t>SELO - DEDNIK - NAREDI</t>
  </si>
  <si>
    <t>x=76391, y=467655, z=790</t>
  </si>
  <si>
    <t>25/0986</t>
  </si>
  <si>
    <t>LEVPA</t>
  </si>
  <si>
    <t>Levpa 24, Levpa, 5214 Kal nad Kanalom</t>
  </si>
  <si>
    <t>pipa na vrtu</t>
  </si>
  <si>
    <t>25/0987</t>
  </si>
  <si>
    <t>25/0988</t>
  </si>
  <si>
    <t>HOTEL BELLEWUE</t>
  </si>
  <si>
    <t>NA SLEMENU 35, 2208 Pohorje</t>
  </si>
  <si>
    <t>x=152574, y=544796</t>
  </si>
  <si>
    <t>25/0989</t>
  </si>
  <si>
    <t>SLIVNA - MALA SELA</t>
  </si>
  <si>
    <t>SLIVNA</t>
  </si>
  <si>
    <t>GOSTILNA VRABEC</t>
  </si>
  <si>
    <t>25/0990</t>
  </si>
  <si>
    <t>x=107259, y=478339</t>
  </si>
  <si>
    <t>25/0991</t>
  </si>
  <si>
    <t>OBRNE</t>
  </si>
  <si>
    <t>Obrne 1, Obrne, 4263 Bohinjska Bela</t>
  </si>
  <si>
    <t>x=131970, y=427886</t>
  </si>
  <si>
    <t>25/0992</t>
  </si>
  <si>
    <t>KOPRIVNIK_</t>
  </si>
  <si>
    <t>x=50926, y=502752</t>
  </si>
  <si>
    <t>25/0993</t>
  </si>
  <si>
    <t>TRAVA - SREDNJA VAS</t>
  </si>
  <si>
    <t>Trava 23</t>
  </si>
  <si>
    <t>x=51049, y=474762</t>
  </si>
  <si>
    <t>25/0994</t>
  </si>
  <si>
    <t>GOLO BRDO</t>
  </si>
  <si>
    <t>St. h. G.B. #151</t>
  </si>
  <si>
    <t>Golo Brdo 90, 1215 Medvode</t>
  </si>
  <si>
    <t>x=107540, y=455169</t>
  </si>
  <si>
    <t>25/0995</t>
  </si>
  <si>
    <t>Crngrob</t>
  </si>
  <si>
    <t>CRNGROB</t>
  </si>
  <si>
    <t>25/0996</t>
  </si>
  <si>
    <t>VZ PRAPROTNO II Z.O.O.</t>
  </si>
  <si>
    <t xml:space="preserve">PRAPROTNO </t>
  </si>
  <si>
    <t>stanovanjski objekt Tolar, Praprotno</t>
  </si>
  <si>
    <t>Praprotno 20 A, Praprotno, 4227 Selca</t>
  </si>
  <si>
    <t>x=116960, y=443304</t>
  </si>
  <si>
    <t>25/0997</t>
  </si>
  <si>
    <t>x=101844, y=431465</t>
  </si>
  <si>
    <t>25/0998</t>
  </si>
  <si>
    <t>LEDINICA</t>
  </si>
  <si>
    <t>stanovanjski objekt Eniko, Ledinica</t>
  </si>
  <si>
    <t>x=101832, y=430530</t>
  </si>
  <si>
    <t>25/0999</t>
  </si>
  <si>
    <t>x=102151, y=445509</t>
  </si>
  <si>
    <t>25/1000</t>
  </si>
  <si>
    <t>x=84793, y=453133</t>
  </si>
  <si>
    <t>25/1001</t>
  </si>
  <si>
    <t>x=82465, y=450263</t>
  </si>
  <si>
    <t>25/1002</t>
  </si>
  <si>
    <t>x=84908, y=453558</t>
  </si>
  <si>
    <t>25/1003</t>
  </si>
  <si>
    <t>UNIOR d.d. - Program Turizem</t>
  </si>
  <si>
    <t>HOTEL PLANJA ROGLA</t>
  </si>
  <si>
    <t>Hotel Planja - kuhinja hotela</t>
  </si>
  <si>
    <t>x=145460, y=526014</t>
  </si>
  <si>
    <t>25/1004</t>
  </si>
  <si>
    <t>Gostilna Gobec</t>
  </si>
  <si>
    <t>x=117496, y=525743</t>
  </si>
  <si>
    <t>25/1005</t>
  </si>
  <si>
    <t>TOLSTI VRH</t>
  </si>
  <si>
    <t>x=129727, y=533151</t>
  </si>
  <si>
    <t>25/1006</t>
  </si>
  <si>
    <t>KUPLJENIK</t>
  </si>
  <si>
    <t xml:space="preserve">stanovanjski objekt Kupljenik </t>
  </si>
  <si>
    <t>Kupljenik  6, Kupljenik, 4263 Bohinjska Bela</t>
  </si>
  <si>
    <t>x=133060, y=429621</t>
  </si>
  <si>
    <t>25/1007</t>
  </si>
  <si>
    <t>VRH - KRKOVO</t>
  </si>
  <si>
    <t>Gotenc 6, 1336 Kostel</t>
  </si>
  <si>
    <t>x=38309, y=492290</t>
  </si>
  <si>
    <t>25/1008</t>
  </si>
  <si>
    <t>RIBJEK - OSILNICA</t>
  </si>
  <si>
    <t>Bosljiva loka</t>
  </si>
  <si>
    <t>Bosljiva loka 15a, 1337 Osilnica</t>
  </si>
  <si>
    <t>x=40943, y=482061</t>
  </si>
  <si>
    <t>25/1009</t>
  </si>
  <si>
    <t>ZGORNJI BREZEN</t>
  </si>
  <si>
    <t>Brezen 21, 3205 Vitanje</t>
  </si>
  <si>
    <t>x=137169, y=520666</t>
  </si>
  <si>
    <t>25/1010</t>
  </si>
  <si>
    <t>STAGONCE - KANCIJAN</t>
  </si>
  <si>
    <t>Kladje 31, 8283 Blanca</t>
  </si>
  <si>
    <t>x=95252, y=532656</t>
  </si>
  <si>
    <t>25/1012</t>
  </si>
  <si>
    <t>SAMIJA</t>
  </si>
  <si>
    <t>x=97870, y=439115</t>
  </si>
  <si>
    <t>25/1013</t>
  </si>
  <si>
    <t>ZMINEC 2</t>
  </si>
  <si>
    <t>Priber d.o.o.</t>
  </si>
  <si>
    <t>x=111221, y=444652</t>
  </si>
  <si>
    <t>25/1014</t>
  </si>
  <si>
    <t>Kava Bar</t>
  </si>
  <si>
    <t>x=115723, y=489670</t>
  </si>
  <si>
    <t>25/1015</t>
  </si>
  <si>
    <t>PLEST LOGARSKA DOLINA</t>
  </si>
  <si>
    <t>LOGARSKA DOLINA</t>
  </si>
  <si>
    <t>Hotel Plesnik, aperitiv bar</t>
  </si>
  <si>
    <t>x=139403, y=472020</t>
  </si>
  <si>
    <t>25/1016</t>
  </si>
  <si>
    <t>Gostilna Ledinek</t>
  </si>
  <si>
    <t>x=109627, y=458934</t>
  </si>
  <si>
    <t>25/1018</t>
  </si>
  <si>
    <t>MLEKARNA PLANIKA</t>
  </si>
  <si>
    <t>Mlekarna Planika</t>
  </si>
  <si>
    <t>x=123346, y=391239</t>
  </si>
  <si>
    <t>25/1019</t>
  </si>
  <si>
    <t>Stanovanjski objekt #241</t>
  </si>
  <si>
    <t>x=120717, y=402710</t>
  </si>
  <si>
    <t>25/1020</t>
  </si>
  <si>
    <t>x=99319, y=483845</t>
  </si>
  <si>
    <t>25/1021</t>
  </si>
  <si>
    <t>OSREDEK PRI DOBROVI</t>
  </si>
  <si>
    <t>Stan. objekt Kralj</t>
  </si>
  <si>
    <t>Osredek pri Dobrovi 38, 1356 Dobrova</t>
  </si>
  <si>
    <t>x=105091, y=451652</t>
  </si>
  <si>
    <t>25/1022</t>
  </si>
  <si>
    <t>ZG. RADOVNA</t>
  </si>
  <si>
    <t>Zg. Radovna 20, Zg. Radovna, 4281 Mojstrana</t>
  </si>
  <si>
    <t>x=143635, y=419898</t>
  </si>
  <si>
    <t>25/1023</t>
  </si>
  <si>
    <t>x=133530, y=386393</t>
  </si>
  <si>
    <t>25/1024</t>
  </si>
  <si>
    <t>Vine</t>
  </si>
  <si>
    <t>VINE</t>
  </si>
  <si>
    <t xml:space="preserve">VINE </t>
  </si>
  <si>
    <t>20, Lemberg, 3203 Nova Cerkev</t>
  </si>
  <si>
    <t>x=130916, y=519230</t>
  </si>
  <si>
    <t>25/1025</t>
  </si>
  <si>
    <t>Landek</t>
  </si>
  <si>
    <t>LANDEK</t>
  </si>
  <si>
    <t>Landek 9, 3212 Vojnik</t>
  </si>
  <si>
    <t>x=132372, y=519719</t>
  </si>
  <si>
    <t>25/1026</t>
  </si>
  <si>
    <t>KAPLANOVO</t>
  </si>
  <si>
    <t>x=75811, y=469133</t>
  </si>
  <si>
    <t>25/1027</t>
  </si>
  <si>
    <t>x=71620, y=473298</t>
  </si>
  <si>
    <t>25/1028</t>
  </si>
  <si>
    <t>VODICE 2</t>
  </si>
  <si>
    <t>VODICE (Litija)</t>
  </si>
  <si>
    <t>Vodice 18</t>
  </si>
  <si>
    <t>Vodice 18, 1274 Gabrovka</t>
  </si>
  <si>
    <t>x=96926, y=498525</t>
  </si>
  <si>
    <t>25/1029</t>
  </si>
  <si>
    <t>JAVOR VAS</t>
  </si>
  <si>
    <t>Javor 15</t>
  </si>
  <si>
    <t>Javor 15, 1260 Ljubljana - Polje</t>
  </si>
  <si>
    <t>x=97437, y=475505</t>
  </si>
  <si>
    <t>Javor 16</t>
  </si>
  <si>
    <t>25/1030</t>
  </si>
  <si>
    <t>Zapadni vodovod Brezovica</t>
  </si>
  <si>
    <t>x=98007, y=454446</t>
  </si>
  <si>
    <t>25/1031</t>
  </si>
  <si>
    <t>x=111227, y=488243</t>
  </si>
  <si>
    <t>25/1032</t>
  </si>
  <si>
    <t>x=93547, y=490737</t>
  </si>
  <si>
    <t>25/1033</t>
  </si>
  <si>
    <t>Spodnje Krnice</t>
  </si>
  <si>
    <t>Krnice 15A, Krnice, 1430 Hrastnik</t>
  </si>
  <si>
    <t>x=108017, y=509077</t>
  </si>
  <si>
    <t>25/1034</t>
  </si>
  <si>
    <t>SPODNJE JESENOVO</t>
  </si>
  <si>
    <t>Spodnje Jesenovo, Spodnje Znojile</t>
  </si>
  <si>
    <t xml:space="preserve">Viktor Psarn_x000D_
</t>
  </si>
  <si>
    <t>x=114132, y=498253</t>
  </si>
  <si>
    <t>25/1035</t>
  </si>
  <si>
    <t>DOBRLJEVO</t>
  </si>
  <si>
    <t>Dobrljevo</t>
  </si>
  <si>
    <t>x=115108, y=495155</t>
  </si>
  <si>
    <t>25/1036</t>
  </si>
  <si>
    <t>TIRNA II</t>
  </si>
  <si>
    <t>Zdravko Molka</t>
  </si>
  <si>
    <t>Tirna  23, 1282 Sava</t>
  </si>
  <si>
    <t>x=106710, y=493290</t>
  </si>
  <si>
    <t>25/1037</t>
  </si>
  <si>
    <t>VIDRGA</t>
  </si>
  <si>
    <t>x=110226, y=489857</t>
  </si>
  <si>
    <t>25/1038</t>
  </si>
  <si>
    <t>x=109833, y=487954</t>
  </si>
  <si>
    <t>25/1039</t>
  </si>
  <si>
    <t>PRVINE</t>
  </si>
  <si>
    <t>x=115641, y=494473</t>
  </si>
  <si>
    <t>25/1040</t>
  </si>
  <si>
    <t>BREZJE - Zagorje</t>
  </si>
  <si>
    <t>Rado Pirnat</t>
  </si>
  <si>
    <t>x=114975, y=494535</t>
  </si>
  <si>
    <t>25/1041</t>
  </si>
  <si>
    <t>ROVE - TESEN</t>
  </si>
  <si>
    <t>Mateja Hribar</t>
  </si>
  <si>
    <t>Rove  24, 1410 Zagorje ob Savi</t>
  </si>
  <si>
    <t>x=112613, y=498812</t>
  </si>
  <si>
    <t>25/1042</t>
  </si>
  <si>
    <t>x=95601, y=550533</t>
  </si>
  <si>
    <t>25/1043</t>
  </si>
  <si>
    <t>x=120223, y=496222</t>
  </si>
  <si>
    <t>&gt;49</t>
  </si>
  <si>
    <t>25/1044</t>
  </si>
  <si>
    <t>KURJA VAS</t>
  </si>
  <si>
    <t>Tominc</t>
  </si>
  <si>
    <t>x=99651, y=440155</t>
  </si>
  <si>
    <t>25/1045</t>
  </si>
  <si>
    <t>Sr. Vrh - Rovt</t>
  </si>
  <si>
    <t>Sr. vrh - Rovt</t>
  </si>
  <si>
    <t>Mrzlikar</t>
  </si>
  <si>
    <t>Srednji vrh 10, 1355 Polhov Gradec</t>
  </si>
  <si>
    <t>x=103835, y=441559</t>
  </si>
  <si>
    <t>25/1046</t>
  </si>
  <si>
    <t>Mala Goba</t>
  </si>
  <si>
    <t>Odlazek</t>
  </si>
  <si>
    <t>Mala Goba 6, 1273 Dole pri Litiji</t>
  </si>
  <si>
    <t>x=99464, y=498817</t>
  </si>
  <si>
    <t>25/1047</t>
  </si>
  <si>
    <t>SPODNJE DANJE</t>
  </si>
  <si>
    <t xml:space="preserve">SPODNJE DANJE </t>
  </si>
  <si>
    <t>x=120841, y=426674</t>
  </si>
  <si>
    <t>25/1048</t>
  </si>
  <si>
    <t>Zasebni vodovod Ernest Pinter Zabukovica</t>
  </si>
  <si>
    <t>Podbukovica</t>
  </si>
  <si>
    <t>Pipa na pomivalnem koritu v kuhinji</t>
  </si>
  <si>
    <t>x=119153, y=512906</t>
  </si>
  <si>
    <t>&gt;1</t>
  </si>
  <si>
    <t>25/1049</t>
  </si>
  <si>
    <t>Zatrnik</t>
  </si>
  <si>
    <t>Krnica 84a, Krnica, 4247 Zgornje Gorje</t>
  </si>
  <si>
    <t>x=136035, y=426126</t>
  </si>
  <si>
    <t>25/1050</t>
  </si>
  <si>
    <t>Gostilnica in picerija Izba</t>
  </si>
  <si>
    <t>Snovik 2c, Snovik, 1219 Laze v Tuhinju</t>
  </si>
  <si>
    <t>x=121142, y=478123</t>
  </si>
  <si>
    <t>25/1051</t>
  </si>
  <si>
    <t>x=119117, y=478912</t>
  </si>
  <si>
    <t>25/1052</t>
  </si>
  <si>
    <t>VODOVOD RAKITOVEC</t>
  </si>
  <si>
    <t>RAKITOVEC</t>
  </si>
  <si>
    <t>Veliki Rakitovec 3, Veliki Rakitovec, 1223 Blagovica</t>
  </si>
  <si>
    <t>x=117302, y=483453</t>
  </si>
  <si>
    <t>25/1053</t>
  </si>
  <si>
    <t>x=100332, y=429844</t>
  </si>
  <si>
    <t>25/1054</t>
  </si>
  <si>
    <t>GOLO BRDO (zajetje v Italiji)</t>
  </si>
  <si>
    <t>Breg Agri turizem</t>
  </si>
  <si>
    <t>Breg pri Golem Brdu 3, 5212 Dobrovo v Brdih</t>
  </si>
  <si>
    <t>x=101681, y=384146</t>
  </si>
  <si>
    <t>25/1055</t>
  </si>
  <si>
    <t>Vodovod Trojane</t>
  </si>
  <si>
    <t>Trojane</t>
  </si>
  <si>
    <t>VITASAN d.o.o.</t>
  </si>
  <si>
    <t>Trojane 27, 1222 Trojane</t>
  </si>
  <si>
    <t>x=115979, y=491768</t>
  </si>
  <si>
    <t>25/1056</t>
  </si>
  <si>
    <t>x=103059, y=452798</t>
  </si>
  <si>
    <t>25/1057</t>
  </si>
  <si>
    <t>x=105512, y=430472</t>
  </si>
  <si>
    <t>25/1058</t>
  </si>
  <si>
    <t>x=134826, y=442525</t>
  </si>
  <si>
    <t>25/1059</t>
  </si>
  <si>
    <t>Izvir pod Golico</t>
  </si>
  <si>
    <t xml:space="preserve">Izvir pod Golico </t>
  </si>
  <si>
    <t>Planina pod Golico 39, 4270 Jesenice</t>
  </si>
  <si>
    <t>25/1060</t>
  </si>
  <si>
    <t>KS Spodnji Log</t>
  </si>
  <si>
    <t>SPODNJI LOG 2</t>
  </si>
  <si>
    <t>SPODNJI LOG</t>
  </si>
  <si>
    <t>Spodnji Log 26, Spodnji Log, 1282 Sava</t>
  </si>
  <si>
    <t>x=104383, y=491912</t>
  </si>
  <si>
    <t>25/1061</t>
  </si>
  <si>
    <t>x=121249, y=437254</t>
  </si>
  <si>
    <t>25/1062</t>
  </si>
  <si>
    <t>BELO</t>
  </si>
  <si>
    <t>JAKA FĂśRST S.P.</t>
  </si>
  <si>
    <t>BELO 8, 1215 Medvode</t>
  </si>
  <si>
    <t>25/1063</t>
  </si>
  <si>
    <t>x=78067, y=467655, z=499</t>
  </si>
  <si>
    <t>25/1064</t>
  </si>
  <si>
    <t>25/1066</t>
  </si>
  <si>
    <t>x=152530, y=588619</t>
  </si>
  <si>
    <t>25/1067</t>
  </si>
  <si>
    <t>Poljska ulica  2, Bakovci, 9000 Murska Sobota</t>
  </si>
  <si>
    <t>x=164315, y=588358</t>
  </si>
  <si>
    <t>25/1068</t>
  </si>
  <si>
    <t>25/1069</t>
  </si>
  <si>
    <t>x=152369, y=594265</t>
  </si>
  <si>
    <t>25/1070</t>
  </si>
  <si>
    <t>25/1071</t>
  </si>
  <si>
    <t>Dom upokojencev Vrhn.</t>
  </si>
  <si>
    <t>Idrijska c. 13, 1360 Vrhnika</t>
  </si>
  <si>
    <t>x=91294, y=445245</t>
  </si>
  <si>
    <t>25/1072</t>
  </si>
  <si>
    <t>25/1073</t>
  </si>
  <si>
    <t>25/1074</t>
  </si>
  <si>
    <t>25/1075</t>
  </si>
  <si>
    <t>25/1076</t>
  </si>
  <si>
    <t>25/1077</t>
  </si>
  <si>
    <t>VRTEC KORTE</t>
  </si>
  <si>
    <t>KORTE 14, IZOLA - KORTE, 6310 Izola - Isola</t>
  </si>
  <si>
    <t>x=39181, y=395039</t>
  </si>
  <si>
    <t>25/1078</t>
  </si>
  <si>
    <t>25/1079</t>
  </si>
  <si>
    <t>25/1080</t>
  </si>
  <si>
    <t>25/1081</t>
  </si>
  <si>
    <t>25/1082</t>
  </si>
  <si>
    <t>25/1083</t>
  </si>
  <si>
    <t>x=47815, y=406004</t>
  </si>
  <si>
    <t>25/1086</t>
  </si>
  <si>
    <t>Vegova 1, 3000 Celje</t>
  </si>
  <si>
    <t>x=119064, y=520555</t>
  </si>
  <si>
    <t>25/1088</t>
  </si>
  <si>
    <t>Vrtec Tinkara - Kekec Velenje</t>
  </si>
  <si>
    <t>x=135784, y=508933</t>
  </si>
  <si>
    <t>25/1089</t>
  </si>
  <si>
    <t>25/1091</t>
  </si>
  <si>
    <t>Vrtec Jakec Pesje</t>
  </si>
  <si>
    <t>Pohorskega bataljona 12, 3320 Velenje</t>
  </si>
  <si>
    <t>x=135855, y=506939</t>
  </si>
  <si>
    <t>25/1092</t>
  </si>
  <si>
    <t>25/1093</t>
  </si>
  <si>
    <t>25/1094</t>
  </si>
  <si>
    <t>Novo mesto, NLZOH</t>
  </si>
  <si>
    <t>Mej vrti 5, 8000 Novo mesto</t>
  </si>
  <si>
    <t>x=73168, y=513394</t>
  </si>
  <si>
    <t>25/1095</t>
  </si>
  <si>
    <t>x=138493, y=580787</t>
  </si>
  <si>
    <t>25/1096</t>
  </si>
  <si>
    <t>25/1097</t>
  </si>
  <si>
    <t>25/1099</t>
  </si>
  <si>
    <t>25/1100</t>
  </si>
  <si>
    <t>25/1102</t>
  </si>
  <si>
    <t>25/1105</t>
  </si>
  <si>
    <t>x=133801, y=436819</t>
  </si>
  <si>
    <t>25/1108</t>
  </si>
  <si>
    <t>25/1110</t>
  </si>
  <si>
    <t>25/1111</t>
  </si>
  <si>
    <t>25/1112</t>
  </si>
  <si>
    <t>x=142972, y=431043</t>
  </si>
  <si>
    <t>25/1114</t>
  </si>
  <si>
    <t>x=119752, y=470140</t>
  </si>
  <si>
    <t>25/1116</t>
  </si>
  <si>
    <t>Ljubljanska cesta 16 A, Kamnik - Duplica, 1241 Kamnik</t>
  </si>
  <si>
    <t>x=118100, y=469190</t>
  </si>
  <si>
    <t>25/1120</t>
  </si>
  <si>
    <t>25/1121</t>
  </si>
  <si>
    <t>25/1122</t>
  </si>
  <si>
    <t>25/1123</t>
  </si>
  <si>
    <t>x=121236, y=449950</t>
  </si>
  <si>
    <t>25/1124</t>
  </si>
  <si>
    <t>25/1127</t>
  </si>
  <si>
    <t>x=111805, y=471269</t>
  </si>
  <si>
    <t>25/1129</t>
  </si>
  <si>
    <t>x=110559, y=468785</t>
  </si>
  <si>
    <t>25/1132</t>
  </si>
  <si>
    <t>25/1133</t>
  </si>
  <si>
    <t>x=119310, y=455602</t>
  </si>
  <si>
    <t>25/1134</t>
  </si>
  <si>
    <t>PONIKVA 29A, 3232 Ponikva</t>
  </si>
  <si>
    <t>25/1138</t>
  </si>
  <si>
    <t>25/1139</t>
  </si>
  <si>
    <t>25/1141</t>
  </si>
  <si>
    <t>x=122148, y=548509</t>
  </si>
  <si>
    <t>25/1142</t>
  </si>
  <si>
    <t>Spodnja Hajdina 24, SP. HAJDINA, 2288 Hajdina</t>
  </si>
  <si>
    <t>x=141684, y=564519</t>
  </si>
  <si>
    <t>25/1143</t>
  </si>
  <si>
    <t>25/1144</t>
  </si>
  <si>
    <t>Vrtec Mestinje</t>
  </si>
  <si>
    <t>Mestinje 43, 3241 Podplat</t>
  </si>
  <si>
    <t>x=121513, y=543568</t>
  </si>
  <si>
    <t>25/1145</t>
  </si>
  <si>
    <t>25/1147</t>
  </si>
  <si>
    <t>Kajuhova 5, 3000 Celje</t>
  </si>
  <si>
    <t>x=120753, y=520308</t>
  </si>
  <si>
    <t>25/1149</t>
  </si>
  <si>
    <t>CIRKULANE 57, CIRKULANE</t>
  </si>
  <si>
    <t>x=133765, y=576901</t>
  </si>
  <si>
    <t>25/1152</t>
  </si>
  <si>
    <t>25/1153</t>
  </si>
  <si>
    <t>25/1154</t>
  </si>
  <si>
    <t>VRTEC, FOCHEVA UL.</t>
  </si>
  <si>
    <t>FOCHEVA UL.51 , 2000 Maribor</t>
  </si>
  <si>
    <t>x=155795, y=549934</t>
  </si>
  <si>
    <t>25/1155</t>
  </si>
  <si>
    <t>25/1156</t>
  </si>
  <si>
    <t>25/1157</t>
  </si>
  <si>
    <t>25/1158</t>
  </si>
  <si>
    <t>25/1159</t>
  </si>
  <si>
    <t>25/1161</t>
  </si>
  <si>
    <t>25/1163</t>
  </si>
  <si>
    <t>25/1164</t>
  </si>
  <si>
    <t>25/1165</t>
  </si>
  <si>
    <t>25/1166</t>
  </si>
  <si>
    <t>25/1167</t>
  </si>
  <si>
    <t>25/1168</t>
  </si>
  <si>
    <t>VVO STUDENCI; ENOTA RADVANJE</t>
  </si>
  <si>
    <t>Grizoldova 1, 2000 Maribor</t>
  </si>
  <si>
    <t>25/1169</t>
  </si>
  <si>
    <t>25/1170</t>
  </si>
  <si>
    <t>25/1172</t>
  </si>
  <si>
    <t>VVO BENEDIKT</t>
  </si>
  <si>
    <t>x=163059, y=568735</t>
  </si>
  <si>
    <t>25/1174</t>
  </si>
  <si>
    <t>x=83716, y=397351</t>
  </si>
  <si>
    <t>25/1175</t>
  </si>
  <si>
    <t>25/1176</t>
  </si>
  <si>
    <t>Picerija Picikato</t>
  </si>
  <si>
    <t>Teharje 21, 3221 Teharje</t>
  </si>
  <si>
    <t>x=120614, y=523733</t>
  </si>
  <si>
    <t>25/1177</t>
  </si>
  <si>
    <t>25/1178</t>
  </si>
  <si>
    <t>Delpinova ulica 16, 5000 Nova Gorica</t>
  </si>
  <si>
    <t>25/1179</t>
  </si>
  <si>
    <t>Miren 137, 5291 Miren</t>
  </si>
  <si>
    <t xml:space="preserve">pipa na koritu </t>
  </si>
  <si>
    <t>25/1180</t>
  </si>
  <si>
    <t>Vipavska cesta 2C, 5000 Nova Gorica</t>
  </si>
  <si>
    <t>25/1182</t>
  </si>
  <si>
    <t>25/1183</t>
  </si>
  <si>
    <t>25/1191</t>
  </si>
  <si>
    <t>25/1193</t>
  </si>
  <si>
    <t>Prosenjakovci 97c, Prosenjakovci, 9207 Prosenjakovci - Partosfalva</t>
  </si>
  <si>
    <t>x=178737, y=600228</t>
  </si>
  <si>
    <t>25/1194</t>
  </si>
  <si>
    <t>Knap Franc</t>
  </si>
  <si>
    <t>x=178791, y=578818</t>
  </si>
  <si>
    <t>25/1195</t>
  </si>
  <si>
    <t>25/1197</t>
  </si>
  <si>
    <t>Mencigar Simona</t>
  </si>
  <si>
    <t>x=183065, y=578995</t>
  </si>
  <si>
    <t>25/1198</t>
  </si>
  <si>
    <t>25/1199</t>
  </si>
  <si>
    <t>25/1200</t>
  </si>
  <si>
    <t>x=127923, y=457902</t>
  </si>
  <si>
    <t>25/1201</t>
  </si>
  <si>
    <t>x=103374, y=465090</t>
  </si>
  <si>
    <t>25/1203</t>
  </si>
  <si>
    <t>25/1204</t>
  </si>
  <si>
    <t>25/1205</t>
  </si>
  <si>
    <t>25/1206</t>
  </si>
  <si>
    <t>Mercator, market Krivec</t>
  </si>
  <si>
    <t>Krivec 5, 1000 Ljubljana</t>
  </si>
  <si>
    <t>x=103914, y=458146</t>
  </si>
  <si>
    <t>25/1207</t>
  </si>
  <si>
    <t>x=97131, y=454844</t>
  </si>
  <si>
    <t>25/1208</t>
  </si>
  <si>
    <t>25/1209</t>
  </si>
  <si>
    <t>25/1210</t>
  </si>
  <si>
    <t>Vrtec Kolezija- Enota Murgle</t>
  </si>
  <si>
    <t>Pod bukvami 11, Ljubljana Murgle, 1000 Ljubljana</t>
  </si>
  <si>
    <t>x=99066, y=460852</t>
  </si>
  <si>
    <t>25/1211</t>
  </si>
  <si>
    <t>25/1213</t>
  </si>
  <si>
    <t>25/1214</t>
  </si>
  <si>
    <t>RADGONSKA CESTA 10, 9252 Radenci</t>
  </si>
  <si>
    <t>25/1217</t>
  </si>
  <si>
    <t>25/1218</t>
  </si>
  <si>
    <t>25/1219</t>
  </si>
  <si>
    <t>25/1220</t>
  </si>
  <si>
    <t>25/1223</t>
  </si>
  <si>
    <t>25/1224</t>
  </si>
  <si>
    <t>25/1227</t>
  </si>
  <si>
    <t>25/1230</t>
  </si>
  <si>
    <t>x=81306, y=498614</t>
  </si>
  <si>
    <t>25/1231</t>
  </si>
  <si>
    <t>25/1232</t>
  </si>
  <si>
    <t>25/1233</t>
  </si>
  <si>
    <t>x=128767, y=538771</t>
  </si>
  <si>
    <t>25/1235</t>
  </si>
  <si>
    <t>25/1237</t>
  </si>
  <si>
    <t>25/1239</t>
  </si>
  <si>
    <t>x=62995, y=412757</t>
  </si>
  <si>
    <t>25/1242</t>
  </si>
  <si>
    <t>25/1243</t>
  </si>
  <si>
    <t>25/1244</t>
  </si>
  <si>
    <t>Vinica, Bife KZ</t>
  </si>
  <si>
    <t>Vinica 3/a, 8344 Vinica</t>
  </si>
  <si>
    <t>x=35279, y=520209</t>
  </si>
  <si>
    <t>25/1245</t>
  </si>
  <si>
    <t>25/1246</t>
  </si>
  <si>
    <t>25/1248</t>
  </si>
  <si>
    <t>25/1249</t>
  </si>
  <si>
    <t>25/1250</t>
  </si>
  <si>
    <t>25/1251</t>
  </si>
  <si>
    <t>25/1252</t>
  </si>
  <si>
    <t>x=105123, y=479748</t>
  </si>
  <si>
    <t>25/1253</t>
  </si>
  <si>
    <t>25/1254</t>
  </si>
  <si>
    <t>25/1255</t>
  </si>
  <si>
    <t>25/1256</t>
  </si>
  <si>
    <t>25/1257</t>
  </si>
  <si>
    <t>25/1258</t>
  </si>
  <si>
    <t>25/1259</t>
  </si>
  <si>
    <t>25/1260</t>
  </si>
  <si>
    <t>25/1261</t>
  </si>
  <si>
    <t>25/1262</t>
  </si>
  <si>
    <t>25/1263</t>
  </si>
  <si>
    <t>25/1264</t>
  </si>
  <si>
    <t>25/1265</t>
  </si>
  <si>
    <t>25/1266</t>
  </si>
  <si>
    <t>25/1267</t>
  </si>
  <si>
    <t>25/1268</t>
  </si>
  <si>
    <t>Glinek , d.d.</t>
  </si>
  <si>
    <t>x=91852, y=467778</t>
  </si>
  <si>
    <t>25/1269</t>
  </si>
  <si>
    <t>x=93692, y=467416</t>
  </si>
  <si>
    <t>25/1270</t>
  </si>
  <si>
    <t>25/1271</t>
  </si>
  <si>
    <t>25/1272</t>
  </si>
  <si>
    <t>25/1273</t>
  </si>
  <si>
    <t>25/1274</t>
  </si>
  <si>
    <t>25/1275</t>
  </si>
  <si>
    <t>25/1278</t>
  </si>
  <si>
    <t>25/1279</t>
  </si>
  <si>
    <t>Vrtec Idrija, enota Arkova</t>
  </si>
  <si>
    <t>Arkova 7, 5280 Idrija</t>
  </si>
  <si>
    <t>x=95923, y=425209</t>
  </si>
  <si>
    <t>25/1281</t>
  </si>
  <si>
    <t>Vrtec Bovec</t>
  </si>
  <si>
    <t>Mala vas  121, 5230 Bovec</t>
  </si>
  <si>
    <t>x=133595, y=389207</t>
  </si>
  <si>
    <t>25/1282</t>
  </si>
  <si>
    <t>25/1283</t>
  </si>
  <si>
    <t>25/1286</t>
  </si>
  <si>
    <t>25/1287</t>
  </si>
  <si>
    <t>25/1289</t>
  </si>
  <si>
    <t>25/1291</t>
  </si>
  <si>
    <t>25/1293</t>
  </si>
  <si>
    <t>25/1294</t>
  </si>
  <si>
    <t>25/1295</t>
  </si>
  <si>
    <t>Preserje 60, 1352 Preserje</t>
  </si>
  <si>
    <t>x=90174, y=455012</t>
  </si>
  <si>
    <t>25/1297</t>
  </si>
  <si>
    <t>&lt;0,6</t>
  </si>
  <si>
    <t>25/1298</t>
  </si>
  <si>
    <t>25/1300</t>
  </si>
  <si>
    <t>25/1302</t>
  </si>
  <si>
    <t>25/1303</t>
  </si>
  <si>
    <t>25/1304</t>
  </si>
  <si>
    <t>25/1305</t>
  </si>
  <si>
    <t>25/1306</t>
  </si>
  <si>
    <t>25/1308</t>
  </si>
  <si>
    <t>25/1309</t>
  </si>
  <si>
    <t>25/1310</t>
  </si>
  <si>
    <t>25/1312</t>
  </si>
  <si>
    <t>25/1313</t>
  </si>
  <si>
    <t>25/1314</t>
  </si>
  <si>
    <t>ZAPOTOK-GOLO</t>
  </si>
  <si>
    <t>Golo 37, 1292 Ig</t>
  </si>
  <si>
    <t>x=85152, y=465626</t>
  </si>
  <si>
    <t>25/1315</t>
  </si>
  <si>
    <t>25/1316</t>
  </si>
  <si>
    <t>25/1318</t>
  </si>
  <si>
    <t>25/1320</t>
  </si>
  <si>
    <t>25/1321</t>
  </si>
  <si>
    <t>BOHINJSKA BISTRICA</t>
  </si>
  <si>
    <t>BOHINJSKA BISTRICA #2</t>
  </si>
  <si>
    <t>Savska ulica 10, 4264 Bohinjska Bistrica</t>
  </si>
  <si>
    <t>x=126252, y=419672</t>
  </si>
  <si>
    <t>25/1323</t>
  </si>
  <si>
    <t>25/1324</t>
  </si>
  <si>
    <t>bar Pumpa</t>
  </si>
  <si>
    <t>25/1326</t>
  </si>
  <si>
    <t>25/1327</t>
  </si>
  <si>
    <t>25/1328</t>
  </si>
  <si>
    <t>25/1329</t>
  </si>
  <si>
    <t>25/1330</t>
  </si>
  <si>
    <t>LJUBNO OB SAVINJI</t>
  </si>
  <si>
    <t>Vrtec Ljubno ob Savinji</t>
  </si>
  <si>
    <t>Cesta v Rastke 9, 3333 Ljubno ob Savinji</t>
  </si>
  <si>
    <t>x=133245, y=487571</t>
  </si>
  <si>
    <t>25/1333</t>
  </si>
  <si>
    <t>PREVALJE</t>
  </si>
  <si>
    <t>POLJE 4, 2391 Prevalje</t>
  </si>
  <si>
    <t>x=155953, y=494421</t>
  </si>
  <si>
    <t>25/1334</t>
  </si>
  <si>
    <t>25/1335</t>
  </si>
  <si>
    <t>25/1336</t>
  </si>
  <si>
    <t>25/1337</t>
  </si>
  <si>
    <t>25/1339</t>
  </si>
  <si>
    <t>25/1340</t>
  </si>
  <si>
    <t>25/1341</t>
  </si>
  <si>
    <t>25/1342</t>
  </si>
  <si>
    <t>25/1343</t>
  </si>
  <si>
    <t>25/1345</t>
  </si>
  <si>
    <t>25/1346</t>
  </si>
  <si>
    <t>25/1347</t>
  </si>
  <si>
    <t>25/1348</t>
  </si>
  <si>
    <t>25/1350</t>
  </si>
  <si>
    <t>25/1351</t>
  </si>
  <si>
    <t>25/1352</t>
  </si>
  <si>
    <t>25/1353</t>
  </si>
  <si>
    <t>25/1354</t>
  </si>
  <si>
    <t>25/1356</t>
  </si>
  <si>
    <t>25/1357</t>
  </si>
  <si>
    <t>25/1358</t>
  </si>
  <si>
    <t>25/1360</t>
  </si>
  <si>
    <t>x=155870, y=504190</t>
  </si>
  <si>
    <t>25/1361</t>
  </si>
  <si>
    <t>Gen-I</t>
  </si>
  <si>
    <t>Vinka Vodopivca  45, KROMBERK, 5000 Nova Gorica</t>
  </si>
  <si>
    <t>x=91291, y=397260</t>
  </si>
  <si>
    <t>25/1362</t>
  </si>
  <si>
    <t>25/1364</t>
  </si>
  <si>
    <t>25/1366</t>
  </si>
  <si>
    <t>LV LOVRENC NA POHORJU</t>
  </si>
  <si>
    <t>LOVRENC NA POHORJU</t>
  </si>
  <si>
    <t>x=155282, y=530100</t>
  </si>
  <si>
    <t>25/1367</t>
  </si>
  <si>
    <t>25/1368</t>
  </si>
  <si>
    <t>25/1369</t>
  </si>
  <si>
    <t>redna dezinfekcija, dezinfekcija z natrijevim hipokloritom, dezinfekcija s kalcijevim hipokloritom</t>
  </si>
  <si>
    <t>x=136174, y=530322</t>
  </si>
  <si>
    <t>25/1370</t>
  </si>
  <si>
    <t>25/1371</t>
  </si>
  <si>
    <t>25/1372</t>
  </si>
  <si>
    <t>25/1373</t>
  </si>
  <si>
    <t>Dom upokojencev Polzela</t>
  </si>
  <si>
    <t>Polzela 18, 3313 Polzela</t>
  </si>
  <si>
    <t>x=126659, y=506127</t>
  </si>
  <si>
    <t>25/1375</t>
  </si>
  <si>
    <t>25/1376</t>
  </si>
  <si>
    <t>25/1377</t>
  </si>
  <si>
    <t>25/1378</t>
  </si>
  <si>
    <t>25/1379</t>
  </si>
  <si>
    <t>Vrtec Mozirje</t>
  </si>
  <si>
    <t>x=132376, y=496915</t>
  </si>
  <si>
    <t>25/1380</t>
  </si>
  <si>
    <t>25/1381</t>
  </si>
  <si>
    <t>25/1382</t>
  </si>
  <si>
    <t>25/1383</t>
  </si>
  <si>
    <t>25/1384</t>
  </si>
  <si>
    <t>25/1385</t>
  </si>
  <si>
    <t>25/1386</t>
  </si>
  <si>
    <t>25/1387</t>
  </si>
  <si>
    <t>Novi Log 4a, 1430 Hrastnik</t>
  </si>
  <si>
    <t>x=110839, y=506718</t>
  </si>
  <si>
    <t>25/1388</t>
  </si>
  <si>
    <t>25/1389</t>
  </si>
  <si>
    <t>25/1390</t>
  </si>
  <si>
    <t>25/1391</t>
  </si>
  <si>
    <t>25/1392</t>
  </si>
  <si>
    <t>25/1393</t>
  </si>
  <si>
    <t>25/1395</t>
  </si>
  <si>
    <t>VRTEC KAMNICA</t>
  </si>
  <si>
    <t>VRBANSKA C.93 A, 2351 Kamnica</t>
  </si>
  <si>
    <t>x=159454, y=547334</t>
  </si>
  <si>
    <t>25/1396</t>
  </si>
  <si>
    <t>25/1397</t>
  </si>
  <si>
    <t>25/1398</t>
  </si>
  <si>
    <t>25/1399</t>
  </si>
  <si>
    <t>25/1400</t>
  </si>
  <si>
    <t>ZATOLMIN - DOLJE</t>
  </si>
  <si>
    <t>Zatolmin 1, 5220 Tolmin</t>
  </si>
  <si>
    <t>x=117423, y=402168</t>
  </si>
  <si>
    <t>25/1401</t>
  </si>
  <si>
    <t>25/1402</t>
  </si>
  <si>
    <t>VVO SELNICA</t>
  </si>
  <si>
    <t>x=156426, y=537884</t>
  </si>
  <si>
    <t>25/1403</t>
  </si>
  <si>
    <t>25/1404</t>
  </si>
  <si>
    <t>25/1406</t>
  </si>
  <si>
    <t>25/1407</t>
  </si>
  <si>
    <t>25/1408</t>
  </si>
  <si>
    <t>25/1409</t>
  </si>
  <si>
    <t>25/1410</t>
  </si>
  <si>
    <t>25/1411</t>
  </si>
  <si>
    <t>25/1412</t>
  </si>
  <si>
    <t>25/1413</t>
  </si>
  <si>
    <t>25/1414</t>
  </si>
  <si>
    <t>25/1415</t>
  </si>
  <si>
    <t>25/1416</t>
  </si>
  <si>
    <t>25/1417</t>
  </si>
  <si>
    <t>25/1421</t>
  </si>
  <si>
    <t>x=140943, y=578330</t>
  </si>
  <si>
    <t>25/1424</t>
  </si>
  <si>
    <t>&lt;0,012</t>
  </si>
  <si>
    <t>&lt;0,017</t>
  </si>
  <si>
    <t>25/1425</t>
  </si>
  <si>
    <t>25/1426</t>
  </si>
  <si>
    <t>25/1427</t>
  </si>
  <si>
    <t>25/1428</t>
  </si>
  <si>
    <t>25/1429</t>
  </si>
  <si>
    <t>25/1430</t>
  </si>
  <si>
    <t>25/1432</t>
  </si>
  <si>
    <t>25/1433</t>
  </si>
  <si>
    <t>25/1434</t>
  </si>
  <si>
    <t>25/1435</t>
  </si>
  <si>
    <t>Begunje</t>
  </si>
  <si>
    <t>Begunje 26, Begunje, 1382 Begunje pri Cerknici</t>
  </si>
  <si>
    <t>x=74902, y=452381</t>
  </si>
  <si>
    <t>25/1436</t>
  </si>
  <si>
    <t>25/1437</t>
  </si>
  <si>
    <t>25/1438</t>
  </si>
  <si>
    <t>25/1439</t>
  </si>
  <si>
    <t>25/1440</t>
  </si>
  <si>
    <t>25/1441</t>
  </si>
  <si>
    <t>25/1442</t>
  </si>
  <si>
    <t>25/1443</t>
  </si>
  <si>
    <t>25/1444</t>
  </si>
  <si>
    <t>25/1445</t>
  </si>
  <si>
    <t>25/1448</t>
  </si>
  <si>
    <t>25/1449</t>
  </si>
  <si>
    <t>25/1451</t>
  </si>
  <si>
    <t>25/1452</t>
  </si>
  <si>
    <t>25/1453</t>
  </si>
  <si>
    <t>x=163346, y=517271</t>
  </si>
  <si>
    <t>25/1454</t>
  </si>
  <si>
    <t>25/1455</t>
  </si>
  <si>
    <t>25/1457</t>
  </si>
  <si>
    <t>25/1458</t>
  </si>
  <si>
    <t>25/1459</t>
  </si>
  <si>
    <t>25/1460</t>
  </si>
  <si>
    <t>25/1462</t>
  </si>
  <si>
    <t>pipa v kihinji</t>
  </si>
  <si>
    <t>25/1463</t>
  </si>
  <si>
    <t>25/1464</t>
  </si>
  <si>
    <t>25/1465</t>
  </si>
  <si>
    <t>ROVE</t>
  </si>
  <si>
    <t>Trgovina Minimarket</t>
  </si>
  <si>
    <t>C. 9 avgusta 109, Zagorje, 1410 Zagorje ob Savi</t>
  </si>
  <si>
    <t>x=110571, y=500641</t>
  </si>
  <si>
    <t>25/1466</t>
  </si>
  <si>
    <t>25/1467</t>
  </si>
  <si>
    <t>25/1468</t>
  </si>
  <si>
    <t>25/1469</t>
  </si>
  <si>
    <t>25/1470</t>
  </si>
  <si>
    <t>25/1471</t>
  </si>
  <si>
    <t>25/1472</t>
  </si>
  <si>
    <t>25/1473</t>
  </si>
  <si>
    <t>25/1474</t>
  </si>
  <si>
    <t>25/1475</t>
  </si>
  <si>
    <t>Radovica 51</t>
  </si>
  <si>
    <t>25/1476</t>
  </si>
  <si>
    <t>25/1477</t>
  </si>
  <si>
    <t>25/1478</t>
  </si>
  <si>
    <t>25/1479</t>
  </si>
  <si>
    <t>25/1480</t>
  </si>
  <si>
    <t>25/1481</t>
  </si>
  <si>
    <t>25/1482</t>
  </si>
  <si>
    <t>25/1483</t>
  </si>
  <si>
    <t>25/1484</t>
  </si>
  <si>
    <t>25/1485</t>
  </si>
  <si>
    <t>25/1486</t>
  </si>
  <si>
    <t>25/1487</t>
  </si>
  <si>
    <t>25/1488</t>
  </si>
  <si>
    <t>25/1489</t>
  </si>
  <si>
    <t>25/1490</t>
  </si>
  <si>
    <t>25/1492</t>
  </si>
  <si>
    <t>25/1493</t>
  </si>
  <si>
    <t>25/1494</t>
  </si>
  <si>
    <t>25/1495</t>
  </si>
  <si>
    <t>25/1496</t>
  </si>
  <si>
    <t>25/1497</t>
  </si>
  <si>
    <t>25/1498</t>
  </si>
  <si>
    <t>25/1499</t>
  </si>
  <si>
    <t>25/1500</t>
  </si>
  <si>
    <t>25/1501</t>
  </si>
  <si>
    <t>Gobarska pot 24</t>
  </si>
  <si>
    <t>25/1502</t>
  </si>
  <si>
    <t>25/1503</t>
  </si>
  <si>
    <t>25/1504</t>
  </si>
  <si>
    <t>25/1505</t>
  </si>
  <si>
    <t>25/1506</t>
  </si>
  <si>
    <t>25/1507</t>
  </si>
  <si>
    <t>25/1508</t>
  </si>
  <si>
    <t>25/1509</t>
  </si>
  <si>
    <t>25/1510</t>
  </si>
  <si>
    <t>25/1511</t>
  </si>
  <si>
    <t>25/1512</t>
  </si>
  <si>
    <t>25/1513</t>
  </si>
  <si>
    <t>25/1514</t>
  </si>
  <si>
    <t>25/1515</t>
  </si>
  <si>
    <t>25/1516</t>
  </si>
  <si>
    <t>NOVA GORA</t>
  </si>
  <si>
    <t>x=90712, y=520314</t>
  </si>
  <si>
    <t>25/1517</t>
  </si>
  <si>
    <t>25/1518</t>
  </si>
  <si>
    <t>25/1519</t>
  </si>
  <si>
    <t>25/1520</t>
  </si>
  <si>
    <t>25/1521</t>
  </si>
  <si>
    <t>25/1522</t>
  </si>
  <si>
    <t>25/1523</t>
  </si>
  <si>
    <t>25/1526</t>
  </si>
  <si>
    <t>25/1527</t>
  </si>
  <si>
    <t>25/1528</t>
  </si>
  <si>
    <t>25/1529</t>
  </si>
  <si>
    <t>25/1530</t>
  </si>
  <si>
    <t>25/1531</t>
  </si>
  <si>
    <t>25/1532</t>
  </si>
  <si>
    <t>PODGORJE - SG</t>
  </si>
  <si>
    <t>Vrtec Podgorje</t>
  </si>
  <si>
    <t>Podgorje 173, 2381 Podgorje pri Slovenj Gradcu</t>
  </si>
  <si>
    <t>x=147499, y=507073</t>
  </si>
  <si>
    <t>25/1534</t>
  </si>
  <si>
    <t>25/1535</t>
  </si>
  <si>
    <t>25/1536</t>
  </si>
  <si>
    <t>25/1537</t>
  </si>
  <si>
    <t>25/1538</t>
  </si>
  <si>
    <t>25/1539</t>
  </si>
  <si>
    <t>25/1540</t>
  </si>
  <si>
    <t>25/1541</t>
  </si>
  <si>
    <t>25/1542</t>
  </si>
  <si>
    <t>25/1543</t>
  </si>
  <si>
    <t>Vrzdenec 22, Vrzdenec, 1354 Horjul</t>
  </si>
  <si>
    <t>x=97465, y=443775</t>
  </si>
  <si>
    <t>25/1544</t>
  </si>
  <si>
    <t>25/1546</t>
  </si>
  <si>
    <t>25/1547</t>
  </si>
  <si>
    <t>25/1548</t>
  </si>
  <si>
    <t>25/1549</t>
  </si>
  <si>
    <t>25/1550</t>
  </si>
  <si>
    <t>25/1552</t>
  </si>
  <si>
    <t>25/1553</t>
  </si>
  <si>
    <t>25/1554</t>
  </si>
  <si>
    <t>25/1556</t>
  </si>
  <si>
    <t>25/1557</t>
  </si>
  <si>
    <t>25/1558</t>
  </si>
  <si>
    <t>25/1559</t>
  </si>
  <si>
    <t>25/1560</t>
  </si>
  <si>
    <t>25/1561</t>
  </si>
  <si>
    <t>25/1562</t>
  </si>
  <si>
    <t>25/1563</t>
  </si>
  <si>
    <t>25/1565</t>
  </si>
  <si>
    <t>25/1567</t>
  </si>
  <si>
    <t>25/1568</t>
  </si>
  <si>
    <t>25/1569</t>
  </si>
  <si>
    <t>25/1570</t>
  </si>
  <si>
    <t>25/1571</t>
  </si>
  <si>
    <t>25/1572</t>
  </si>
  <si>
    <t>25/1573</t>
  </si>
  <si>
    <t>25/1574</t>
  </si>
  <si>
    <t>25/1575</t>
  </si>
  <si>
    <t>25/1577</t>
  </si>
  <si>
    <t>25/1578</t>
  </si>
  <si>
    <t>25/1580</t>
  </si>
  <si>
    <t>25/1581</t>
  </si>
  <si>
    <t>25/1583</t>
  </si>
  <si>
    <t>25/1584</t>
  </si>
  <si>
    <t>25/1586</t>
  </si>
  <si>
    <t>25/1588</t>
  </si>
  <si>
    <t>25/1590</t>
  </si>
  <si>
    <t>25/1591</t>
  </si>
  <si>
    <t>25/1592</t>
  </si>
  <si>
    <t>25/1593</t>
  </si>
  <si>
    <t>25/1594</t>
  </si>
  <si>
    <t>25/1595</t>
  </si>
  <si>
    <t>25/1596</t>
  </si>
  <si>
    <t>25/1598</t>
  </si>
  <si>
    <t>25/1599</t>
  </si>
  <si>
    <t>25/1600</t>
  </si>
  <si>
    <t>25/1601</t>
  </si>
  <si>
    <t>25/1604</t>
  </si>
  <si>
    <t>25/1605</t>
  </si>
  <si>
    <t>25/1606</t>
  </si>
  <si>
    <t>25/1607</t>
  </si>
  <si>
    <t>25/1608</t>
  </si>
  <si>
    <t>25/1611</t>
  </si>
  <si>
    <t>25/1612</t>
  </si>
  <si>
    <t>25/1613</t>
  </si>
  <si>
    <t>25/1614</t>
  </si>
  <si>
    <t>25/1615</t>
  </si>
  <si>
    <t>25/1616</t>
  </si>
  <si>
    <t>25/1617</t>
  </si>
  <si>
    <t>25/1618</t>
  </si>
  <si>
    <t>25/1619</t>
  </si>
  <si>
    <t>25/1621</t>
  </si>
  <si>
    <t>25/1622</t>
  </si>
  <si>
    <t>25/1623</t>
  </si>
  <si>
    <t>25/1624</t>
  </si>
  <si>
    <t>25/1626</t>
  </si>
  <si>
    <t>25/1627</t>
  </si>
  <si>
    <t>25/1629</t>
  </si>
  <si>
    <t>25/1630</t>
  </si>
  <si>
    <t>25/1631</t>
  </si>
  <si>
    <t>25/1632</t>
  </si>
  <si>
    <t>25/1633</t>
  </si>
  <si>
    <t>25/1634</t>
  </si>
  <si>
    <t>25/1636</t>
  </si>
  <si>
    <t>25/1637</t>
  </si>
  <si>
    <t>25/1639</t>
  </si>
  <si>
    <t>25/1640</t>
  </si>
  <si>
    <t>25/1641</t>
  </si>
  <si>
    <t>25/1642</t>
  </si>
  <si>
    <t>25/1643</t>
  </si>
  <si>
    <t>25/1644</t>
  </si>
  <si>
    <t>25/1645</t>
  </si>
  <si>
    <t>25/1646</t>
  </si>
  <si>
    <t>25/1648</t>
  </si>
  <si>
    <t>25/1649</t>
  </si>
  <si>
    <t>25/1651</t>
  </si>
  <si>
    <t>25/1652</t>
  </si>
  <si>
    <t>25/1654</t>
  </si>
  <si>
    <t>25/1655</t>
  </si>
  <si>
    <t>25/1656</t>
  </si>
  <si>
    <t>25/1657</t>
  </si>
  <si>
    <t>25/1658</t>
  </si>
  <si>
    <t>25/1659</t>
  </si>
  <si>
    <t>25/1661</t>
  </si>
  <si>
    <t>25/1662</t>
  </si>
  <si>
    <t>25/1663</t>
  </si>
  <si>
    <t>25/1665</t>
  </si>
  <si>
    <t>25/1666</t>
  </si>
  <si>
    <t>25/1667</t>
  </si>
  <si>
    <t>25/1668</t>
  </si>
  <si>
    <t>25/1669</t>
  </si>
  <si>
    <t>25/1670</t>
  </si>
  <si>
    <t>25/1671</t>
  </si>
  <si>
    <t>25/1672</t>
  </si>
  <si>
    <t>25/1673</t>
  </si>
  <si>
    <t>25/1674</t>
  </si>
  <si>
    <t>25/1675</t>
  </si>
  <si>
    <t>25/1676</t>
  </si>
  <si>
    <t>25/1677</t>
  </si>
  <si>
    <t>25/1679</t>
  </si>
  <si>
    <t>25/1680</t>
  </si>
  <si>
    <t>25/1681</t>
  </si>
  <si>
    <t>25/1682</t>
  </si>
  <si>
    <t>25/1685</t>
  </si>
  <si>
    <t>25/1686</t>
  </si>
  <si>
    <t>25/1688</t>
  </si>
  <si>
    <t>25/1689</t>
  </si>
  <si>
    <t>25/1690</t>
  </si>
  <si>
    <t>25/1691</t>
  </si>
  <si>
    <t>25/1693</t>
  </si>
  <si>
    <t>25/1694</t>
  </si>
  <si>
    <t>VODARNA TERBEGOVCI</t>
  </si>
  <si>
    <t>25/1695</t>
  </si>
  <si>
    <t>25/1696</t>
  </si>
  <si>
    <t>25/1697</t>
  </si>
  <si>
    <t>25/1698</t>
  </si>
  <si>
    <t>25/1700</t>
  </si>
  <si>
    <t>25/1702</t>
  </si>
  <si>
    <t>VRTEC ILIRSKA BISTRICA</t>
  </si>
  <si>
    <t>VILHARJEVA CESTA 13A, 6250 Ilirska Bistrica</t>
  </si>
  <si>
    <t>x=47860, y=440881</t>
  </si>
  <si>
    <t>25/1704</t>
  </si>
  <si>
    <t>25/1705</t>
  </si>
  <si>
    <t>25/1707</t>
  </si>
  <si>
    <t>25/1709</t>
  </si>
  <si>
    <t>25/1710</t>
  </si>
  <si>
    <t>25/1711</t>
  </si>
  <si>
    <t>25/1712</t>
  </si>
  <si>
    <t>25/1714</t>
  </si>
  <si>
    <t>25/1715</t>
  </si>
  <si>
    <t>25/1716</t>
  </si>
  <si>
    <t>&lt;0,19</t>
  </si>
  <si>
    <t>25/1717</t>
  </si>
  <si>
    <t>25/1722</t>
  </si>
  <si>
    <t>25/1723</t>
  </si>
  <si>
    <t>25/1724</t>
  </si>
  <si>
    <t>25/1725</t>
  </si>
  <si>
    <t>25/1726</t>
  </si>
  <si>
    <t>25/1727</t>
  </si>
  <si>
    <t>25/1730</t>
  </si>
  <si>
    <t>25/1736</t>
  </si>
  <si>
    <t>25/1739</t>
  </si>
  <si>
    <t>25/1741</t>
  </si>
  <si>
    <t>25/1750</t>
  </si>
  <si>
    <t>25/1751</t>
  </si>
  <si>
    <t>25/1752</t>
  </si>
  <si>
    <t>25/1753</t>
  </si>
  <si>
    <t>25/1754</t>
  </si>
  <si>
    <t>25/1756</t>
  </si>
  <si>
    <t>25/1757</t>
  </si>
  <si>
    <t>25/1759</t>
  </si>
  <si>
    <t>25/1760</t>
  </si>
  <si>
    <t>25/1764</t>
  </si>
  <si>
    <t>25/1766</t>
  </si>
  <si>
    <t>25/1771</t>
  </si>
  <si>
    <t>25/1773</t>
  </si>
  <si>
    <t>25/1777</t>
  </si>
  <si>
    <t>25/1778</t>
  </si>
  <si>
    <t>25/1780</t>
  </si>
  <si>
    <t>25/1784</t>
  </si>
  <si>
    <t>25/1785</t>
  </si>
  <si>
    <t>25/1791</t>
  </si>
  <si>
    <t>25/1795</t>
  </si>
  <si>
    <t>25/1797</t>
  </si>
  <si>
    <t>25/1799</t>
  </si>
  <si>
    <t>25/1801</t>
  </si>
  <si>
    <t>25/1812</t>
  </si>
  <si>
    <t>25/1814</t>
  </si>
  <si>
    <t>25/1819</t>
  </si>
  <si>
    <t>25/1832</t>
  </si>
  <si>
    <t>25/1833</t>
  </si>
  <si>
    <t>25/1835</t>
  </si>
  <si>
    <t>25/1836</t>
  </si>
  <si>
    <t>25/1842</t>
  </si>
  <si>
    <t>25/1843</t>
  </si>
  <si>
    <t>25/1845</t>
  </si>
  <si>
    <t>25/1849</t>
  </si>
  <si>
    <t>25/1850</t>
  </si>
  <si>
    <t>25/1853</t>
  </si>
  <si>
    <t>25/1860</t>
  </si>
  <si>
    <t>25/1863</t>
  </si>
  <si>
    <t>25/1865</t>
  </si>
  <si>
    <t>25/1867</t>
  </si>
  <si>
    <t>25/1870</t>
  </si>
  <si>
    <t>25/1871</t>
  </si>
  <si>
    <t>25/1872</t>
  </si>
  <si>
    <t>25/1875</t>
  </si>
  <si>
    <t>25/1876</t>
  </si>
  <si>
    <t>25/1878</t>
  </si>
  <si>
    <t>25/1879</t>
  </si>
  <si>
    <t>bife Mol</t>
  </si>
  <si>
    <t>25/1880</t>
  </si>
  <si>
    <t>25/1881</t>
  </si>
  <si>
    <t>25/1884</t>
  </si>
  <si>
    <t>25/1886</t>
  </si>
  <si>
    <t>25/1889</t>
  </si>
  <si>
    <t>25/1890</t>
  </si>
  <si>
    <t>25/1892</t>
  </si>
  <si>
    <t>25/1893</t>
  </si>
  <si>
    <t>25/1896</t>
  </si>
  <si>
    <t>25/1897</t>
  </si>
  <si>
    <t>25/1903</t>
  </si>
  <si>
    <t>25/1908</t>
  </si>
  <si>
    <t>25/1910</t>
  </si>
  <si>
    <t>25/1911</t>
  </si>
  <si>
    <t>25/1914</t>
  </si>
  <si>
    <t>25/1918</t>
  </si>
  <si>
    <t>25/1921</t>
  </si>
  <si>
    <t>25/1928</t>
  </si>
  <si>
    <t>25/1929</t>
  </si>
  <si>
    <t>25/1930</t>
  </si>
  <si>
    <t>25/1932</t>
  </si>
  <si>
    <t>25/1933</t>
  </si>
  <si>
    <t>25/1934</t>
  </si>
  <si>
    <t>25/1936</t>
  </si>
  <si>
    <t>25/1938</t>
  </si>
  <si>
    <t>25/1939</t>
  </si>
  <si>
    <t>DVORJANE 15, DVORJANE, 2241 Spodnji Duplek</t>
  </si>
  <si>
    <t>x=150429, y=559602</t>
  </si>
  <si>
    <t>25/1942</t>
  </si>
  <si>
    <t>25/1946</t>
  </si>
  <si>
    <t>25/1947</t>
  </si>
  <si>
    <t>25/1948</t>
  </si>
  <si>
    <t>25/1949</t>
  </si>
  <si>
    <t>25/1953</t>
  </si>
  <si>
    <t>25/1959</t>
  </si>
  <si>
    <t>25/1963</t>
  </si>
  <si>
    <t>25/1964</t>
  </si>
  <si>
    <t>25/1966</t>
  </si>
  <si>
    <t>25/1967</t>
  </si>
  <si>
    <t>25/1968</t>
  </si>
  <si>
    <t>25/1969</t>
  </si>
  <si>
    <t>25/1971</t>
  </si>
  <si>
    <t>25/1974</t>
  </si>
  <si>
    <t>25/1977</t>
  </si>
  <si>
    <t>25/1982</t>
  </si>
  <si>
    <t>25/1984</t>
  </si>
  <si>
    <t>25/1987</t>
  </si>
  <si>
    <t>25/1994</t>
  </si>
  <si>
    <t>25/1998</t>
  </si>
  <si>
    <t>25/2002</t>
  </si>
  <si>
    <t>25/2004</t>
  </si>
  <si>
    <t>25/2005</t>
  </si>
  <si>
    <t>25/2008</t>
  </si>
  <si>
    <t>25/2012</t>
  </si>
  <si>
    <t>izlivka</t>
  </si>
  <si>
    <t>25/2014</t>
  </si>
  <si>
    <t>25/2015</t>
  </si>
  <si>
    <t>25/2016</t>
  </si>
  <si>
    <t>javna izlivka</t>
  </si>
  <si>
    <t>25/2017</t>
  </si>
  <si>
    <t>25/2020</t>
  </si>
  <si>
    <t>25/2021</t>
  </si>
  <si>
    <t>25/2032</t>
  </si>
  <si>
    <t>25/2033</t>
  </si>
  <si>
    <t>25/2036</t>
  </si>
  <si>
    <t>25/2038</t>
  </si>
  <si>
    <t>25/2040</t>
  </si>
  <si>
    <t>25/2041</t>
  </si>
  <si>
    <t>25/2044</t>
  </si>
  <si>
    <t>25/2045</t>
  </si>
  <si>
    <t>25/2049</t>
  </si>
  <si>
    <t>25/2053</t>
  </si>
  <si>
    <t>25/2054</t>
  </si>
  <si>
    <t>25/2055</t>
  </si>
  <si>
    <t>25/2057</t>
  </si>
  <si>
    <t>25/2058</t>
  </si>
  <si>
    <t>25/2061</t>
  </si>
  <si>
    <t>25/2062</t>
  </si>
  <si>
    <t>25/2063</t>
  </si>
  <si>
    <t>25/2064</t>
  </si>
  <si>
    <t>25/2065</t>
  </si>
  <si>
    <t>25/2069</t>
  </si>
  <si>
    <t>25/2072</t>
  </si>
  <si>
    <t>25/2077</t>
  </si>
  <si>
    <t>25/2080</t>
  </si>
  <si>
    <t>25/2085</t>
  </si>
  <si>
    <t>25/2087</t>
  </si>
  <si>
    <t>25/2088</t>
  </si>
  <si>
    <t>25/2094</t>
  </si>
  <si>
    <t>25/2095</t>
  </si>
  <si>
    <t>25/2100</t>
  </si>
  <si>
    <t>25/2103</t>
  </si>
  <si>
    <t>25/2104</t>
  </si>
  <si>
    <t>25/2107</t>
  </si>
  <si>
    <t>25/2118</t>
  </si>
  <si>
    <t>25/2121</t>
  </si>
  <si>
    <t>25/2123</t>
  </si>
  <si>
    <t>25/2132</t>
  </si>
  <si>
    <t>25/2133</t>
  </si>
  <si>
    <t>25/2138</t>
  </si>
  <si>
    <t>25/2139</t>
  </si>
  <si>
    <t>25/2141</t>
  </si>
  <si>
    <t>25/2144</t>
  </si>
  <si>
    <t>25/2147</t>
  </si>
  <si>
    <t>25/2148</t>
  </si>
  <si>
    <t>25/2152</t>
  </si>
  <si>
    <t>25/2153</t>
  </si>
  <si>
    <t>25/2156</t>
  </si>
  <si>
    <t>25/2158</t>
  </si>
  <si>
    <t>25/2159</t>
  </si>
  <si>
    <t>25/2161</t>
  </si>
  <si>
    <t>25/2166</t>
  </si>
  <si>
    <t>25/2169</t>
  </si>
  <si>
    <t>25/2170</t>
  </si>
  <si>
    <t>25/2172</t>
  </si>
  <si>
    <t>25/2173</t>
  </si>
  <si>
    <t>25/2175</t>
  </si>
  <si>
    <t>25/2178</t>
  </si>
  <si>
    <t>25/2179</t>
  </si>
  <si>
    <t>25/2182</t>
  </si>
  <si>
    <t>25/2183</t>
  </si>
  <si>
    <t>Vrtec Filovci</t>
  </si>
  <si>
    <t>Filovci 13, Filovci, 9222 Bogojina</t>
  </si>
  <si>
    <t>25/2185</t>
  </si>
  <si>
    <t>25/2193</t>
  </si>
  <si>
    <t>25/2194</t>
  </si>
  <si>
    <t>25/2198</t>
  </si>
  <si>
    <t>25/2200</t>
  </si>
  <si>
    <t>25/2202</t>
  </si>
  <si>
    <t>25/2206</t>
  </si>
  <si>
    <t>x=126665, y=491758</t>
  </si>
  <si>
    <t>25/2209</t>
  </si>
  <si>
    <t>25/2210</t>
  </si>
  <si>
    <t>25/2212</t>
  </si>
  <si>
    <t>ZAPLANA STRMICA 5</t>
  </si>
  <si>
    <t>STRMICA 5, STRMICA, 1360 Vrhnika</t>
  </si>
  <si>
    <t>25/2213</t>
  </si>
  <si>
    <t>GORE - DOLE</t>
  </si>
  <si>
    <t>GORE 17, 5280 Idrija</t>
  </si>
  <si>
    <t>x=95994, y=427590</t>
  </si>
  <si>
    <t>25/2214</t>
  </si>
  <si>
    <t>IDRSKO</t>
  </si>
  <si>
    <t>Gostilna Jazbec</t>
  </si>
  <si>
    <t>Idrsko 56, 5222 Kobarid</t>
  </si>
  <si>
    <t>x=122005, y=391851</t>
  </si>
  <si>
    <t>25/2215</t>
  </si>
  <si>
    <t>25/2216</t>
  </si>
  <si>
    <t>KRAJEVNA SKUPNOST CERKLJE OB KRKI</t>
  </si>
  <si>
    <t>CERKLJE OB KRKI</t>
  </si>
  <si>
    <t>IZVIR</t>
  </si>
  <si>
    <t>x=80877, y=540665</t>
  </si>
  <si>
    <t>25/2217</t>
  </si>
  <si>
    <t>25/2219</t>
  </si>
  <si>
    <t>25/2220</t>
  </si>
  <si>
    <t>25/2225</t>
  </si>
  <si>
    <t>25/2226</t>
  </si>
  <si>
    <t>25/2227</t>
  </si>
  <si>
    <t>SRPENICA</t>
  </si>
  <si>
    <t>Javna izlivka pred cerkvijo</t>
  </si>
  <si>
    <t>Srpenica 70, 5224 Srpenica</t>
  </si>
  <si>
    <t>x=128596, y=384700</t>
  </si>
  <si>
    <t>25/2228</t>
  </si>
  <si>
    <t>25/2231</t>
  </si>
  <si>
    <t>x=106167, y=416551</t>
  </si>
  <si>
    <t>25/2237</t>
  </si>
  <si>
    <t>25/2238</t>
  </si>
  <si>
    <t>zunanje korito</t>
  </si>
  <si>
    <t>25/2239</t>
  </si>
  <si>
    <t>25/2241</t>
  </si>
  <si>
    <t>25/2242</t>
  </si>
  <si>
    <t>Tuhinj</t>
  </si>
  <si>
    <t>VODOVOD TUHINJ</t>
  </si>
  <si>
    <t>TUHINJ</t>
  </si>
  <si>
    <t>Zgornji Tuhinj 45, Zgornji Tuhinj, 1219 Laze v Tuhinju</t>
  </si>
  <si>
    <t>x=120235, y=482673</t>
  </si>
  <si>
    <t>25/2243</t>
  </si>
  <si>
    <t>WC umivalnik</t>
  </si>
  <si>
    <t>25/2245</t>
  </si>
  <si>
    <t>BREGINJ - LOGJE</t>
  </si>
  <si>
    <t>Javna izlivka nasproti Breginj 116</t>
  </si>
  <si>
    <t>5223 Breginj</t>
  </si>
  <si>
    <t>x=129550, y=378881</t>
  </si>
  <si>
    <t>25/2246</t>
  </si>
  <si>
    <t>25/2248</t>
  </si>
  <si>
    <t>25/2250</t>
  </si>
  <si>
    <t>25/2251</t>
  </si>
  <si>
    <t>25/2255</t>
  </si>
  <si>
    <t>25/2260</t>
  </si>
  <si>
    <t>25/2271</t>
  </si>
  <si>
    <t>GORICA</t>
  </si>
  <si>
    <t>Zbiralnica Mleka Gorica</t>
  </si>
  <si>
    <t>Gorica , Gorica, 9201 Puconci</t>
  </si>
  <si>
    <t>x=173825, y=587768</t>
  </si>
  <si>
    <t>25/2274</t>
  </si>
  <si>
    <t>25/2276</t>
  </si>
  <si>
    <t>25/2278</t>
  </si>
  <si>
    <t>25/2279</t>
  </si>
  <si>
    <t>25/2280</t>
  </si>
  <si>
    <t>25/2283</t>
  </si>
  <si>
    <t>25/2290</t>
  </si>
  <si>
    <t>TREBELNO</t>
  </si>
  <si>
    <t>Trebelno 43, 8231 Trebelno</t>
  </si>
  <si>
    <t>x=85259, y=511953</t>
  </si>
  <si>
    <t>25/2293</t>
  </si>
  <si>
    <t>25/2296</t>
  </si>
  <si>
    <t>25/2297</t>
  </si>
  <si>
    <t>25/2302</t>
  </si>
  <si>
    <t>25/2312</t>
  </si>
  <si>
    <t>25/2315</t>
  </si>
  <si>
    <t>25/2318</t>
  </si>
  <si>
    <t>Vodovodna zadruga Selce</t>
  </si>
  <si>
    <t xml:space="preserve">SELCE </t>
  </si>
  <si>
    <t>SELCE</t>
  </si>
  <si>
    <t>GOSTILNA ORNIK</t>
  </si>
  <si>
    <t>x=153442, y=563415</t>
  </si>
  <si>
    <t>25/2325</t>
  </si>
  <si>
    <t>25/2334</t>
  </si>
  <si>
    <t>25/2345</t>
  </si>
  <si>
    <t>25/2346</t>
  </si>
  <si>
    <t>25/2347</t>
  </si>
  <si>
    <t>25/2354</t>
  </si>
  <si>
    <t>25/2355</t>
  </si>
  <si>
    <t>25/2356</t>
  </si>
  <si>
    <t>25/2357</t>
  </si>
  <si>
    <t>25/2358</t>
  </si>
  <si>
    <t>25/2360</t>
  </si>
  <si>
    <t>25/2365</t>
  </si>
  <si>
    <t>25/2369</t>
  </si>
  <si>
    <t>25/2388</t>
  </si>
  <si>
    <t>25/2392</t>
  </si>
  <si>
    <t>25/2393</t>
  </si>
  <si>
    <t>25/2397</t>
  </si>
  <si>
    <t>25/2400</t>
  </si>
  <si>
    <t>x=70933, y=506686</t>
  </si>
  <si>
    <t>25/2404</t>
  </si>
  <si>
    <t>25/2406</t>
  </si>
  <si>
    <t>25/2412</t>
  </si>
  <si>
    <t>25/2413</t>
  </si>
  <si>
    <t>25/2416</t>
  </si>
  <si>
    <t>MARJAN RAUTER</t>
  </si>
  <si>
    <t>MURSKI VRH 35, MURSKI VRH, 9252 Radenci</t>
  </si>
  <si>
    <t>25/2418</t>
  </si>
  <si>
    <t>TRDKOVA - ROGAN</t>
  </si>
  <si>
    <t>Martinje , Martinje, 9203 Petrovci</t>
  </si>
  <si>
    <t>x=189701, y=587939</t>
  </si>
  <si>
    <t>25/2420</t>
  </si>
  <si>
    <t>KAMENJE</t>
  </si>
  <si>
    <t>Gor. Kamenje 7a, Gor. Kamenje, 8000 Novo mesto</t>
  </si>
  <si>
    <t>x=79093, y=512386</t>
  </si>
  <si>
    <t>25/2436</t>
  </si>
  <si>
    <t>POREBER - MARKOVO</t>
  </si>
  <si>
    <t>stanovanjski objekt Poreber, Kamnik #119</t>
  </si>
  <si>
    <t>Poreber 13, 1241 Kamnik</t>
  </si>
  <si>
    <t>x=121946, y=474362</t>
  </si>
  <si>
    <t>25/2437</t>
  </si>
  <si>
    <t>Nova sela</t>
  </si>
  <si>
    <t>Nova sela 22, 1336 Kostel</t>
  </si>
  <si>
    <t>x=40120, y=491630</t>
  </si>
  <si>
    <t>25/2438</t>
  </si>
  <si>
    <t>25/2440</t>
  </si>
  <si>
    <t>SAJEVEC - DANE</t>
  </si>
  <si>
    <t>Sajevec 16, 1310 Ribnica</t>
  </si>
  <si>
    <t>x=66639, y=477235</t>
  </si>
  <si>
    <t>25/2443</t>
  </si>
  <si>
    <t>25/2450</t>
  </si>
  <si>
    <t>GRAJSKA VAS - ST. TRG</t>
  </si>
  <si>
    <t>STARI TRG 279, 2380 Slovenj Gradec</t>
  </si>
  <si>
    <t>x=151700, y=505037</t>
  </si>
  <si>
    <t>25/2451</t>
  </si>
  <si>
    <t>x=111310, y=491088</t>
  </si>
  <si>
    <t>25/2457</t>
  </si>
  <si>
    <t>KORENO - SAMOTORICA</t>
  </si>
  <si>
    <t>stanovanjski objekt Kozjek, Koreno</t>
  </si>
  <si>
    <t>Koreno nad Horjulom 9, 1354 Horjul</t>
  </si>
  <si>
    <t>x=99333, y=445870</t>
  </si>
  <si>
    <t>25/2459</t>
  </si>
  <si>
    <t>x=118518, y=475008</t>
  </si>
  <si>
    <t>25/2463</t>
  </si>
  <si>
    <t>SVIBNO</t>
  </si>
  <si>
    <t>x=102260, y=507944</t>
  </si>
  <si>
    <t>25/2465</t>
  </si>
  <si>
    <t>KOZJE</t>
  </si>
  <si>
    <t>Kozje 127, 3260 Kozje</t>
  </si>
  <si>
    <t>x=103593, y=543649</t>
  </si>
  <si>
    <t>25/2466</t>
  </si>
  <si>
    <t>Sv. Gregor</t>
  </si>
  <si>
    <t>SVETI GREGOR</t>
  </si>
  <si>
    <t>St.h. Sv. Gregor</t>
  </si>
  <si>
    <t>Grebenje 3, 1310 Ribnica</t>
  </si>
  <si>
    <t>x=72784, y=471604</t>
  </si>
  <si>
    <t>25/2469</t>
  </si>
  <si>
    <t>x=58634, y=508261</t>
  </si>
  <si>
    <t>25/2471</t>
  </si>
  <si>
    <t>ZIDANI MOST</t>
  </si>
  <si>
    <t>Vrtec Zidani Most</t>
  </si>
  <si>
    <t>Zidani Most 34, 1432 Zidani Most</t>
  </si>
  <si>
    <t>x=105153, y=514964</t>
  </si>
  <si>
    <t>25/2472</t>
  </si>
  <si>
    <t>Selo pri Mirni, Kirm</t>
  </si>
  <si>
    <t>Selo  pri Mirni 3, 8233 Mirna</t>
  </si>
  <si>
    <t>x=92111, y=502541</t>
  </si>
  <si>
    <t>25/2474</t>
  </si>
  <si>
    <t>Gorenji Leskovec</t>
  </si>
  <si>
    <t>Stanovanjski objekt (Dimc)</t>
  </si>
  <si>
    <t>Stranje 5, 8283 Blanca</t>
  </si>
  <si>
    <t>x=99415, y=532125</t>
  </si>
  <si>
    <t>25/2476</t>
  </si>
  <si>
    <t>Mali Kamen</t>
  </si>
  <si>
    <t>MALI KAMEN</t>
  </si>
  <si>
    <t>Stanovanjski objekt (Radej)</t>
  </si>
  <si>
    <t>Mali Kamen 16, 8281 Senovo</t>
  </si>
  <si>
    <t>x=98953, y=538707</t>
  </si>
  <si>
    <t>Mali Kamen 21</t>
  </si>
  <si>
    <t>25/2477</t>
  </si>
  <si>
    <t>VODOVOD DEBENEC</t>
  </si>
  <si>
    <t>DEBENEC - STAN</t>
  </si>
  <si>
    <t>Debenc 34, 8233 Mirna</t>
  </si>
  <si>
    <t>x=87074, y=507564</t>
  </si>
  <si>
    <t>25/2485</t>
  </si>
  <si>
    <t>25/2487</t>
  </si>
  <si>
    <t>25/2488</t>
  </si>
  <si>
    <t>OSILNICA - SELA</t>
  </si>
  <si>
    <t>Sela 5, 1337 Osilnica</t>
  </si>
  <si>
    <t>x=42744, y=476419</t>
  </si>
  <si>
    <t>25/2495</t>
  </si>
  <si>
    <t>RESNIK</t>
  </si>
  <si>
    <t>x=143076, y=527804</t>
  </si>
  <si>
    <t>25/2497</t>
  </si>
  <si>
    <t>x=58157, y=512620</t>
  </si>
  <si>
    <t>25/2501</t>
  </si>
  <si>
    <t>BRINJEVA GORA</t>
  </si>
  <si>
    <t>x=137244, y=530969</t>
  </si>
  <si>
    <t>25/2502</t>
  </si>
  <si>
    <t>25/2504</t>
  </si>
  <si>
    <t>PREDGRAD - DOL</t>
  </si>
  <si>
    <t>Stari trg ob Kolpi 7, Satri trg ob Kolpi, 8342 Stari trg ob Kolpi</t>
  </si>
  <si>
    <t>x=38744, y=506386</t>
  </si>
  <si>
    <t>25/2509</t>
  </si>
  <si>
    <t>25/2513</t>
  </si>
  <si>
    <t>25/2514</t>
  </si>
  <si>
    <t>25/2515</t>
  </si>
  <si>
    <t>JELENDOL</t>
  </si>
  <si>
    <t>Jelendol</t>
  </si>
  <si>
    <t>x=89224, y=522859</t>
  </si>
  <si>
    <t>25/2516</t>
  </si>
  <si>
    <t>25/2522</t>
  </si>
  <si>
    <t>Univ. kmetijski center</t>
  </si>
  <si>
    <t>x=151308, y=548313</t>
  </si>
  <si>
    <t>25/2526</t>
  </si>
  <si>
    <t>ZGORNJE RAVNE</t>
  </si>
  <si>
    <t>RAVNE PRI CERKNEM</t>
  </si>
  <si>
    <t>Zg. Ravne</t>
  </si>
  <si>
    <t>Ravne 9, 5282 Cerkno</t>
  </si>
  <si>
    <t>x=109297, y=419796</t>
  </si>
  <si>
    <t>25/2527</t>
  </si>
  <si>
    <t>25/2529</t>
  </si>
  <si>
    <t>25/2530</t>
  </si>
  <si>
    <t>25/2534</t>
  </si>
  <si>
    <t>x=141140, y=509902</t>
  </si>
  <si>
    <t>25/2536</t>
  </si>
  <si>
    <t>Mali Kamen 59, 8281 Senovo</t>
  </si>
  <si>
    <t>x=99416, y=538673</t>
  </si>
  <si>
    <t>25/2539</t>
  </si>
  <si>
    <t>25/2540</t>
  </si>
  <si>
    <t>25/2544</t>
  </si>
  <si>
    <t>Breg  1 c, 1434 Loka pri Zidanem Mostu</t>
  </si>
  <si>
    <t>x=100165, y=519042</t>
  </si>
  <si>
    <t>25/2545</t>
  </si>
  <si>
    <t>25/2549</t>
  </si>
  <si>
    <t>25/2563</t>
  </si>
  <si>
    <t>x=114230, y=506043</t>
  </si>
  <si>
    <t>25/2569</t>
  </si>
  <si>
    <t>stan objekt</t>
  </si>
  <si>
    <t>x=68311, y=475934</t>
  </si>
  <si>
    <t>25/2573</t>
  </si>
  <si>
    <t>JOSIPDOL</t>
  </si>
  <si>
    <t>Trgovina Mumel</t>
  </si>
  <si>
    <t>Josipdol 46, Josipdol, 2364 Ribnica na Pohorju</t>
  </si>
  <si>
    <t>x=154262, y=522650</t>
  </si>
  <si>
    <t>25/2576</t>
  </si>
  <si>
    <t>25/2578</t>
  </si>
  <si>
    <t>25/2579</t>
  </si>
  <si>
    <t>VODOVOD GOZD</t>
  </si>
  <si>
    <t>Gozd 14, Gozd, 1242 Stahovica</t>
  </si>
  <si>
    <t>x=123510, y=474128</t>
  </si>
  <si>
    <t>25/2594</t>
  </si>
  <si>
    <t>25/2599</t>
  </si>
  <si>
    <t>BOBOVO</t>
  </si>
  <si>
    <t>x=121684, y=541224</t>
  </si>
  <si>
    <t>25/2618</t>
  </si>
  <si>
    <t>SVETI DUH NA OSTREM VRHU 47, SVETI DUH, 2352 Selnica ob Dravi</t>
  </si>
  <si>
    <t>x=163535, y=535769</t>
  </si>
  <si>
    <t>25/2619</t>
  </si>
  <si>
    <t>x=159703, y=575007</t>
  </si>
  <si>
    <t>25/2629</t>
  </si>
  <si>
    <t>SLADKA GORA</t>
  </si>
  <si>
    <t>Vrtec Sladka Gora</t>
  </si>
  <si>
    <t>x=124555, y=541205</t>
  </si>
  <si>
    <t>25/2631</t>
  </si>
  <si>
    <t>x=83693, y=511170</t>
  </si>
  <si>
    <t>25/2643</t>
  </si>
  <si>
    <t>25/2645</t>
  </si>
  <si>
    <t>x=128784, y=542375</t>
  </si>
  <si>
    <t>25/2649</t>
  </si>
  <si>
    <t>Jedert - nova vas</t>
  </si>
  <si>
    <t>Sveti Jedrt</t>
  </si>
  <si>
    <t>Sv. Jedrt</t>
  </si>
  <si>
    <t>x=155446, y=505111</t>
  </si>
  <si>
    <t>25/2650</t>
  </si>
  <si>
    <t>25/2653</t>
  </si>
  <si>
    <t>x=95693, y=520448</t>
  </si>
  <si>
    <t>25/2654</t>
  </si>
  <si>
    <t>Frajhajm 42, 2208 Pohorje</t>
  </si>
  <si>
    <t>x=150246, y=539359</t>
  </si>
  <si>
    <t>25/2658</t>
  </si>
  <si>
    <t>Spodnje Vodale</t>
  </si>
  <si>
    <t>Caffe Mlin</t>
  </si>
  <si>
    <t>x=90932, y=515618</t>
  </si>
  <si>
    <t>25/2659</t>
  </si>
  <si>
    <t>25/2672</t>
  </si>
  <si>
    <t>25/2673</t>
  </si>
  <si>
    <t>25/2675</t>
  </si>
  <si>
    <t>Cirje - Ledina</t>
  </si>
  <si>
    <t>Ledina (Sevnica)</t>
  </si>
  <si>
    <t>Jazbec</t>
  </si>
  <si>
    <t>Ledina 79, 8290 Sevnica</t>
  </si>
  <si>
    <t>x=99886, y=522108</t>
  </si>
  <si>
    <t>25/2677</t>
  </si>
  <si>
    <t>DOLNJE BREZOVO  - INPLET</t>
  </si>
  <si>
    <t>Chemcolor Sevnica</t>
  </si>
  <si>
    <t>Dolnje Brezovo 35, 8283 Blanca</t>
  </si>
  <si>
    <t>x=94626, y=528844</t>
  </si>
  <si>
    <t>25/2683</t>
  </si>
  <si>
    <t>KS Velika Dolina</t>
  </si>
  <si>
    <t xml:space="preserve">Brezje </t>
  </si>
  <si>
    <t>Brezje na Dolenjskem</t>
  </si>
  <si>
    <t>Brezje  b, 8261 Jesenice na Dolenjskem</t>
  </si>
  <si>
    <t>x=78196, y=551310</t>
  </si>
  <si>
    <t>Brezje 1</t>
  </si>
  <si>
    <t>25/2684</t>
  </si>
  <si>
    <t>Ponikve</t>
  </si>
  <si>
    <t>Ponikve 5, 8261 Jesenice na Dolenjskem</t>
  </si>
  <si>
    <t>x=78499, y=550333</t>
  </si>
  <si>
    <t>25/2700</t>
  </si>
  <si>
    <t>Stolnik - Zakal</t>
  </si>
  <si>
    <t>VODOVOD STOLNIK</t>
  </si>
  <si>
    <t>STOLNIK</t>
  </si>
  <si>
    <t>Stolnik 10a, Stolnik, 1242 Stahovica</t>
  </si>
  <si>
    <t>x=123025, y=468720</t>
  </si>
  <si>
    <t>25/2703</t>
  </si>
  <si>
    <t>GORJE 2</t>
  </si>
  <si>
    <t>GORJE</t>
  </si>
  <si>
    <t>Gorje 1, Gorje, 5282 Cerkno</t>
  </si>
  <si>
    <t>x=112341, y=421225</t>
  </si>
  <si>
    <t>25/2705</t>
  </si>
  <si>
    <t>25/2717</t>
  </si>
  <si>
    <t>ZLAKOVA</t>
  </si>
  <si>
    <t>Gostilna Hram Zimrajh</t>
  </si>
  <si>
    <t>x=137530, y=531090</t>
  </si>
  <si>
    <t>25/2718</t>
  </si>
  <si>
    <t>SKOMARJE</t>
  </si>
  <si>
    <t>x=141000, y=526682</t>
  </si>
  <si>
    <t>25/2719</t>
  </si>
  <si>
    <t>25/2720</t>
  </si>
  <si>
    <t>25/2723</t>
  </si>
  <si>
    <t>25/2724</t>
  </si>
  <si>
    <t>25/2732</t>
  </si>
  <si>
    <t>25/2762</t>
  </si>
  <si>
    <t>25/2776</t>
  </si>
  <si>
    <t>25/2777</t>
  </si>
  <si>
    <t>25/2779</t>
  </si>
  <si>
    <t>25/2787</t>
  </si>
  <si>
    <t>25/2877</t>
  </si>
  <si>
    <t>25/2878</t>
  </si>
  <si>
    <t>25/2885</t>
  </si>
  <si>
    <t>25/2890</t>
  </si>
  <si>
    <t>25/2905</t>
  </si>
  <si>
    <t>25/2907</t>
  </si>
  <si>
    <t>25/2928</t>
  </si>
  <si>
    <t>25/2935</t>
  </si>
  <si>
    <t>25/2939</t>
  </si>
  <si>
    <t>25/2960</t>
  </si>
  <si>
    <t>25/2974</t>
  </si>
  <si>
    <t>25/2991</t>
  </si>
  <si>
    <t>25/3071</t>
  </si>
  <si>
    <t>25/3083</t>
  </si>
  <si>
    <t>25/3112</t>
  </si>
  <si>
    <t>Besnica 21, Besnica, 1260 Ljubljana - Polje</t>
  </si>
  <si>
    <t>x=99097, y=473932</t>
  </si>
  <si>
    <t>25/3124</t>
  </si>
  <si>
    <t>25/3126</t>
  </si>
  <si>
    <t>LOKATONCI SVETA GORA</t>
  </si>
  <si>
    <t>SVETA GORA</t>
  </si>
  <si>
    <t>Sveta Gora 2, 5250 Solkan</t>
  </si>
  <si>
    <t>x=95865, y=396197</t>
  </si>
  <si>
    <t>25/3128</t>
  </si>
  <si>
    <t>Legen 168, 2380 Slovenj Gradec</t>
  </si>
  <si>
    <t>x=152231, y=514355</t>
  </si>
  <si>
    <t>25/3130</t>
  </si>
  <si>
    <t>x=115535, y=425707</t>
  </si>
  <si>
    <t>25/3132</t>
  </si>
  <si>
    <t>x=91143, y=510381</t>
  </si>
  <si>
    <t>25/3134</t>
  </si>
  <si>
    <t>x=72252, y=445238</t>
  </si>
  <si>
    <t>25/3138</t>
  </si>
  <si>
    <t>x=120675, y=478969</t>
  </si>
  <si>
    <t>25/3140</t>
  </si>
  <si>
    <t>LV LOBNICA</t>
  </si>
  <si>
    <t>x=152883, y=540361</t>
  </si>
  <si>
    <t>25/3142</t>
  </si>
  <si>
    <t>Vrh Svetih Treh Kraljev</t>
  </si>
  <si>
    <t>Vrh Svetih Treh Kraljev 19, Vrh Svetih Treh Kraljev, 1373 Rovte</t>
  </si>
  <si>
    <t>x=96723, y=436439, z=810</t>
  </si>
  <si>
    <t>25/3144</t>
  </si>
  <si>
    <t>Golte</t>
  </si>
  <si>
    <t>HOTEL MONTIS IN VODOHRAM GOLTE</t>
  </si>
  <si>
    <t>RADEGUNDA 58, 3330 Mozirje</t>
  </si>
  <si>
    <t>x=136073, y=492291</t>
  </si>
  <si>
    <t>25/3150</t>
  </si>
  <si>
    <t>MALO TINJE</t>
  </si>
  <si>
    <t>Bernik Robert</t>
  </si>
  <si>
    <t>x=141202, y=538170</t>
  </si>
  <si>
    <t>25/3152</t>
  </si>
  <si>
    <t>ZAKOJCA</t>
  </si>
  <si>
    <t>Zakojca 3, Zakojca, 5282 Cerkno</t>
  </si>
  <si>
    <t>x=114050, y=417549</t>
  </si>
  <si>
    <t>25/3154</t>
  </si>
  <si>
    <t>VODOVODNI SISTEM LJUBELJ</t>
  </si>
  <si>
    <t>LJUBELJ</t>
  </si>
  <si>
    <t>25/3156</t>
  </si>
  <si>
    <t>VODOVODNI SISTEM DOLINA</t>
  </si>
  <si>
    <t>DOLINA</t>
  </si>
  <si>
    <t>NA NASLOVU DOLINA 15</t>
  </si>
  <si>
    <t>25/3158</t>
  </si>
  <si>
    <t>MIHA SMOLEJ</t>
  </si>
  <si>
    <t>LASTNI VODNI VIR SMOLEJ</t>
  </si>
  <si>
    <t>PLANINA POD GOLICO</t>
  </si>
  <si>
    <t>PLANINA POD GOLICO 4A, 4270 Jesenice</t>
  </si>
  <si>
    <t>25/3160</t>
  </si>
  <si>
    <t>STARA OSELICA - SLAJKA</t>
  </si>
  <si>
    <t>HOTAVLJE 59, HOTAVLJE, 4224 Gorenja vas</t>
  </si>
  <si>
    <t>25/3162</t>
  </si>
  <si>
    <t>25/3171</t>
  </si>
  <si>
    <t>JAVNI ZAVOD DRAVIT DRAVOGRAD</t>
  </si>
  <si>
    <t>DVOREC BUKOVJE</t>
  </si>
  <si>
    <t>BUKOVJE 13, 2370 Dravograd</t>
  </si>
  <si>
    <t>25/3176</t>
  </si>
  <si>
    <t>OKROGLICE</t>
  </si>
  <si>
    <t>OKROGLICE 33, 1434 Loka pri Zidanem Mostu</t>
  </si>
  <si>
    <t>25/3178</t>
  </si>
  <si>
    <t>BILPA</t>
  </si>
  <si>
    <t>BILPA , BILPA, 8342 Stari trg ob Kolpi</t>
  </si>
  <si>
    <t>25/3180</t>
  </si>
  <si>
    <t>MENINA</t>
  </si>
  <si>
    <t>MENINA D.O.O.</t>
  </si>
  <si>
    <t>VODOVOD MENINA</t>
  </si>
  <si>
    <t>25/3190</t>
  </si>
  <si>
    <t>25/3204</t>
  </si>
  <si>
    <t>PD SLOGA</t>
  </si>
  <si>
    <t>25/3206</t>
  </si>
  <si>
    <t>TK JEGLIJENK</t>
  </si>
  <si>
    <t>25/3208</t>
  </si>
  <si>
    <t>TK WEISS</t>
  </si>
  <si>
    <t>25/3211</t>
  </si>
  <si>
    <t>GOSTINSTVO MILENA PRIMC PUSTOTNIK</t>
  </si>
  <si>
    <t>25/3212</t>
  </si>
  <si>
    <t>25/3214</t>
  </si>
  <si>
    <t>25/3220</t>
  </si>
  <si>
    <t>IK PR'POSILNC</t>
  </si>
  <si>
    <t>LAZE PRI GOBNIKU 2, 1274 Gabrovka</t>
  </si>
  <si>
    <t>25/3224</t>
  </si>
  <si>
    <t>PD SREDNJA VAS V BOHINJU</t>
  </si>
  <si>
    <t>VODOVODNI SISTEM VODNIKOV DOM NA VELEM POLJU</t>
  </si>
  <si>
    <t>VODNIKOV DOM NA VELEM POLJU</t>
  </si>
  <si>
    <t>25/3229</t>
  </si>
  <si>
    <t>VODOVOD HOTEL ZARJA</t>
  </si>
  <si>
    <t>HOTEL ZARJA</t>
  </si>
  <si>
    <t>FRAJHAJM 34, FRAJHAJM, 2208 Pohorje</t>
  </si>
  <si>
    <t>25/3231</t>
  </si>
  <si>
    <t>MATIC KLEINDIENST</t>
  </si>
  <si>
    <t>25/3232</t>
  </si>
  <si>
    <t>25/3236</t>
  </si>
  <si>
    <t>UKANC 187, UKANC, 4265 Bohinjsko jezero</t>
  </si>
  <si>
    <t>25/3237</t>
  </si>
  <si>
    <t>VODOVOD PLANINSKI DOM SAVICA</t>
  </si>
  <si>
    <t>PLANINSKI DOM SAVICA</t>
  </si>
  <si>
    <t>UKANC 102, UKANC, 4265 Bohinjsko jezero</t>
  </si>
  <si>
    <t>25/3238</t>
  </si>
  <si>
    <t>25/3244</t>
  </si>
  <si>
    <t>TK PLODER</t>
  </si>
  <si>
    <t>VODOVODNI SISTEM PLODER</t>
  </si>
  <si>
    <t>25/3246</t>
  </si>
  <si>
    <t>25/3250</t>
  </si>
  <si>
    <t>VODOVOD KORENSKO SEDLO</t>
  </si>
  <si>
    <t>KORENSKO SEDLO</t>
  </si>
  <si>
    <t>KOMPAS SHOP KORENSKO SEDLO</t>
  </si>
  <si>
    <t>PODKOREN 50A, PODKOREN, 4280 Kranjska Gora</t>
  </si>
  <si>
    <t>25/3252</t>
  </si>
  <si>
    <t>PD RADOVLJICA</t>
  </si>
  <si>
    <t>VODOVOD VALVASORJEV DOM</t>
  </si>
  <si>
    <t>URBAS - VALVASOR</t>
  </si>
  <si>
    <t>VALVASORJEV DOM</t>
  </si>
  <si>
    <t>25/3258</t>
  </si>
  <si>
    <t>&gt;13</t>
  </si>
  <si>
    <t>25/3260</t>
  </si>
  <si>
    <t>GOSTILNA PR'BIRT</t>
  </si>
  <si>
    <t>GOSTILNA PR'BIRT - PIPA V GOSTINSKI KUHINJI</t>
  </si>
  <si>
    <t>PRAPROTNO 17, 4227 Selca</t>
  </si>
  <si>
    <t>25/3262</t>
  </si>
  <si>
    <t>KMETIJA PLAZNIK</t>
  </si>
  <si>
    <t>VODOVOD KMETIJA PLAZNIK</t>
  </si>
  <si>
    <t>25/3268</t>
  </si>
  <si>
    <t>25/3272</t>
  </si>
  <si>
    <t>PD NAZARJE</t>
  </si>
  <si>
    <t>VODOVOD DOM PLANINCEV FARBANCA</t>
  </si>
  <si>
    <t>DOM PLANINCEV FARBANCA</t>
  </si>
  <si>
    <t>25/3278</t>
  </si>
  <si>
    <t>VODOVOD DOBRAVICA</t>
  </si>
  <si>
    <t>NASELJE DOBRAVICA</t>
  </si>
  <si>
    <t>DOBRAVICA 3</t>
  </si>
  <si>
    <t>DOBRAVICA 3, DOBRAVICA, 4244 Podnart</t>
  </si>
  <si>
    <t>25/3280</t>
  </si>
  <si>
    <t>VODOVOD POT V SKALE</t>
  </si>
  <si>
    <t>POT V SKALE</t>
  </si>
  <si>
    <t>25/3282</t>
  </si>
  <si>
    <t>KRAJEVNA SKUPNOST SMOLDNO</t>
  </si>
  <si>
    <t>VODOVODNI SISTEM SMOLDNO</t>
  </si>
  <si>
    <t>MLEKARNA SMOLDNO</t>
  </si>
  <si>
    <t>25/3288</t>
  </si>
  <si>
    <t>VODOVOD DOM NA MIRNI GORI</t>
  </si>
  <si>
    <t>DOM NA MIRNI GORI</t>
  </si>
  <si>
    <t>25/3294</t>
  </si>
  <si>
    <t>PD PREDDVOR</t>
  </si>
  <si>
    <t>25/3295</t>
  </si>
  <si>
    <t>25/3297</t>
  </si>
  <si>
    <t>25/3299</t>
  </si>
  <si>
    <t>filtri</t>
  </si>
  <si>
    <t>25/3300</t>
  </si>
  <si>
    <t>25/3302</t>
  </si>
  <si>
    <t>KO KOKRA</t>
  </si>
  <si>
    <t>VODOVOD PSTOTNEK</t>
  </si>
  <si>
    <t>ZASELEK KOKRA CENTER</t>
  </si>
  <si>
    <t>KOKRA 23, KOKRA, 4205 Preddvor</t>
  </si>
  <si>
    <t>25/3304</t>
  </si>
  <si>
    <t>VODOVODNI SISTEM SLAMNIKI</t>
  </si>
  <si>
    <t>Bohinjska Bela - VAS - Slamniki</t>
  </si>
  <si>
    <t>SLAMNIKI 3, SLAMNIKI, 4263 Bohinjska Bela</t>
  </si>
  <si>
    <t>25/3310</t>
  </si>
  <si>
    <t>x=107194, y=398607</t>
  </si>
  <si>
    <t>25/3311</t>
  </si>
  <si>
    <t>25/3314</t>
  </si>
  <si>
    <t>CIRNIK - RAVNE</t>
  </si>
  <si>
    <t>Cirnik 5, 8233 Mirna</t>
  </si>
  <si>
    <t>x=90844, y=501064</t>
  </si>
  <si>
    <t>25/3316</t>
  </si>
  <si>
    <t>HRASTENICE</t>
  </si>
  <si>
    <t>stanovanjski objekt Hrastnice</t>
  </si>
  <si>
    <t>Hrastnice po izbiri , Hrastnice, 1356 Dobrova</t>
  </si>
  <si>
    <t>25/3317</t>
  </si>
  <si>
    <t>URH</t>
  </si>
  <si>
    <t>Slavko Podlesnil</t>
  </si>
  <si>
    <t>x=143125, y=539541</t>
  </si>
  <si>
    <t>25/3320</t>
  </si>
  <si>
    <t>PLANINA NAD HORJULOM</t>
  </si>
  <si>
    <t>stanovanjski objekt Buh, Planina nad Horjulom</t>
  </si>
  <si>
    <t>Planina nad Horjulom 6, 1354 Horjul</t>
  </si>
  <si>
    <t>x=100719, y=439673</t>
  </si>
  <si>
    <t>25/3322</t>
  </si>
  <si>
    <t>PLANICA</t>
  </si>
  <si>
    <t>KMETIJA ODPRTIH VRAT HRIBERNIK</t>
  </si>
  <si>
    <t>PLANICA 2, PLANICA, 4000 Kranj</t>
  </si>
  <si>
    <t>25/3324</t>
  </si>
  <si>
    <t>x=151649, y=489499</t>
  </si>
  <si>
    <t>25/3329</t>
  </si>
  <si>
    <t>OSREDEK</t>
  </si>
  <si>
    <t>Osredek pri Podsredi 26, 3257 Podsreda</t>
  </si>
  <si>
    <t>x=97540, y=548100</t>
  </si>
  <si>
    <t>25/3331</t>
  </si>
  <si>
    <t>x=112716, y=406664</t>
  </si>
  <si>
    <t>25/3332</t>
  </si>
  <si>
    <t>Hrastno</t>
  </si>
  <si>
    <t>HRASTNO</t>
  </si>
  <si>
    <t>Hrastno, Gorenc</t>
  </si>
  <si>
    <t>25/3339</t>
  </si>
  <si>
    <t>Dobrovlje</t>
  </si>
  <si>
    <t>DOBROVLJE PRI MOZIRJU</t>
  </si>
  <si>
    <t>Dobrovlje 11, Dobrovlje, 3331 Nazarje</t>
  </si>
  <si>
    <t>x=129953, y=498164</t>
  </si>
  <si>
    <t>25/3340</t>
  </si>
  <si>
    <t>SVETI JURIJ</t>
  </si>
  <si>
    <t>Sv. Jurij 6 a, 3252 Rogatec</t>
  </si>
  <si>
    <t>x=123390, y=557235</t>
  </si>
  <si>
    <t>&gt;48</t>
  </si>
  <si>
    <t>25/3345</t>
  </si>
  <si>
    <t>x=120265, y=378062</t>
  </si>
  <si>
    <t>25/3350</t>
  </si>
  <si>
    <t>VODOVOD SMLEDNIK</t>
  </si>
  <si>
    <t>SMLEDNIK</t>
  </si>
  <si>
    <t>SMLEDNIK 73, 1216 Smlednik</t>
  </si>
  <si>
    <t>25/3351</t>
  </si>
  <si>
    <t>25/3353</t>
  </si>
  <si>
    <t>PREDMEJA, OTLICA, COL</t>
  </si>
  <si>
    <t>SKUK</t>
  </si>
  <si>
    <t>PODKRAJ 9, 5273 Col</t>
  </si>
  <si>
    <t>x=80625, y=427267</t>
  </si>
  <si>
    <t>25/3354</t>
  </si>
  <si>
    <t>25/3357</t>
  </si>
  <si>
    <t>DOLGA GORA</t>
  </si>
  <si>
    <t>Dolga gora 15, 3232 Ponikva</t>
  </si>
  <si>
    <t>x=125788, y=538888</t>
  </si>
  <si>
    <t>25/3358</t>
  </si>
  <si>
    <t>MARJETA PAVLICA S.P.</t>
  </si>
  <si>
    <t>25/3359</t>
  </si>
  <si>
    <t>ZASEBNI VODOVOD PODKRAJ</t>
  </si>
  <si>
    <t>25/3364</t>
  </si>
  <si>
    <t>Mariborski otok</t>
  </si>
  <si>
    <t>2000 Maribor</t>
  </si>
  <si>
    <t>x=158329, y=547340</t>
  </si>
  <si>
    <t>Vzorčenje</t>
  </si>
  <si>
    <t>Območje</t>
  </si>
  <si>
    <t>Clostridium perfringens (vključno s sporami)</t>
  </si>
  <si>
    <t>Policiklični aromatski ogljikovodiki - vsota(*)</t>
  </si>
  <si>
    <t>Gregorčičeva 23, 9000 Murska Sobota</t>
  </si>
  <si>
    <t>Ul. dr. Vrbnjaka 6, Rakičan, 9000 Murska Sobota</t>
  </si>
  <si>
    <t>Celje  - osrednje območje</t>
  </si>
  <si>
    <t>Novo mesto, VVO Ločna</t>
  </si>
  <si>
    <t>občasna dezinfekcija, dezinfekcija s plinskim klorom</t>
  </si>
  <si>
    <t>Fun Cake (pipa za točilnim pultom)</t>
  </si>
  <si>
    <t>Petrovče 97, 3301 Petrovče</t>
  </si>
  <si>
    <t>območje 1-MARIBOR</t>
  </si>
  <si>
    <t>Prelovčeva 11, 5280 Idrija</t>
  </si>
  <si>
    <t>območje 5-SLOVENSKE GORICE</t>
  </si>
  <si>
    <t>Korčetova ulica 18, 2000 Maribor</t>
  </si>
  <si>
    <t>Razvanjska c. 64, 2311 Hoče</t>
  </si>
  <si>
    <t>Rejčeva ul. 26, 5000 Nova Gorica</t>
  </si>
  <si>
    <t>ZD Most na Soči</t>
  </si>
  <si>
    <t>Most na Soči 52, 5216 Most na Soči</t>
  </si>
  <si>
    <t>Vrtec Janček Visoko</t>
  </si>
  <si>
    <t>Erjavčeva cesta 29, Ljubljana Center, 1000 Ljubljana</t>
  </si>
  <si>
    <t>Vrtec Mladi rod, enota Kostanjčkov vrtec</t>
  </si>
  <si>
    <t>Ulica bratov Učakar 64, Ljubljana Koseze, 1000 Ljubljana</t>
  </si>
  <si>
    <t>Vrtec Ciciban, enota Mehurčki</t>
  </si>
  <si>
    <t>Klopčičeva 1, Ljubljana Dravlje, 1000 Ljubljana</t>
  </si>
  <si>
    <t>Ulica Malči Beličeve 20, 1000 Ljubljana</t>
  </si>
  <si>
    <t>Vrtec Radenci - Radgonski mehurčki</t>
  </si>
  <si>
    <t>Stična 24, 1295 Ivančna Gorica</t>
  </si>
  <si>
    <t>Zagradec 33, 1295 Ivančna Gorica</t>
  </si>
  <si>
    <t>Trg 8, 8216 Mirna Peč</t>
  </si>
  <si>
    <t>KOSOVELOVA 9, 6215 Divača</t>
  </si>
  <si>
    <t>Semič VVO</t>
  </si>
  <si>
    <t>Ribčev Laz 51, Bohinj, 4265 Bohinjsko jezero</t>
  </si>
  <si>
    <t>Podzemelj, Gostilna Veselič</t>
  </si>
  <si>
    <t>Občina Kanal ob Soči</t>
  </si>
  <si>
    <t>občasna dezinfekcija, dezinfekcija z natrijevim hipokloritom</t>
  </si>
  <si>
    <t>Volče 96c, 5220 Tolmin</t>
  </si>
  <si>
    <t>Ulica Alojza Rabiča 7, 4281 Mojstrana</t>
  </si>
  <si>
    <t>Občina Zreče</t>
  </si>
  <si>
    <t>Rakovlje 15, 3314 Braslovče</t>
  </si>
  <si>
    <t>Vrtec Radeče - Enota 1</t>
  </si>
  <si>
    <t>Vrtec Rečica ob Savinji</t>
  </si>
  <si>
    <t>Rečica ob Savinji 55, 3332 Rečica ob Savinji</t>
  </si>
  <si>
    <t>Golobinjek ob Sotli 4, 3254 Podčetrtek</t>
  </si>
  <si>
    <t>območje 4-DUPLEK</t>
  </si>
  <si>
    <t>IMP KLima Godovič</t>
  </si>
  <si>
    <t>Godovič 150, 5280 Idrija</t>
  </si>
  <si>
    <t>območje 7 - KAMNICA -BRESTERNICA</t>
  </si>
  <si>
    <t>VVO Borisa Pečeta,  ENOTA BRESTERNICA</t>
  </si>
  <si>
    <t>Mesarija Mlinarič d.o.o., Lesce</t>
  </si>
  <si>
    <t>Bife pri Mačku</t>
  </si>
  <si>
    <t>Dravinjska cesta 1, 3214 Zreče</t>
  </si>
  <si>
    <t>Očeslavci 18, Očeslavci, 9245 Spodnji Ivanjci</t>
  </si>
  <si>
    <t>Gregorčičeva 18a, 5222 Kobarid</t>
  </si>
  <si>
    <t>Vrtec Medvode, enota Pirniče</t>
  </si>
  <si>
    <t>Zgornje Pirniče 37C, Zgornje Pirniče, 1215 Medvode</t>
  </si>
  <si>
    <t>Občina Cerkno</t>
  </si>
  <si>
    <t xml:space="preserve">Občina Cerkno </t>
  </si>
  <si>
    <t>Na peči 20, 1000 Ljubljana</t>
  </si>
  <si>
    <t>Abramova ulica 26, Ljubljana Vič, 1000 Ljubljana</t>
  </si>
  <si>
    <t>Ulica Iga Grudna 17, Ljubljana Vič, 1000 Ljubljana</t>
  </si>
  <si>
    <t>Splitska ulica 13, Ljubljana Bičevje, 1000 Ljubljana</t>
  </si>
  <si>
    <t>Ob sotočju 9, 1000 Ljubljana</t>
  </si>
  <si>
    <t>Vrtec Pedenjped - enota Učenjak</t>
  </si>
  <si>
    <t>Vrtec Brezovica - enota Podpeč</t>
  </si>
  <si>
    <t>Jezero 113, Podpeč - Preserje, 1352 Preserje</t>
  </si>
  <si>
    <t>Občina Velika Polana</t>
  </si>
  <si>
    <t>Zabiče 59a</t>
  </si>
  <si>
    <t>Podbočje 82, 8312 Podbočje</t>
  </si>
  <si>
    <t>drugo sredstvo, občasna dezinfekcija</t>
  </si>
  <si>
    <t>Vrtec Luče</t>
  </si>
  <si>
    <t>Luče 77, 3334 Luče</t>
  </si>
  <si>
    <t>Vegova ulica 38, 1251 Moravče</t>
  </si>
  <si>
    <t>Vrtec Rateče</t>
  </si>
  <si>
    <t>Rateče 18, Rateče, 4283 Rateče - Planica</t>
  </si>
  <si>
    <t>DRAVINJSKA C.26, 2319 Poljčane</t>
  </si>
  <si>
    <t>Vrtec Podčetrtek</t>
  </si>
  <si>
    <t>KS Vodovodni odbor Goriče</t>
  </si>
  <si>
    <t>Srednja vas - Goriče 1, Srednja vas - Goriče, 4204 Golnik</t>
  </si>
  <si>
    <t>Bočna 63, 3342 Gornji Grad</t>
  </si>
  <si>
    <t>Koritnica 60b, 5242 Grahovo ob Bači</t>
  </si>
  <si>
    <t>Bife Metuljček</t>
  </si>
  <si>
    <t>Apače 38, 9253 Apače</t>
  </si>
  <si>
    <t>Gubčeva cesta 23, 8230 Mokronog</t>
  </si>
  <si>
    <t>Občina Ig</t>
  </si>
  <si>
    <t>Občina Bloke</t>
  </si>
  <si>
    <t>občasna dezinfekcija</t>
  </si>
  <si>
    <t>Ingoličeva  7, 2314 Zgornja Polskava</t>
  </si>
  <si>
    <t>Kmečki turizem Pavlin</t>
  </si>
  <si>
    <t>nedoločeno</t>
  </si>
  <si>
    <t>Curnovec 6B, Curnovec, 8253 Artiče</t>
  </si>
  <si>
    <t>Občina Hoče - Slivnica</t>
  </si>
  <si>
    <t>Kmečki hram</t>
  </si>
  <si>
    <t>Tomačevska cesta 50, 1000 Ljubljana</t>
  </si>
  <si>
    <t>ZG. NOVA VAS- NOVA GORA (Kovača vas)</t>
  </si>
  <si>
    <t>Kovača Vas  87, Kovača Vas, 2310 Slovenska Bistrica</t>
  </si>
  <si>
    <t>POLANSKA CESTA 72, SLIVNICA, 2311 Hoče</t>
  </si>
  <si>
    <t>Vrbičje 7, 1290 Grosuplje</t>
  </si>
  <si>
    <t>Kmečki turizem Metnaj</t>
  </si>
  <si>
    <t>Trpčane 37a</t>
  </si>
  <si>
    <t>Pečica 45, 3241 Podplat</t>
  </si>
  <si>
    <t>Lučine 11, Lučine, 4224 Gorenja vas</t>
  </si>
  <si>
    <t>Bučka, vrtec</t>
  </si>
  <si>
    <t>Stanovanjski objekt (Marjetič)</t>
  </si>
  <si>
    <t>Artiče</t>
  </si>
  <si>
    <t>Vrtec Artiče</t>
  </si>
  <si>
    <t>Artiče 39, 8253 Artiče</t>
  </si>
  <si>
    <t>DUO Impoljca - 1. nad. Desno, C stan.odd.,čajna kuh.</t>
  </si>
  <si>
    <t>Poče</t>
  </si>
  <si>
    <t>Poče 14, 5282 Cerkno</t>
  </si>
  <si>
    <t>Soča  28, 5232 Soča</t>
  </si>
  <si>
    <t>VZ Senično</t>
  </si>
  <si>
    <t>Pivola 24, 2311 Hoče</t>
  </si>
  <si>
    <t>Solčava 18, 3335 Solčava</t>
  </si>
  <si>
    <t>Zgornji Hotič 6, 1270 Litija</t>
  </si>
  <si>
    <t>Vače 24, 1252 Vače</t>
  </si>
  <si>
    <t>Jagrič Vinko</t>
  </si>
  <si>
    <t>Lastnič 76, Lastnič, 3255 Buče</t>
  </si>
  <si>
    <t>Jelovčan</t>
  </si>
  <si>
    <t>dezinfekcija z Dizosan klor tabletami, občasna dezinfekcija</t>
  </si>
  <si>
    <t>Darinka Pečovnik</t>
  </si>
  <si>
    <t>Avtoservis Rečnik Egon</t>
  </si>
  <si>
    <t>Pivola 74, 2311 Hoče</t>
  </si>
  <si>
    <t>Ranče 175, 2313 Fram</t>
  </si>
  <si>
    <t>Račnik Anica</t>
  </si>
  <si>
    <t>Pameče 93a, 2380 Slovenj Gradec</t>
  </si>
  <si>
    <t>Gorče - Libeliče</t>
  </si>
  <si>
    <t>Libeliče 6, 2372 Libeliče</t>
  </si>
  <si>
    <t>Radeče papir</t>
  </si>
  <si>
    <t>Njivice 17, 1433 Radeče</t>
  </si>
  <si>
    <t>Hotel Celjska koča</t>
  </si>
  <si>
    <t>Pečovnik 31, 3000 Celje</t>
  </si>
  <si>
    <t>Občina Kamnik</t>
  </si>
  <si>
    <t>Krivčevo 2, Krivčevo, 1242 Stahovica</t>
  </si>
  <si>
    <t>Podmelec 28, Podmelec, 5216 Most na Soči</t>
  </si>
  <si>
    <t>Trnovo ob Soči 34, Trnovo ob Soči, 5222 Kobarid</t>
  </si>
  <si>
    <t>POLANA 12, 2311 Hoče</t>
  </si>
  <si>
    <t>POLANA 35, POLANA, 2311 Hoče</t>
  </si>
  <si>
    <t>Občina Dol pri Ljubljani</t>
  </si>
  <si>
    <t>Občina Medvode</t>
  </si>
  <si>
    <t>Seničica 20, 1215 Medvode</t>
  </si>
  <si>
    <t>MARIBORSKA 40, OREHOVA VAS, 2311 Hoče</t>
  </si>
  <si>
    <t>Občina Borovnica</t>
  </si>
  <si>
    <t>Občina Ribnica</t>
  </si>
  <si>
    <t>Knaflič Drago</t>
  </si>
  <si>
    <t>Hočko Pohorje 43, 2311 Hoče</t>
  </si>
  <si>
    <t>Planinski dom in okrepčevalnica Jakec</t>
  </si>
  <si>
    <t>Varstrug Kočna d.o.o.</t>
  </si>
  <si>
    <t>Kočna 25A, Kočna, 4270 Jesenice</t>
  </si>
  <si>
    <t>Grčarevec</t>
  </si>
  <si>
    <t>Grčarevec 9, Grčarevec, 1370 Logatec</t>
  </si>
  <si>
    <t>Sela pri Volčah 22, 5220 Tolmin</t>
  </si>
  <si>
    <t>Veliki Boč 31a, 2353 Sv. Duh na Ostrem Vrhu</t>
  </si>
  <si>
    <t>Kočevska reka 12a, 1338 Kočevska Reka</t>
  </si>
  <si>
    <t>Bečaje 9, Bečaje, 1380 Cerknica</t>
  </si>
  <si>
    <t>Bečaje 8</t>
  </si>
  <si>
    <t>Gostilna Vrtačnik</t>
  </si>
  <si>
    <t>Turistična kmetija Nemec</t>
  </si>
  <si>
    <t>Kmečki turizem-Dolenc Frenk</t>
  </si>
  <si>
    <t>območje 8 - SREDNJE</t>
  </si>
  <si>
    <t>Trebenče 1, Trebenče, 5282 Cerkno</t>
  </si>
  <si>
    <t>Dravče 1, Dravče, 2367 Vuzenica</t>
  </si>
  <si>
    <t>Rdeči breg - del 63, Rdeči breg - del, 2363 Podvelka</t>
  </si>
  <si>
    <t>območje 11 - GAJ</t>
  </si>
  <si>
    <t>Janče 1, Janče, 1260 Ljubljana - Polje</t>
  </si>
  <si>
    <t>Bar Buče</t>
  </si>
  <si>
    <t>Buče 57, 3255 Buče</t>
  </si>
  <si>
    <t>stanovanjski objekt Mohorič- mizarstvo, Pevno</t>
  </si>
  <si>
    <t>Studenčice 14, 1215 Medvode</t>
  </si>
  <si>
    <t>stanovanjski objekt Klemenčič, Zakobiljek</t>
  </si>
  <si>
    <t>Raduha 1, 3334 Luče</t>
  </si>
  <si>
    <t>Gotenica 1, Gotenica, 1330 Kočevje</t>
  </si>
  <si>
    <t>Donačka gora 1, 3252 Rogatec</t>
  </si>
  <si>
    <t>Vrtec Gorenje pri Zrečah</t>
  </si>
  <si>
    <t>Gorenje pri Zrečah 19, 3214 Zreče</t>
  </si>
  <si>
    <t>Bogneča vas, Berk</t>
  </si>
  <si>
    <t>Bogneča vas 14, 8231 Trebelno</t>
  </si>
  <si>
    <t>Unior Zreče, Obrat Vitanje</t>
  </si>
  <si>
    <t>Vimolj 8, 1330 Kočevje</t>
  </si>
  <si>
    <t>Trenta  29a, 5232 Soča</t>
  </si>
  <si>
    <t>Hočko Pohorje 40, 2208 Pohorje</t>
  </si>
  <si>
    <t>Občina Prebold</t>
  </si>
  <si>
    <t>Bozovičar</t>
  </si>
  <si>
    <t>Hotel pod Roglo, gostinsko, proizvodno in turistično podjetje d.o.o.</t>
  </si>
  <si>
    <t>Boharina 2, 3214 Zreče</t>
  </si>
  <si>
    <t>Vinotoč Sodček</t>
  </si>
  <si>
    <t>dezinfekcija s triklozen-natrijem, občasna dezinfekcija</t>
  </si>
  <si>
    <t>SLIVNA 18, SLIVNA, 1252 Vače</t>
  </si>
  <si>
    <t>Koprivnik, Marinč Bojan</t>
  </si>
  <si>
    <t>Koprivnik 15, 1330 Kočevje</t>
  </si>
  <si>
    <t>Turistična kmetija pri Marku""</t>
  </si>
  <si>
    <t>Praproče 10, 1355 Polhov Gradec</t>
  </si>
  <si>
    <t>Praproče 7</t>
  </si>
  <si>
    <t>St. h. Zabočevo 1</t>
  </si>
  <si>
    <t>Zabočevo 1, 1353 Borovnica</t>
  </si>
  <si>
    <t>Rogla 15, 3214 Zreče</t>
  </si>
  <si>
    <t>Tolsti vrh 42, 3215 Loče</t>
  </si>
  <si>
    <t>Gotenc, Jurkovič</t>
  </si>
  <si>
    <t>Občina Osilnica</t>
  </si>
  <si>
    <t>Smrečje 39, 1354 Horjul</t>
  </si>
  <si>
    <t>Logarska dolina 10, 3335 Solčava</t>
  </si>
  <si>
    <t>Gregorčičeva ulica 32, 5222 Kobarid</t>
  </si>
  <si>
    <t>Arnič Mirko</t>
  </si>
  <si>
    <t>Ovčar Ernest</t>
  </si>
  <si>
    <t>KS Sobrače</t>
  </si>
  <si>
    <t>Vidrga 4, 1252 Vače</t>
  </si>
  <si>
    <t>Lovska koča Prvine</t>
  </si>
  <si>
    <t>Ločica</t>
  </si>
  <si>
    <t>Ločica 42, 3305 Vransko</t>
  </si>
  <si>
    <t>Buč 19, Buč, 1219 Laze v Tuhinju</t>
  </si>
  <si>
    <t>Občina Lukovica</t>
  </si>
  <si>
    <t>Vodovod Paloviče</t>
  </si>
  <si>
    <t>Paloviče</t>
  </si>
  <si>
    <t>Kmečki turizem pri Betel</t>
  </si>
  <si>
    <t>LOGARSKA DOLINA 13A, 3335 Solčava</t>
  </si>
  <si>
    <t>Mačkovci 35, 9202 Mačkovci</t>
  </si>
  <si>
    <t>Trg  31, 5292 Renče</t>
  </si>
  <si>
    <t>Kidričeva ulica 36, 5000 Nova Gorica</t>
  </si>
  <si>
    <t>Občina Miren - kuhinja</t>
  </si>
  <si>
    <t>Dobrnič 4/a, 8211 Dobrnič</t>
  </si>
  <si>
    <t>Vrtec Loče</t>
  </si>
  <si>
    <t>Vrtec Zreče</t>
  </si>
  <si>
    <t>Cesta na Roglo 13, 3214 Zreče</t>
  </si>
  <si>
    <t>Gregorčičeva ulica 30a, 5294 Dornberk</t>
  </si>
  <si>
    <t>Avtomehanika Jagodič Peter</t>
  </si>
  <si>
    <t>Občina Puconci</t>
  </si>
  <si>
    <t>SELCE 72, SELCE, 2232 Voličina</t>
  </si>
  <si>
    <t>Občina Kuzma</t>
  </si>
  <si>
    <t>Gostilna Sukič Martinje</t>
  </si>
  <si>
    <t>Sajevec, Jaklič Martina</t>
  </si>
  <si>
    <t>Vranja Peč 3, Vranja Peč, 1241 Kamnik</t>
  </si>
  <si>
    <t>Svibno 18, 1433 Radeče</t>
  </si>
  <si>
    <t>Vrtec Zmajček Kozje</t>
  </si>
  <si>
    <t>Gostilna in hotel Kovač</t>
  </si>
  <si>
    <t>Resnik 22, 3214 Zreče</t>
  </si>
  <si>
    <t>Preloge 3, 8333 Semič</t>
  </si>
  <si>
    <t>Breg 17, 3214 Zreče</t>
  </si>
  <si>
    <t>območje 9 - PIVOLA - POHORSKI DVOR</t>
  </si>
  <si>
    <t>Pivola  11, Pivola, 2311 Hoče</t>
  </si>
  <si>
    <t>območje 12 - DUH NA OSTREM VRHU</t>
  </si>
  <si>
    <t>območje 10 - AREH - BELVI</t>
  </si>
  <si>
    <t>Brezje pri Oplotnici 13, Brezje pri Oplotnici, 3214 Zreče</t>
  </si>
  <si>
    <t>Skomarje 32, Skomarje, 3214 Zreče</t>
  </si>
  <si>
    <t>DOL SUHA 38, 3332 Rečica ob Savinji</t>
  </si>
  <si>
    <t>LOGARSKA DOLINA 18, 3335 Solčava</t>
  </si>
  <si>
    <t>PLANINA 6, 8333 Semič</t>
  </si>
  <si>
    <t>Avče  59, 5213 Kanal</t>
  </si>
  <si>
    <t>Rižanski vodovod Koper</t>
  </si>
  <si>
    <t>filtri, koagulacija, flokulacija, redna dezinfekcija, dezinfekcija s plinskim klorom, dezinfekcija z ozonom, dezinfekcija z UV žarki</t>
  </si>
  <si>
    <t>Komunalno stanovanjska družba d.o.o.</t>
  </si>
  <si>
    <t>filtri, redna dezinfekcija, dezinfekcija z natrijevim hipokloritom, dezinfekcija z UV žarki</t>
  </si>
  <si>
    <t>dezinfekcija s plinskim klorom, dezinfekcija z UV žarki</t>
  </si>
  <si>
    <t>Straža, Bife Zamorček</t>
  </si>
  <si>
    <t>Pod Srobotnikom 3, 8351 Straža</t>
  </si>
  <si>
    <t>koagulacija, flokulacija, ultrafiltracija, dezinfekcija s plinskim klorom, dezinfekcija z UV žarki</t>
  </si>
  <si>
    <t>Komunala Brežice</t>
  </si>
  <si>
    <t>Bizeljska cesta 37, 8250 Brežice</t>
  </si>
  <si>
    <t>Komunala Ormož d.o.o.</t>
  </si>
  <si>
    <t>dezinfekcija z natrijevim hipokloritom, dezinfekcija z UV žarki</t>
  </si>
  <si>
    <t>redna dezinfekcija, dezinfekcija z UV žarki</t>
  </si>
  <si>
    <t>ultrafiltracija, redna dezinfekcija, dezinfekcija z UV žarki</t>
  </si>
  <si>
    <t>Zdravstveni dom Domžale</t>
  </si>
  <si>
    <t>Mestni trg 2, 1230 Domžale</t>
  </si>
  <si>
    <t>Dragomelj 180, 1230 Domžale</t>
  </si>
  <si>
    <t>dezinfekcija s plinskim klorom, dezinfekcija z natrijevim hipokloritom, dezinfekcija z UV žarki</t>
  </si>
  <si>
    <t>CESTA V DOBROVCE 23, 2204 Miklavž na Dravskem polju</t>
  </si>
  <si>
    <t>Kidričeva 55, DRAVSKI DVOR, 2204 Miklavž na Dravskem polju</t>
  </si>
  <si>
    <t>filtri, koagulacija, flokulacija, dezinfekcija s plinskim klorom, dezinfekcija z ozonom, dezinfekcija z UV žarki</t>
  </si>
  <si>
    <t>Vipavska cesta 3, Rožna dolina, 5000 Nova Gorica</t>
  </si>
  <si>
    <t>Ulica prvoborcev 16, Ljubljana Bežigrad, 1000 Ljubljana</t>
  </si>
  <si>
    <t>Peričeva ulica 6, Ljubljana Bežigrad, 1000 Ljubljana</t>
  </si>
  <si>
    <t>Vrtec Mojca, enota Rožle</t>
  </si>
  <si>
    <t>Reboljeva 18, Ljubljana - Bežigrad, 1000 Ljubljana</t>
  </si>
  <si>
    <t>Vrtec Pedenjped - enota Radovednež</t>
  </si>
  <si>
    <t>filtri, dezinfekcija z natrijevim hipokloritom, dezinfekcija z UV žarki</t>
  </si>
  <si>
    <t>Cesta na Fužine 1, 8233 Mirna</t>
  </si>
  <si>
    <t>Komunala Tržič d.o.o.</t>
  </si>
  <si>
    <t>dezinfekcija z UV žarki</t>
  </si>
  <si>
    <t>redna dezinfekcija, dezinfekcija s plinskim klorom, dezinfekcija z UV žarki</t>
  </si>
  <si>
    <t>redna dezinfekcija, dezinfekcija z natrijevim hipokloritom, dezinfekcija z UV žarki</t>
  </si>
  <si>
    <t>Trgovina in gostinstvo Gregor Zdravka Blažič s.p., Bar Gregor</t>
  </si>
  <si>
    <t>pipa v garaži</t>
  </si>
  <si>
    <t>Janežovski vrh 45, 2253 Destrnik</t>
  </si>
  <si>
    <t>Migojnice 6a, 3302 Griže</t>
  </si>
  <si>
    <t>Senožeti 93, Senožeti, 1000 Ljubljana</t>
  </si>
  <si>
    <t>Vrtec Vrhovci, enota Rožnik</t>
  </si>
  <si>
    <t>Ob dolenjski železnici 10, Ljubljana Galjevica, 1000 Ljubljana</t>
  </si>
  <si>
    <t>Vrtec Dokležovje</t>
  </si>
  <si>
    <t>Glavna ulica 15, Dokležovje, 9231 Beltinci</t>
  </si>
  <si>
    <t>dezinfekcija s klorovim dioksidom, dezinfekcija z UV žarki</t>
  </si>
  <si>
    <t>koagulacija, flokulacija, ultrafiltracija, dezinfekcija s plinskim klorom, dezinfekcija z natrijevim hipokloritom, dezinfekcija z UV žarki</t>
  </si>
  <si>
    <t>Trg 25 Maja 1, 1317 Sodražica</t>
  </si>
  <si>
    <t>občasna dezinfekcija, redna dezinfekcija, dezinfekcija s plinskim klorom, dezinfekcija z UV žarki</t>
  </si>
  <si>
    <t>Pelechova cesta 83, Domžale, 1235 Radomlje</t>
  </si>
  <si>
    <t>Vodovodna zadruga Lom pod Storžičem</t>
  </si>
  <si>
    <t>Lom pod Storžičem 12, Lom pod Storžičem, 4290 Tržič</t>
  </si>
  <si>
    <t>Bife Gasilski dom, Brezje pri Tržiču</t>
  </si>
  <si>
    <t>Brezje pri Tržiču 55, Brezje pri Tržiču, 4290 Tržič</t>
  </si>
  <si>
    <t>Pekarna Rž</t>
  </si>
  <si>
    <t>PARTIZANSKA CESTA 10, 2392 Mežica</t>
  </si>
  <si>
    <t>Kneža 43, Most na Soči, 5220 Tolmin</t>
  </si>
  <si>
    <t>Trgovina Tomažič</t>
  </si>
  <si>
    <t>Gladomes 74, 2316 Zgornja Ložnica</t>
  </si>
  <si>
    <t>dezinfekcija s plinskim klorom, dezinfekcija s klorovim dioksidom, dezinfekcija z UV žarki</t>
  </si>
  <si>
    <t>Aljažev hram</t>
  </si>
  <si>
    <t>Smolko Jožefa</t>
  </si>
  <si>
    <t>filtri, koagulacija, flokulacija, dezinfekcija s klorovim dioksidom, dezinfekcija z UV žarki</t>
  </si>
  <si>
    <t>Velika Strmica, Papež Alojz</t>
  </si>
  <si>
    <t>Breže, Ogrinc Ivan</t>
  </si>
  <si>
    <t>Breže 1, 1310 Ribnica</t>
  </si>
  <si>
    <t>Gostilna Slatnar, Ambrož pod Krvavcem</t>
  </si>
  <si>
    <t>Ambrož 6, Ambrož pod Krvavcem, 4207 Cerklje na Gorenjskem</t>
  </si>
  <si>
    <t>filtri, dezinfekcija z UV žarki</t>
  </si>
  <si>
    <t>Gornji Križ, Kuhelj</t>
  </si>
  <si>
    <t>Gornji Križ 3</t>
  </si>
  <si>
    <t>Stanovanjski objekt (Klavžar)</t>
  </si>
  <si>
    <t>Casa latina Sas bar, Matjaž Mlakar s.p.</t>
  </si>
  <si>
    <t>Otalež  30, Otalež, 5282 Cerkno</t>
  </si>
  <si>
    <t>Senično 15, Senično, 4294 Križe</t>
  </si>
  <si>
    <t>Gostilna Zadružnik</t>
  </si>
  <si>
    <t>filtri, dezinfekcija s plinskim klorom, dezinfekcija z UV žarki</t>
  </si>
  <si>
    <t>Vinotoč Janžič</t>
  </si>
  <si>
    <t>Tinjska gora 88, 2316 Zgornja Ložnica</t>
  </si>
  <si>
    <t>Občina Sv. Andraž v Slovenskih goricah</t>
  </si>
  <si>
    <t>Vrtec Polžek</t>
  </si>
  <si>
    <t>Prežganje 7, 1000 Ljubljana</t>
  </si>
  <si>
    <t>Sovinja peč - Rožično</t>
  </si>
  <si>
    <t>Sužid 8, Sužid, 5222 Kobarid</t>
  </si>
  <si>
    <t>Pobrež 2, Pobrež, 3210 Slovenske Konjice</t>
  </si>
  <si>
    <t>Vrtec Ožbalt</t>
  </si>
  <si>
    <t>Ožbalt 10, 2361 Ožbalt</t>
  </si>
  <si>
    <t>Zgornja Vižinga, 2360 Radlje ob Dravi</t>
  </si>
  <si>
    <t>Griže 120 a, 3302 Griže</t>
  </si>
  <si>
    <t>Komunala Mežica</t>
  </si>
  <si>
    <t>BREG 13, 2392 Mežica</t>
  </si>
  <si>
    <t>Zabukovica 72, 3302 Griže</t>
  </si>
  <si>
    <t>Zgornja Ložnica 43, 2316 Zgornja Ložnica</t>
  </si>
  <si>
    <t>Stare žage 13, 8350 Dolenjske Toplice</t>
  </si>
  <si>
    <t>Dežno pri Makolah 66, 2321 Makole</t>
  </si>
  <si>
    <t>Janžič</t>
  </si>
  <si>
    <t>Kostanjevec 68, 2316 Zgornja Ložnica</t>
  </si>
  <si>
    <t>Rožno Dolenji Leskovec</t>
  </si>
  <si>
    <t>Rožno, Turk Alojz</t>
  </si>
  <si>
    <t>Rožno  11b, Rožno, 8280 Brestanica</t>
  </si>
  <si>
    <t>Gozd 9, Gozd, 4294 Križe</t>
  </si>
  <si>
    <t>Križna cesta 31 b, Spodnje Hoče, 2311 Hoče</t>
  </si>
  <si>
    <t>Petrinci 5, 1317 Sodražica</t>
  </si>
  <si>
    <t>VO Zagaber - Straža</t>
  </si>
  <si>
    <t>St. h. Plužnje 5</t>
  </si>
  <si>
    <t>Plužnje 5, 5282 Cerkno</t>
  </si>
  <si>
    <t>Pongrac 71 a, 3302 Griže</t>
  </si>
  <si>
    <t>Hudajužna 22C, 5242 Grahovo ob Bači</t>
  </si>
  <si>
    <t>ni priprave, dezinfekcija z UV žarki</t>
  </si>
  <si>
    <t>VO Bistrica pri Tržiču</t>
  </si>
  <si>
    <t>Pod Gradom 2, Bistrica pri Tržiču, 4290 Tržič</t>
  </si>
  <si>
    <t>Janežič</t>
  </si>
  <si>
    <t>Vodovod Rožno</t>
  </si>
  <si>
    <t>Rožno</t>
  </si>
  <si>
    <t>Rožno 34, 8280 Brestanica</t>
  </si>
  <si>
    <t>Križe 21, 8282 Koprivnica</t>
  </si>
  <si>
    <t>Tinjska gora  10, 2316 Zgornja Ložnica</t>
  </si>
  <si>
    <t>ni priprave, ni podatka, dezinfekcija z UV žarki</t>
  </si>
  <si>
    <t>stanovanjski objekt Peternel Jože, Delnice</t>
  </si>
  <si>
    <t>Križevska vas</t>
  </si>
  <si>
    <t>Križevska vas 1, Križevska vas, 1262 Dol pri Ljubljani</t>
  </si>
  <si>
    <t>stanovanjski objekt Obrne, Križaj Andrej</t>
  </si>
  <si>
    <t>stanovanjski objekt (Založnik)</t>
  </si>
  <si>
    <t>St. h. Niževec 1</t>
  </si>
  <si>
    <t>Niževec 1, 1353 Borovnica</t>
  </si>
  <si>
    <t>Padež 2, Vrhnika - Padež, 1360 Vrhnika</t>
  </si>
  <si>
    <t>Plužna  33, 5230 Bovec</t>
  </si>
  <si>
    <t>korito v garaži</t>
  </si>
  <si>
    <t>Zabukovica 24, 3302 Griže</t>
  </si>
  <si>
    <t>Gostilna Anžek</t>
  </si>
  <si>
    <t>Kozmetični studio Oranža</t>
  </si>
  <si>
    <t>Fužine 3A, Fužine, 4224 Gorenja vas</t>
  </si>
  <si>
    <t>Paloviče 9, Paloviče, 4290 Tržič</t>
  </si>
  <si>
    <t>Ljubljanska cesta 58 A, 1230 Domžale</t>
  </si>
  <si>
    <t>Centralna tržnica Nova Gorica</t>
  </si>
  <si>
    <t>Možjanca 4, 4205 Preddvor</t>
  </si>
  <si>
    <t>Vrtec Sežana</t>
  </si>
  <si>
    <t>Regentova ulica 1, 6210 Sežana</t>
  </si>
  <si>
    <t>Senožeti 53, Senožeti, 1262 Dol pri Ljubljani</t>
  </si>
  <si>
    <t>garaža, korito</t>
  </si>
  <si>
    <t>Vavta vas 1, 8351 Straža</t>
  </si>
  <si>
    <t>Pritržnik Branko</t>
  </si>
  <si>
    <t>Spodnje Laže 2 a, 3215 Loče</t>
  </si>
  <si>
    <t>Jelendol 10, Jelendol, 4290 Tržič</t>
  </si>
  <si>
    <t xml:space="preserve">pipa v garaži </t>
  </si>
  <si>
    <t>MALO TINJE 4, ZG. Ložnica, 2316 Zgornja Ložnica</t>
  </si>
  <si>
    <t>Omrežje, hidrant pri Podljubelj 317</t>
  </si>
  <si>
    <t>Podljubelj 317, Podljubelj, 4290 Tržič</t>
  </si>
  <si>
    <t>Dolina 15, Dolina, 4290 Tržič</t>
  </si>
  <si>
    <t>JELENDOL 35, 4290 Tržič</t>
  </si>
  <si>
    <t>GOZD 14, 4294 Križe</t>
  </si>
  <si>
    <t>JELENDOL 31, 4290 Tržič</t>
  </si>
  <si>
    <t>Urh 5, 2316 Zgornja Ložnica</t>
  </si>
  <si>
    <t>BREG 5, 2392 Mežica</t>
  </si>
  <si>
    <t>ultrafiltracija, dezinfekcija z UV žarki</t>
  </si>
  <si>
    <t>Železo</t>
  </si>
  <si>
    <t>Živo srebro</t>
  </si>
  <si>
    <t>RIŽANSKI VODOVOD</t>
  </si>
  <si>
    <t>FAZANSKA UL 3, PORTOROŽ - LUCIJA, 6320 Portorož - Portorose</t>
  </si>
  <si>
    <t>BREŽICE</t>
  </si>
  <si>
    <t>ORMOŽ</t>
  </si>
  <si>
    <t>SVETI TOMAŽ 11, 2258 Sveti Tomaž</t>
  </si>
  <si>
    <t>Zabreznica 4, 4274 Žirovnica</t>
  </si>
  <si>
    <t>Vrtec PRAGERSKO (Vrtec Otona Župančiča Slovenska Bistrica)</t>
  </si>
  <si>
    <t>Žabnica 20, 4209 Žabnica</t>
  </si>
  <si>
    <t>JKP Žalec, d.o.o.</t>
  </si>
  <si>
    <t>ŽALEC</t>
  </si>
  <si>
    <t>Vrtec Žalec - Enota Petrovče</t>
  </si>
  <si>
    <t>Galicija 18 e, 3310 Žalec</t>
  </si>
  <si>
    <t>VRTEC JADVIGE GOLEŽ</t>
  </si>
  <si>
    <t>VODARNA PODGRAD - SEGOVCI (OMREŽJE RADENCI)</t>
  </si>
  <si>
    <t>Kostanjevica, gostilna Žolnir</t>
  </si>
  <si>
    <t>ŽIRI</t>
  </si>
  <si>
    <t>ŽEGNANI STUDENEC</t>
  </si>
  <si>
    <t>ŽEGNANI STUDENC</t>
  </si>
  <si>
    <t>Občina Železniki</t>
  </si>
  <si>
    <t>ŽELEZNIKI</t>
  </si>
  <si>
    <t>Otoki 13, 4228 Železniki</t>
  </si>
  <si>
    <t>TREBIJA -TODRAŽ</t>
  </si>
  <si>
    <t>TREBIJA - TODRAŽ</t>
  </si>
  <si>
    <t>FUŽINE - OBSOTELJE</t>
  </si>
  <si>
    <t>JAVNI VODOVODNI SISTEM JELOVEC- MAKOLE- DOLINA LOŽNICE</t>
  </si>
  <si>
    <t>JELOVEC - MAKOLE - DOLINA LOŽNICE</t>
  </si>
  <si>
    <t>Moste 44, 4274 Žirovnica</t>
  </si>
  <si>
    <t>Žetale 4, 2287 Žetale</t>
  </si>
  <si>
    <t>GRIŽE</t>
  </si>
  <si>
    <t>Kava bar Žika</t>
  </si>
  <si>
    <t>VS ŽBK NC ViV</t>
  </si>
  <si>
    <t>ŽUŽEMBERK NIZKA CONA VINKOV VRH</t>
  </si>
  <si>
    <t>Baragova cesta 1, 8360 Žužemberk</t>
  </si>
  <si>
    <t>Vrtec Otona Župančiča, enota Živ Žav</t>
  </si>
  <si>
    <t>Vrtec Otona Župančiča, enota Mehurčki</t>
  </si>
  <si>
    <t>Baragova c. 1, Žužemberg, 8360 Žužemberk</t>
  </si>
  <si>
    <t>DOKLEŽOVJE</t>
  </si>
  <si>
    <t>STARI TRG - LOŽ</t>
  </si>
  <si>
    <t>BRUSNICE - RATEŽ</t>
  </si>
  <si>
    <t>KUTEŽEVO</t>
  </si>
  <si>
    <t>KUTEŽEVO 2F, ILIRSKA BISTRICA - KUTEŽEVO, 6250 Ilirska Bistrica</t>
  </si>
  <si>
    <t>DREŽNICA</t>
  </si>
  <si>
    <t>PAROŽ</t>
  </si>
  <si>
    <t>SODRAŽICA</t>
  </si>
  <si>
    <t>Sodražica, bistro Ž</t>
  </si>
  <si>
    <t>LOŽICE</t>
  </si>
  <si>
    <t>ŽAGA 2</t>
  </si>
  <si>
    <t>ŽAGA</t>
  </si>
  <si>
    <t>DOLENJA VAS (Železniki)</t>
  </si>
  <si>
    <t>MEŽICA</t>
  </si>
  <si>
    <t>VRTEC MEŽICA</t>
  </si>
  <si>
    <t>Župnijski urad (izlivka na vrtu)</t>
  </si>
  <si>
    <t>PRIMOŽ</t>
  </si>
  <si>
    <t>KNEŽAK</t>
  </si>
  <si>
    <t>Trgovina Žužek</t>
  </si>
  <si>
    <t>KNEŽAK 186, 6253 Knežak</t>
  </si>
  <si>
    <t>KNEŽA</t>
  </si>
  <si>
    <t>KS ZGORNJA LOŽNICA</t>
  </si>
  <si>
    <t>VS ŽBK VC Hydrovod</t>
  </si>
  <si>
    <t>ŽUŽEMBERK VISOKA CONA - HYDROVOD</t>
  </si>
  <si>
    <t xml:space="preserve">ŽELIMLJE </t>
  </si>
  <si>
    <t>ŽALNA</t>
  </si>
  <si>
    <t>Žalna 1, Žalna, 1290 Grosuplje</t>
  </si>
  <si>
    <t>KOT - JURJEVICA - BREŽE</t>
  </si>
  <si>
    <t>AMBROŽ POD KRVAVCEM</t>
  </si>
  <si>
    <t>Vrtec Ponikva pri Žalcu</t>
  </si>
  <si>
    <t>Ponikva pri Žalcu 17, 3310 Žalec</t>
  </si>
  <si>
    <t>LOKA PRI ŽUSMU</t>
  </si>
  <si>
    <t>LOKA PRI ŽUSMU 12, 3223 Loka pri Žusmu</t>
  </si>
  <si>
    <t>GORNJI KRIŽ</t>
  </si>
  <si>
    <t>Gornji Križ 16, 8360 Žužemberk</t>
  </si>
  <si>
    <t>Stolovnik, Žarn</t>
  </si>
  <si>
    <t>ŽERJAV</t>
  </si>
  <si>
    <t>VRTEC ŽERJAV</t>
  </si>
  <si>
    <t>Žeče 9a, 3210 Slovenske Konjice</t>
  </si>
  <si>
    <t>OTALEŽ</t>
  </si>
  <si>
    <t>Rudno 13, 4228 Železniki</t>
  </si>
  <si>
    <t>Bagrček Franc Železnik</t>
  </si>
  <si>
    <t>VRZDENEC - ŽAŽAR</t>
  </si>
  <si>
    <t>Bar Žičnica</t>
  </si>
  <si>
    <t>PODMELEC - KLAVŽE</t>
  </si>
  <si>
    <t>SUŽID</t>
  </si>
  <si>
    <t>POBREŽ</t>
  </si>
  <si>
    <t>OŽBALT</t>
  </si>
  <si>
    <t>ZGORNJA VIŽINGA</t>
  </si>
  <si>
    <t>STOMAŽ - BRITH</t>
  </si>
  <si>
    <t>SELA 2A, SEŽANA - SELA, 6210 Sežana</t>
  </si>
  <si>
    <t>BOHINJSKA BELA - ŽP</t>
  </si>
  <si>
    <t>BRITNO SELO - GRIŽE</t>
  </si>
  <si>
    <t>ŽIMARICE</t>
  </si>
  <si>
    <t>Žimarice 21, Žimarice, 1317 Sodražica</t>
  </si>
  <si>
    <t>MEŽICA - ZG. BREG</t>
  </si>
  <si>
    <t>St. h. Žlebe S. #170</t>
  </si>
  <si>
    <t>Rakulk 27, Rakulk, 4226 Žiri</t>
  </si>
  <si>
    <t>St. h. Žleb.</t>
  </si>
  <si>
    <t>Žlebič 44, 1310 Ribnica</t>
  </si>
  <si>
    <t>ZGORNJA LOŽNICA</t>
  </si>
  <si>
    <t xml:space="preserve">ZGORNJA LOŽNICA </t>
  </si>
  <si>
    <t>STARE ŽAGE</t>
  </si>
  <si>
    <t>DEŽNO</t>
  </si>
  <si>
    <t>Žigrski Vrh</t>
  </si>
  <si>
    <t>Žigrski Vrh 48, 8290 Sevnica</t>
  </si>
  <si>
    <t>ZGO Železarna Ravne</t>
  </si>
  <si>
    <t>Železarna Ravne</t>
  </si>
  <si>
    <t>KRAJEVNA SKUPNOST SEDRAŽ</t>
  </si>
  <si>
    <t>SEDRAŽ</t>
  </si>
  <si>
    <t>Zali Log 33B , Zali Log, 4228 Železniki</t>
  </si>
  <si>
    <t>ROŽNO - DOLENJI LESKOVEC</t>
  </si>
  <si>
    <t>KRIŽNA KAPELA</t>
  </si>
  <si>
    <t xml:space="preserve">ZAKRIŽ </t>
  </si>
  <si>
    <t>ZAKRIŽ</t>
  </si>
  <si>
    <t>ZAKRIŽ 10 - DELAVNICA</t>
  </si>
  <si>
    <t>ZAKRIŽ 10, 5282 Cerkno</t>
  </si>
  <si>
    <t>VINJE ŽABJA VAS</t>
  </si>
  <si>
    <t>St. h. Vin.Ž vas</t>
  </si>
  <si>
    <t>ŽLEBE - PLANINA - JETERBENK</t>
  </si>
  <si>
    <t>ŽLEBE - PLANINA - JETERBENK #2</t>
  </si>
  <si>
    <t>St. h. Žl. Pl. Jeter.</t>
  </si>
  <si>
    <t>Žlebe 51, 1215 Medvode</t>
  </si>
  <si>
    <t>G. Laknice, Železnik</t>
  </si>
  <si>
    <t>PLUŽNJE</t>
  </si>
  <si>
    <t>Zg. Sorica 3, 4228 Železniki</t>
  </si>
  <si>
    <t>HUDAJUŽNA</t>
  </si>
  <si>
    <t>KRIŽNA GORA</t>
  </si>
  <si>
    <t>ROŽNO</t>
  </si>
  <si>
    <t>KRIŽE</t>
  </si>
  <si>
    <t>Sistem za oskrbo s pitno vodo FIJAVŽ</t>
  </si>
  <si>
    <t>ŽLEBE</t>
  </si>
  <si>
    <t xml:space="preserve">ŽLEBE </t>
  </si>
  <si>
    <t>Žlebe 7, Žlebe, 1215 Medvode</t>
  </si>
  <si>
    <t>Podlonk 18, Podlonk, 4228 Železniki</t>
  </si>
  <si>
    <t>SELO 1 PRI ŽIREH</t>
  </si>
  <si>
    <t>Selo 87, Selo, 4226 Žiri</t>
  </si>
  <si>
    <t>BEDRIH (ŽIRI)</t>
  </si>
  <si>
    <t>Opekarska ulica 2, 4226 Žiri</t>
  </si>
  <si>
    <t>Goropeke 8, Goropeke, 4226 Žiri</t>
  </si>
  <si>
    <t>KRIŽEVSKA VAS</t>
  </si>
  <si>
    <t>Crngrob 5, Crngrob, 4209 Žabnica</t>
  </si>
  <si>
    <t>Gostilna pri Županu, Dobračeva</t>
  </si>
  <si>
    <t>Ledinica 12, Ledinica, 4226 Žiri</t>
  </si>
  <si>
    <t>NIŽEVEC DRAŽICA</t>
  </si>
  <si>
    <t>PLUŽNA</t>
  </si>
  <si>
    <t>Jože Žibert s.p.</t>
  </si>
  <si>
    <t>Spodnje Danje 6, 4228 Železniki</t>
  </si>
  <si>
    <t>BREZNICA NAD ŽIRMI</t>
  </si>
  <si>
    <t>Breznica pri Žireh 2a, Breznica pri Žireh, 4226 Žiri</t>
  </si>
  <si>
    <t>FUŽINE</t>
  </si>
  <si>
    <t>SKAPINOVA ULICA 2, LJUBLJANA - ROŽNA DOLINA, 1000 Ljubljana</t>
  </si>
  <si>
    <t>VODARNA ŽIHLAVA - TERBEGOVCI</t>
  </si>
  <si>
    <t>ZGORNJA LOŽNICA 66, 2316 Zgornja Ložnica</t>
  </si>
  <si>
    <t>G. LESKOVEC - LOŽICE</t>
  </si>
  <si>
    <t>ROŽNI DOL - POTOKI</t>
  </si>
  <si>
    <t>SPODNJE LAŽE</t>
  </si>
  <si>
    <t>Davča 22, 4228 Železniki</t>
  </si>
  <si>
    <t>OMREŽJE SMOLEJ</t>
  </si>
  <si>
    <t>MIKLAVŽ PRI TABORU 37, 3304 Tabor</t>
  </si>
  <si>
    <t>STARA FUŽINA 242, 4265 Bohinjsko jezero</t>
  </si>
  <si>
    <t>MOSTE 79, 4274 Žirovnica</t>
  </si>
  <si>
    <t>PD KRIŽE</t>
  </si>
  <si>
    <t>MOŽINA - POT V SKALE</t>
  </si>
  <si>
    <t>POT V SKALE 17, 4226 Žiri</t>
  </si>
  <si>
    <t>DOM NA MIRNI GORI - DEŽEVNICA</t>
  </si>
  <si>
    <t>MEŽICA - BREG</t>
  </si>
  <si>
    <t>MEŽICA - SP. BREG</t>
  </si>
  <si>
    <t>Podzemna - brez vpliva površinske vode</t>
  </si>
  <si>
    <t>Osnovna šola Ivan Cankar, Bogojina</t>
  </si>
  <si>
    <t>Splošna bolnišnica Murska Sobota - kuhinja</t>
  </si>
  <si>
    <t>pod vplivom površinske vode</t>
  </si>
  <si>
    <t>Bojana Vodopivca št.1, 5294 Dornberk</t>
  </si>
  <si>
    <t>Osnovna šola Draga Bajca</t>
  </si>
  <si>
    <t>Osnovna šola #19</t>
  </si>
  <si>
    <t>Podnanos št.71 , 5272 Podnanos</t>
  </si>
  <si>
    <t>Splošna bolnišnica Celje - pipa v hladni kuhinji</t>
  </si>
  <si>
    <t>Prešernova cesta 3, 3320 Velenje</t>
  </si>
  <si>
    <t>Osnovna šola Cerklje ob Krki</t>
  </si>
  <si>
    <t>Izletniška ulica 44, 4260 Bled</t>
  </si>
  <si>
    <t>Otroški vrtec Lesce</t>
  </si>
  <si>
    <t>Veliko Podlog , 8273 Leskovec pri Krškem</t>
  </si>
  <si>
    <t>Cesta 4. Julija 33, 8270 Krško</t>
  </si>
  <si>
    <t>Otroški vrtec Julke Pibernik, Jesenice</t>
  </si>
  <si>
    <t>Cesta Toneta Tomšiča 3, 4270 Jesenice</t>
  </si>
  <si>
    <t>Osnovna šola Žirovnica</t>
  </si>
  <si>
    <t>Osnovna šola Nevlje, Kamnik</t>
  </si>
  <si>
    <t>Reška cesta 6, 1330 Kočevje</t>
  </si>
  <si>
    <t>Osnovna šola Naklo</t>
  </si>
  <si>
    <t>Osnovna šola Žabnica</t>
  </si>
  <si>
    <t>Osnovna šola Orehek</t>
  </si>
  <si>
    <t>Osnovna šola Mengeš</t>
  </si>
  <si>
    <t>Osnovna šola Dragomelj</t>
  </si>
  <si>
    <t>Otroški vrtec Krtek, Ihan</t>
  </si>
  <si>
    <t>Javni loški vodovod (JLV)</t>
  </si>
  <si>
    <t>Osnovna šola pod goro - Slovenske Konjice</t>
  </si>
  <si>
    <t>Osnovna šola Žalec</t>
  </si>
  <si>
    <t>Podružnična osnovna šola Trje</t>
  </si>
  <si>
    <t>OKP Rogaška Slatina</t>
  </si>
  <si>
    <t>I. osnovna šola Rogaška Slatina</t>
  </si>
  <si>
    <t>Kidričeva 24, 3250 Rogaška Slatina</t>
  </si>
  <si>
    <t>Globočice, Kmečki turizem Tomše</t>
  </si>
  <si>
    <t>Globočice 8, 8262 Krška vas</t>
  </si>
  <si>
    <t>Otroški vrtec Idrija, Za Gradom</t>
  </si>
  <si>
    <t>Osnovna šola Stara cerkev</t>
  </si>
  <si>
    <t>HUBELJ Ajdovščina</t>
  </si>
  <si>
    <t>Otroški vrtec, Enota ob Hublju</t>
  </si>
  <si>
    <t>Ob Hublju 1, 5270 Ajdovščina</t>
  </si>
  <si>
    <t>Tomšičeva 32, 2000 Maribor</t>
  </si>
  <si>
    <t>Janševa ulica 3, 2000 Maribor</t>
  </si>
  <si>
    <t>Trg 25.maja št.9, Dobrovo, 5212 Dobrovo v Brdih</t>
  </si>
  <si>
    <t>pipa za šankom</t>
  </si>
  <si>
    <t>Vrtec Središče ob Dravi</t>
  </si>
  <si>
    <t>Breg  41, 2277 Središče ob Dravi</t>
  </si>
  <si>
    <t>bar Lovšin</t>
  </si>
  <si>
    <t>Osnovna šola Kuzma</t>
  </si>
  <si>
    <t>DSO, Dom starejših občanov Krško</t>
  </si>
  <si>
    <t>Kovinarska ulica 13, 8270 Krško</t>
  </si>
  <si>
    <t xml:space="preserve">omw Krško </t>
  </si>
  <si>
    <t>Prušnikova 29a, 3212 Vojnik</t>
  </si>
  <si>
    <t>Osnovna šola Antona Ingoliča</t>
  </si>
  <si>
    <t>Vrtec dr. France Prešeren</t>
  </si>
  <si>
    <t>Mercator, Prušnikova</t>
  </si>
  <si>
    <t>Vrtec Viški gaj, enota Bonifacija</t>
  </si>
  <si>
    <t>Vrtec Višji gaj, enota Kozarje</t>
  </si>
  <si>
    <t>Gašperšičeva 10, Ljubljana Fužine, 1000 Ljubljana</t>
  </si>
  <si>
    <t>Ob studencu 11a, Ljubljana Kašelj, 1000 Ljubljana</t>
  </si>
  <si>
    <t>Vrtec Miškolin, enota Zajčja Dobrava</t>
  </si>
  <si>
    <t>Zadobrovška 28a, Ljubljana Novo polje, 1000 Ljubljana</t>
  </si>
  <si>
    <t>Vrtec Lendava - Tomšičeva</t>
  </si>
  <si>
    <t>Tomšičeva ulica 6a, 9220 Lendava</t>
  </si>
  <si>
    <t>JKP Ravne na Koroškem</t>
  </si>
  <si>
    <t>Hraščice</t>
  </si>
  <si>
    <t>OO5- Juršinci, Dornava, Gorišnica</t>
  </si>
  <si>
    <t>Otroški vrtec Kropa</t>
  </si>
  <si>
    <t>Krška cesta 4, 8311 Kostanjevica na Krki</t>
  </si>
  <si>
    <t>Osnovna šola Krmelj - stara šola</t>
  </si>
  <si>
    <t>Otroški vrtec</t>
  </si>
  <si>
    <t>Otroški vrtec Pri sv.Ani, Žiri</t>
  </si>
  <si>
    <t>Loška 59, 4226 Žiri</t>
  </si>
  <si>
    <t xml:space="preserve">pipa za šankom </t>
  </si>
  <si>
    <t>Osnovna šola Kovor, Tržič</t>
  </si>
  <si>
    <t>Kriška cesta 15, Kovor, 4290 Tržič</t>
  </si>
  <si>
    <t>Osnovna šola Tržič -mesto</t>
  </si>
  <si>
    <t>Cesta Kokrškega odreda 16, Tržič - Križe, 4294 Križe</t>
  </si>
  <si>
    <t>Izviri podzemne vode s površinskim dotokom</t>
  </si>
  <si>
    <t>Osnovna šola  Cerklje</t>
  </si>
  <si>
    <t>Krvavška cesta 4, Cerklje, 4207 Cerklje na Gorenjskem</t>
  </si>
  <si>
    <t>Otroški vrtec Medvode</t>
  </si>
  <si>
    <t>Osnovna šola Duplje #127</t>
  </si>
  <si>
    <t>Osnovna šola Janko Kersnik, Brdo pri Lukovici</t>
  </si>
  <si>
    <t>Osnovna šola Dob, podružnica Krtina</t>
  </si>
  <si>
    <t>Osnovna šola Železniki</t>
  </si>
  <si>
    <t>DOBJA VAS 126, 2390 Ravne na Koroškem</t>
  </si>
  <si>
    <t>Podružnična osnovna šola</t>
  </si>
  <si>
    <t>Osnovna šola Preddvor</t>
  </si>
  <si>
    <t>Osnovna šola Kranjska gora - vrtec</t>
  </si>
  <si>
    <t>Koroška ulica 9, 4280 Kranjska Gora</t>
  </si>
  <si>
    <t>Osnovna šola Mojstrana</t>
  </si>
  <si>
    <t>Otroški vrtec Ostržek, Golnik</t>
  </si>
  <si>
    <t>Osnovna šola Gorenja vas</t>
  </si>
  <si>
    <t>Osnovna šola Stranice</t>
  </si>
  <si>
    <t>Osnovna šola Braslovče/vrtec</t>
  </si>
  <si>
    <t>Komunala Laško</t>
  </si>
  <si>
    <t>Osnovna šola Primoža Trubarja Laško</t>
  </si>
  <si>
    <t>Trubarjeva 20, 3270 Laško</t>
  </si>
  <si>
    <t>Zdravilišče Laško</t>
  </si>
  <si>
    <t>Zdraviliška cesta 4, 3270 Laško</t>
  </si>
  <si>
    <t>Srednja šola Sevnica</t>
  </si>
  <si>
    <t>Podružnična osnovna šola Pristava pri Mestinju</t>
  </si>
  <si>
    <t>Stanovanjska hiša Ulčnik Viljem - Golobinjek</t>
  </si>
  <si>
    <t>Grgar št.35a , 5251 Grgar</t>
  </si>
  <si>
    <t>Mazej- Topolščica</t>
  </si>
  <si>
    <t>Vrtec Urška Topolšica</t>
  </si>
  <si>
    <t>Topolšica 98, 3326 Topolšica</t>
  </si>
  <si>
    <t>Pišece ,  , 8255 Pišece</t>
  </si>
  <si>
    <t>pipa v šanku</t>
  </si>
  <si>
    <t>Železniška ulica 1, LESCE</t>
  </si>
  <si>
    <t>Stanovanjska hiša #244</t>
  </si>
  <si>
    <t>Mali Nerajec  4a, 8343 Dragatuš</t>
  </si>
  <si>
    <t>KS Boštanj</t>
  </si>
  <si>
    <t>38, 8294 Boštanj</t>
  </si>
  <si>
    <t>Tržaška cesta 27, 1370 Logatec</t>
  </si>
  <si>
    <t>stan. hiša</t>
  </si>
  <si>
    <t>OO-7- Ptuj, Grajenščak</t>
  </si>
  <si>
    <t>OO-6- Dravsko polje in Majšperk</t>
  </si>
  <si>
    <t>Starše 5, 2205 Starše</t>
  </si>
  <si>
    <t>Gaberje - Turnišče</t>
  </si>
  <si>
    <t>Srednja poklicna in strokovna šola Zreče</t>
  </si>
  <si>
    <t>Osnovna šola Dutovlje</t>
  </si>
  <si>
    <t>Hudičev graben - Landšperg</t>
  </si>
  <si>
    <t>Osnovna šola Spodnja Idrija, pipa v kuhinji</t>
  </si>
  <si>
    <t>Pokopališče Ozeljan</t>
  </si>
  <si>
    <t>Trgovina Tuš market (KEA)</t>
  </si>
  <si>
    <t>Dom za starejše občane</t>
  </si>
  <si>
    <t>Koroška cesta 67, 2360 Radlje ob Dravi</t>
  </si>
  <si>
    <t>Dom starejših občanov</t>
  </si>
  <si>
    <t>Gomilica , Gomilica, 9224 Turnišče</t>
  </si>
  <si>
    <t>Stanovanjska hiša</t>
  </si>
  <si>
    <t>Gederovci 16, Gederovci, 9251 Tišina</t>
  </si>
  <si>
    <t>Stanovanjska hiša Ulipi Ernest - Toplica Frankolovo</t>
  </si>
  <si>
    <t>Bezenškovo Bukovje 7, 3213 Frankolovo</t>
  </si>
  <si>
    <t>Osnovna šola Staneta Žagarja Ovsiše</t>
  </si>
  <si>
    <t>Ovsiše 56, 4244 Podnart</t>
  </si>
  <si>
    <t>Dolenja vas, Dolenja vas pri Krškem, 8270 Krško</t>
  </si>
  <si>
    <t>Radovica, gostilna Radoš</t>
  </si>
  <si>
    <t>Osnovna šola Fran Kocbek Gornji Grad</t>
  </si>
  <si>
    <t>Skrbinšek</t>
  </si>
  <si>
    <t>Stanovanjska hiša Furman Franc - Konjiška vas</t>
  </si>
  <si>
    <t>Konjiška vas 12, 3210 Slovenske Konjice</t>
  </si>
  <si>
    <t>Osnovna šola Simona Gregorčiča Kobarid- Podružnična šola Drežnica</t>
  </si>
  <si>
    <t>Drežnica št.16e , 5222 Kobarid</t>
  </si>
  <si>
    <t>Stanovanjska hiša (Počevalnik Jože)</t>
  </si>
  <si>
    <t>Osnovna šola</t>
  </si>
  <si>
    <t>Smast št.13 , 5222 Kobarid</t>
  </si>
  <si>
    <t>Ložice št.22 , 5213 Kanal</t>
  </si>
  <si>
    <t>Loški potok 101, 1318 Loški Potok</t>
  </si>
  <si>
    <t>Osnovna šola Zg.Besnica</t>
  </si>
  <si>
    <t>Osnovna šola Komenda</t>
  </si>
  <si>
    <t>Osnovna šola Jurij Vega, Moravče</t>
  </si>
  <si>
    <t>Prešernova cesta 21, 1235 Radomlje</t>
  </si>
  <si>
    <t>Osnovna šola Preserje pri Radomljah</t>
  </si>
  <si>
    <t>Žaga št. 29 , 5230 Bovec</t>
  </si>
  <si>
    <t>Osnovna šola Jezersko</t>
  </si>
  <si>
    <t>Osnovna šola Dobrova</t>
  </si>
  <si>
    <t>Osnovna šola Polhov Gradec</t>
  </si>
  <si>
    <t>Otroški vrtec Horjul</t>
  </si>
  <si>
    <t>Osnovna šola Selca</t>
  </si>
  <si>
    <t>Gostilna Pošta - Radmirje</t>
  </si>
  <si>
    <t>Društvo krajanov Reka Pohorje</t>
  </si>
  <si>
    <t>Osnovna šola Lom pod Storžičem</t>
  </si>
  <si>
    <t>Osnovna šola Blanca</t>
  </si>
  <si>
    <t>Vrtec Letuš</t>
  </si>
  <si>
    <t>Trška cesta 76, 3254 Podčetrtek</t>
  </si>
  <si>
    <t>Osnovna šola Bistrica ob Sotli</t>
  </si>
  <si>
    <t>Veliki Trn 1, Veliki Trn, 8270 Krško</t>
  </si>
  <si>
    <t>Stanovanjska hiša Hrašar Jože - Podvin</t>
  </si>
  <si>
    <t>Stanovanjska hiša #184</t>
  </si>
  <si>
    <t>Ročinj št.29 , 5215 Ročinj</t>
  </si>
  <si>
    <t xml:space="preserve">pipa pred hišo </t>
  </si>
  <si>
    <t>KS Kamnje-Potoče, Vaški vodovod KAMNJE</t>
  </si>
  <si>
    <t>Cerovec pod Bočem 1 b, 3250 Rogaška Slatina</t>
  </si>
  <si>
    <t>stanovanjska hiša</t>
  </si>
  <si>
    <t>Javorniški rovt 25, 4270 Jesenice</t>
  </si>
  <si>
    <t>Osnovna šola Apače</t>
  </si>
  <si>
    <t>JAvna izlivka pred št. 20</t>
  </si>
  <si>
    <t>Pipa pred hišo</t>
  </si>
  <si>
    <t>stanov. hiša</t>
  </si>
  <si>
    <t>Stan. hiša</t>
  </si>
  <si>
    <t>Laška vas - Bojansko</t>
  </si>
  <si>
    <t>Stan. Hiša Kompole</t>
  </si>
  <si>
    <t>VVZ Turnišče</t>
  </si>
  <si>
    <t>ZORANINA ULICA 5, 1234 Mengeš</t>
  </si>
  <si>
    <t>Troštova 24, 1292 Ig</t>
  </si>
  <si>
    <t>Sta. hiša Kač</t>
  </si>
  <si>
    <t>Košnica 53, 3000 Celje</t>
  </si>
  <si>
    <t>Vrtec škratka Svitka</t>
  </si>
  <si>
    <t>Bar Uršič</t>
  </si>
  <si>
    <t>Somešca</t>
  </si>
  <si>
    <t>VVO Velike Lašče</t>
  </si>
  <si>
    <t>Gostilna Blegoš Javorje</t>
  </si>
  <si>
    <t>Podružnična šola Jevnica</t>
  </si>
  <si>
    <t>Stan. hiša Posedi</t>
  </si>
  <si>
    <t>Leše 35, Leše, 2391 Prevalje</t>
  </si>
  <si>
    <t>Zidanica Gorišek Marjan</t>
  </si>
  <si>
    <t>Osnovna šola Hodoš</t>
  </si>
  <si>
    <t>Hodoš 53, Hodoš, 9205 Hodoš - Hodos</t>
  </si>
  <si>
    <t>Gostišče Grebenšek - Bele vode</t>
  </si>
  <si>
    <t>Mladinsko klimatsko zdravilišče</t>
  </si>
  <si>
    <t>RAZDRTO 1E, 6225 Hruševje</t>
  </si>
  <si>
    <t>VELIKO UBELJSKO 26, 6225 Hruševje</t>
  </si>
  <si>
    <t>Polšnik 23, Litija, 1272 Polšnik</t>
  </si>
  <si>
    <t>Gostišče na Hrastu - Brunskole</t>
  </si>
  <si>
    <t>Rečica 170, 3270 Laško</t>
  </si>
  <si>
    <t>Gostilna Brišar</t>
  </si>
  <si>
    <t>Grahovo ob Bači št. 45, 5242 Grahovo ob Bači</t>
  </si>
  <si>
    <t>Stanovanjska hiša Vehovar Jožef - Nunska gora</t>
  </si>
  <si>
    <t>Vrsno št.11 , 5222 Kobarid</t>
  </si>
  <si>
    <t>Osnovna šola Dražgoše</t>
  </si>
  <si>
    <t>Dražgoše 35, Dražgoše, 4228 Železniki</t>
  </si>
  <si>
    <t>Stanovanjska hiša (Mušič Avgust))</t>
  </si>
  <si>
    <t>Osnovna šola Lučine</t>
  </si>
  <si>
    <t>Podmolniška c. 22, Podmolnik, 1261 Ljubljana - Dobrunje</t>
  </si>
  <si>
    <t>Stanovanjska hiša Rušnik Karel - Žeče</t>
  </si>
  <si>
    <t>Predilniška 16, 4290 Tržič</t>
  </si>
  <si>
    <t>Javna izlivka pri pokopališču</t>
  </si>
  <si>
    <t>Zaplana - stanovanjska hiša</t>
  </si>
  <si>
    <t>KS Dolenja Trebuša</t>
  </si>
  <si>
    <t>Obrekar Franc, Dolenja Trebuša 12, 5283 Slap ob Idrijci</t>
  </si>
  <si>
    <t>Iška vas 2, 1292 Ig</t>
  </si>
  <si>
    <t>Demšar Tomaž s.p. Pohištveno mizarstvo Rudno</t>
  </si>
  <si>
    <t>Log 40, 8294 Boštanj</t>
  </si>
  <si>
    <t>Center šolskih in obšolskih dejavnosti - Dom Planinka</t>
  </si>
  <si>
    <t>Slivniško Pohorje 39, 2208 Pohorje</t>
  </si>
  <si>
    <t>Sveti Florijan 60, 3250 Rogaška Slatina</t>
  </si>
  <si>
    <t>Brunk in Brunška gora</t>
  </si>
  <si>
    <t>Podružnična šola Hotič</t>
  </si>
  <si>
    <t>Podružnična šola Dole pri Litiji</t>
  </si>
  <si>
    <t>Paški Kozjak</t>
  </si>
  <si>
    <t>Planinski dom Paški Kozjak</t>
  </si>
  <si>
    <t>Paški Kozjak 61, 3320 Velenje</t>
  </si>
  <si>
    <t>Javna izlivka pred št. 8</t>
  </si>
  <si>
    <t>Javna izlivka pred št. 34</t>
  </si>
  <si>
    <t>Vodovodna zadruga Blegoš</t>
  </si>
  <si>
    <t>Lešnik</t>
  </si>
  <si>
    <t>Podružnična šola Laze</t>
  </si>
  <si>
    <t>Podružnična šola Hotedršica</t>
  </si>
  <si>
    <t>Hotedršica 120, 1372 Hotedršica</t>
  </si>
  <si>
    <t>Vršič Karel</t>
  </si>
  <si>
    <t>Slavšina  22a, 2255 Vitomarci</t>
  </si>
  <si>
    <t>Pr Končovc, Aleš Kristan</t>
  </si>
  <si>
    <t>Polica - Gradišče</t>
  </si>
  <si>
    <t>KS Višnja gora</t>
  </si>
  <si>
    <t>Jeromščica</t>
  </si>
  <si>
    <t>Jeromščica Višnja gora</t>
  </si>
  <si>
    <t>Ciglerjeva 27, 1294 Višnja Gora</t>
  </si>
  <si>
    <t xml:space="preserve">Stan. hiša, Mala Ligojna </t>
  </si>
  <si>
    <t>Stan. hiša Libeliče</t>
  </si>
  <si>
    <t>VO Kališovec</t>
  </si>
  <si>
    <t>Kališovec -Brezje- Dolenji Leskovec</t>
  </si>
  <si>
    <t>Kališovec -Brezje-  Dolenji Leskovec</t>
  </si>
  <si>
    <t>VZ Leše</t>
  </si>
  <si>
    <t>Leše</t>
  </si>
  <si>
    <t>Leše - Hudi graben</t>
  </si>
  <si>
    <t>Leše 6, 4290 Tržič</t>
  </si>
  <si>
    <t>Stanovanjska hiša Avguštin</t>
  </si>
  <si>
    <t>Pokoše 21, Pokoše, 2314 Zgornja Polskava</t>
  </si>
  <si>
    <t>Podružnična šola Gozd</t>
  </si>
  <si>
    <t>Podružnična šola Sela pri Kamniku</t>
  </si>
  <si>
    <t>Markovo - Podhruška</t>
  </si>
  <si>
    <t>Cirkuše v Tuhinju 8, Cirkuše v Tuhinju, 1219 Laze v Tuhinju</t>
  </si>
  <si>
    <t>Stanovanjska hiša, Kamenik Metka</t>
  </si>
  <si>
    <t>Završe 46, Završe, 2382 Mislinja</t>
  </si>
  <si>
    <t>Stanovanjska hiša, Skornšek Jože</t>
  </si>
  <si>
    <t>Stan. hiša, Okrog 14A</t>
  </si>
  <si>
    <t>Stan. hiša Visoko</t>
  </si>
  <si>
    <t>Božje, Koritno, Kovaški vrh, Brezje</t>
  </si>
  <si>
    <t>Stan. hiša Marjan Dečar</t>
  </si>
  <si>
    <t>N stil stavbno pohištvo, Denis Nagode s.p.</t>
  </si>
  <si>
    <t>stan hiša</t>
  </si>
  <si>
    <t>stan.hiša</t>
  </si>
  <si>
    <t>Javna izlivka pri št. 28</t>
  </si>
  <si>
    <t>Javna izlivka nasproti št. 34</t>
  </si>
  <si>
    <t>Osnovna šola Dobje</t>
  </si>
  <si>
    <t>Javna izlivka Ljubinj pred št. 40</t>
  </si>
  <si>
    <t>Vršiška cesta 41, 4280 Kranjska Gora</t>
  </si>
  <si>
    <t>pipa pred hišo</t>
  </si>
  <si>
    <t>STOMAŽ 39, STOMAŽ, 5270 Ajdovščina</t>
  </si>
  <si>
    <t>Posestvo Gjerkeš</t>
  </si>
  <si>
    <t>Fikšinci 49, Fikšinci, 9262 Rogašovci</t>
  </si>
  <si>
    <t>Gostilna Batišt, Boh.Bela</t>
  </si>
  <si>
    <t>stanovanjski objekt Kramar,  Nemški rovt</t>
  </si>
  <si>
    <t>Nemški rovt 3A, Nemški rovt, 4264 Bohinjska Bistrica</t>
  </si>
  <si>
    <t>Stanovanjska hiša Diklič Andrej - Britno selo</t>
  </si>
  <si>
    <t>Petrovo brdo št.7, 5243 Podbrdo</t>
  </si>
  <si>
    <t>Osnovna šola Topol</t>
  </si>
  <si>
    <t>Strojne inštalacije, Klemen Berce s.p.</t>
  </si>
  <si>
    <t>Osnovna šola Bukovščica</t>
  </si>
  <si>
    <t>Bukovščica 4, Bukovščica, 4227 Selca</t>
  </si>
  <si>
    <t>Osnovna šola Lenart nad Lušo</t>
  </si>
  <si>
    <t>Lenart nad Lušo 24, Lenart nad Lušo, 4227 Selca</t>
  </si>
  <si>
    <t>Stanovanjska hiša (Silvo Nuč)</t>
  </si>
  <si>
    <t>Osnovna šola Sovodenj</t>
  </si>
  <si>
    <t>Pokopališče</t>
  </si>
  <si>
    <t>Stanovanjska hiša Potočnik Ivan - Zabukovica</t>
  </si>
  <si>
    <t>Zgornje Negonje 35 a, 3250 Rogaška Slatina</t>
  </si>
  <si>
    <t>KS Lokavec, Vaška skupnost SLOKARJI</t>
  </si>
  <si>
    <t>Lokavec št. 168, 5270 Ajdovščina</t>
  </si>
  <si>
    <t>stanovanjska hiša (Slemenšek Mirko)</t>
  </si>
  <si>
    <t>Pertoča 54a, Pertoča, 9262 Rogašovci</t>
  </si>
  <si>
    <t>Gorjuše 65, 4264 Bohinjska Bistrica</t>
  </si>
  <si>
    <t>Stanovanjski objekt Svašnik</t>
  </si>
  <si>
    <t>Cerovica - Selšek</t>
  </si>
  <si>
    <t>Gradiške Laze - Spodnja Jablanica</t>
  </si>
  <si>
    <t>Stan hiša</t>
  </si>
  <si>
    <t>stan. Hiša Jesenek</t>
  </si>
  <si>
    <t>Kozaršče  8, Kozaršče, 5220 Tolmin</t>
  </si>
  <si>
    <t>Javna izlivka železniška postaja</t>
  </si>
  <si>
    <t>Javna izlivka pri št. 22</t>
  </si>
  <si>
    <t>Javna izlivka pred št. 11</t>
  </si>
  <si>
    <t>Gradišče  28, 1276 Primskovo</t>
  </si>
  <si>
    <t>Podružnična šola Planina</t>
  </si>
  <si>
    <t>Rovtarske Žibrše 10, 1373 Rovte</t>
  </si>
  <si>
    <t>privat hiša ali pipa na pokop.</t>
  </si>
  <si>
    <t>St. hiša Zagradišče</t>
  </si>
  <si>
    <t>Zagradišče 1, 1260 Ljubljana - Polje</t>
  </si>
  <si>
    <t>Libeliška gora  34, 2372 Libeliče</t>
  </si>
  <si>
    <t>Troščine</t>
  </si>
  <si>
    <t xml:space="preserve">Stan. hiša, Bečaje 9_x000D_
</t>
  </si>
  <si>
    <t xml:space="preserve">Stan. hiša, Topol pri Begunjah 2_x000D_
</t>
  </si>
  <si>
    <t>Rovišče 9, 1282 Sava</t>
  </si>
  <si>
    <t>Koroška cesta 14, 2390 Ravne na Koroškem</t>
  </si>
  <si>
    <t>Vaško korito</t>
  </si>
  <si>
    <t>Stanovanjska hiša Ročnik</t>
  </si>
  <si>
    <t>Sedraž 19e, 3270 Laško</t>
  </si>
  <si>
    <t>stan. hisa štefanja gora</t>
  </si>
  <si>
    <t>Gostišče Macesen</t>
  </si>
  <si>
    <t>Podružnična šola Motnik</t>
  </si>
  <si>
    <t>Turiška vas na Pohorju  7, Turiška vas na Pohorju , 2316 Zgornja Ložnica</t>
  </si>
  <si>
    <t>Stan Hiša Jelen</t>
  </si>
  <si>
    <t>Tolsti vrh 4, 2390 Ravne na Koroškem</t>
  </si>
  <si>
    <t>KS Gorenje - Padeški vrh</t>
  </si>
  <si>
    <t>Padeški vrh</t>
  </si>
  <si>
    <t>Turistična kmetija Ramšak</t>
  </si>
  <si>
    <t>Padeški vrh 2, Padeški vrh, 3214 Zreče</t>
  </si>
  <si>
    <t>Ribniška koča</t>
  </si>
  <si>
    <t>Srednje, Žavcarjev vrh, skupni jašek</t>
  </si>
  <si>
    <t>Stanovanjska hiša Novšak</t>
  </si>
  <si>
    <t>Lukovec  5a, Lukovec, 8294 Boštanj</t>
  </si>
  <si>
    <t>Stan. hiša Trebenče 1</t>
  </si>
  <si>
    <t>Stan. hiša Jevnikar</t>
  </si>
  <si>
    <t>Stan. hiša, SAMASTUR MAKSIMILJAN</t>
  </si>
  <si>
    <t>Stanovanjska hiša Jamnik</t>
  </si>
  <si>
    <t>Stanovanjska hiša Lehen</t>
  </si>
  <si>
    <t>Stan. hiša Jazne 14</t>
  </si>
  <si>
    <t xml:space="preserve">pipa za hišo </t>
  </si>
  <si>
    <t>LOKAVEC 101A, LOKAVEC, 5270 Ajdovščina</t>
  </si>
  <si>
    <t>stanovanjski objekt Zaloše #43</t>
  </si>
  <si>
    <t>Zaloše 10, Zaloše, 4244 Podnart</t>
  </si>
  <si>
    <t>Stanovanjska hiša Ravnjak Vinko - Bezovje</t>
  </si>
  <si>
    <t>stanovanjski objekt  Razingar, Plavški rovt</t>
  </si>
  <si>
    <t>Plavški rovt 12A, Plavški rovt, 4270 Jesenice</t>
  </si>
  <si>
    <t>Stanovanjska hiša Kunej Terezija - Kunšperk</t>
  </si>
  <si>
    <t>Kunšperk 8, 3256 Bistrica ob Sotli</t>
  </si>
  <si>
    <t>stanovanjski objekt Pšajnovica</t>
  </si>
  <si>
    <t>Pšajnovica 7, 1241 Kamnik</t>
  </si>
  <si>
    <t>Stanovanjska hiša Golež Andrej - Okrog</t>
  </si>
  <si>
    <t>Osnovna šola Bukovica</t>
  </si>
  <si>
    <t>Društvo za varstvo voda ŽLEBE</t>
  </si>
  <si>
    <t>Vrtec Jurklošter</t>
  </si>
  <si>
    <t>Jurklošter 23, 3273 Jurklošter</t>
  </si>
  <si>
    <t>Drobtinška 33, Brezovica, 1351 Brezovica pri Ljubljani</t>
  </si>
  <si>
    <t>Podružnična osnovna šola Donačka gora</t>
  </si>
  <si>
    <t>Stanovanjska hiša (Karo Ivan)</t>
  </si>
  <si>
    <t>Tešova 15, 3305 Vransko</t>
  </si>
  <si>
    <t>G. Pijavško</t>
  </si>
  <si>
    <t>G. Pijavško, Kozinc Franc</t>
  </si>
  <si>
    <t>G. Pijavško 16, 8270 Krško</t>
  </si>
  <si>
    <t>Migolska Gora, Zakrajšek</t>
  </si>
  <si>
    <t>Stanovanjska hiša Korez Franc - Zagaber</t>
  </si>
  <si>
    <t>Sanabor št. 17, 5271 Vipava</t>
  </si>
  <si>
    <t>Stanovanjska hiša Jurhar Jože - Pongrac</t>
  </si>
  <si>
    <t>Koseč št.7, 5222 Kobarid</t>
  </si>
  <si>
    <t>stanovanjska hiša #229</t>
  </si>
  <si>
    <t>stanovanjska hiša (Kobal Vlado)</t>
  </si>
  <si>
    <t>stanovanjska hiša (Remar Metoda)</t>
  </si>
  <si>
    <t>stanovanjska hiša (Bizjak Jože)</t>
  </si>
  <si>
    <t>Vrh pri Boštanju 4, 8294 Boštanj</t>
  </si>
  <si>
    <t>KS Tržišče</t>
  </si>
  <si>
    <t>Krsinji vrh 7, 8295 Tržišče</t>
  </si>
  <si>
    <t>Stanovanjska hiša (Bastelj Ignac)</t>
  </si>
  <si>
    <t>Stanovanjska hiša (Fale Stanko)</t>
  </si>
  <si>
    <t>Kambreško 13, 5215 Ročinj</t>
  </si>
  <si>
    <t>Stanovanjski objekt Dobovšek Jože</t>
  </si>
  <si>
    <t>Stan. hiša_x000D_
Stan. Hiša</t>
  </si>
  <si>
    <t>Javna izlivka pred št. 29</t>
  </si>
  <si>
    <t>Stan. hiša Košir</t>
  </si>
  <si>
    <t>Skrovnik 15, 8295 Tržišče</t>
  </si>
  <si>
    <t>Stan. Hiša Pinter Aleksander</t>
  </si>
  <si>
    <t xml:space="preserve">Stan. hiša Gramc_x000D_
_x000D_
_x000D_
_x000D_
_x000D_
</t>
  </si>
  <si>
    <t>Stankovo 2, Stankovo, 8262 Krška vas</t>
  </si>
  <si>
    <t>Potoška vas</t>
  </si>
  <si>
    <t>Potoška vas  40a, Potoška vas , 1410 Zagorje ob Savi</t>
  </si>
  <si>
    <t>stan hiša Križe</t>
  </si>
  <si>
    <t>Konjšica</t>
  </si>
  <si>
    <t>Konjšica 31a, 1272 Polšnik</t>
  </si>
  <si>
    <t xml:space="preserve">Stanovanjska hiša </t>
  </si>
  <si>
    <t>Konjščica - Uskovnica</t>
  </si>
  <si>
    <t>Konjščica- Uskovnica- Praprotnica</t>
  </si>
  <si>
    <t>stanovanjska hiša Ajba 15</t>
  </si>
  <si>
    <t>Stan. hiša, Bukovo 25</t>
  </si>
  <si>
    <t>Stan. hiša, Podpeca 77a</t>
  </si>
  <si>
    <t>Stanovanjska hiša Dednik 3</t>
  </si>
  <si>
    <t>Dednik 3, 1315 Velike Lašče</t>
  </si>
  <si>
    <t>Stanovanjska hiša Lojze Kobal</t>
  </si>
  <si>
    <t>Trava 23, Loški potok, 1319 Draga</t>
  </si>
  <si>
    <t>Loška 78, Dobračeva, 4226 Žiri</t>
  </si>
  <si>
    <t>St. h. Pokojišče 2</t>
  </si>
  <si>
    <t>Stanovanjska hiša Zorko Dušan - Tolsti vrh</t>
  </si>
  <si>
    <t>Stanovanjska hiša Skok Jožef - Brezen</t>
  </si>
  <si>
    <t>stanovanjska hiša (Stopar Franci)</t>
  </si>
  <si>
    <t>Stanovanjska hiša #249</t>
  </si>
  <si>
    <t>Društvo za zdravo pitno vodo Zminec II Livar</t>
  </si>
  <si>
    <t>Stan. hiša Gogala</t>
  </si>
  <si>
    <t>Javna izlivka pred št. 33</t>
  </si>
  <si>
    <t>Občina Velike Lašče</t>
  </si>
  <si>
    <t>Kaplanovo 7, 1315 Velike Lašče</t>
  </si>
  <si>
    <t>Gašpinovo 5, 1316 Ortnek</t>
  </si>
  <si>
    <t>Župnišče</t>
  </si>
  <si>
    <t>Starovaška cesta 19, 1351 Brezovica pri Ljubljani</t>
  </si>
  <si>
    <t>Peške - Kandrše</t>
  </si>
  <si>
    <t>Peške- Kandrše</t>
  </si>
  <si>
    <t>Stan. hiša Vozelj Ljudmila</t>
  </si>
  <si>
    <t>Dolgo Brdo 8b pri Mlinšah 8b, Dolgo Brdo pri Mlinšah, 1411 Izlake</t>
  </si>
  <si>
    <t xml:space="preserve">St. hiša_x000D_
</t>
  </si>
  <si>
    <t>Gostišče v gasilskem domu</t>
  </si>
  <si>
    <t>Kandrše 6, 1252 Vače</t>
  </si>
  <si>
    <t>VO Pišece</t>
  </si>
  <si>
    <t>Center Pišece</t>
  </si>
  <si>
    <t>Vodovodna zadruga Duplo Pišece</t>
  </si>
  <si>
    <t>stan.hiša Branko Teodrovič</t>
  </si>
  <si>
    <t>Pišece 39, 8255 Pišece</t>
  </si>
  <si>
    <t>Hruševo 16a, Hruševo, 1356 Dobrova</t>
  </si>
  <si>
    <t>Kališe 9, Kališe, 4228 Železniki</t>
  </si>
  <si>
    <t xml:space="preserve">Stanovanjska hiša Dolščaki </t>
  </si>
  <si>
    <t>Dolščaki 11, 1315 Velike Lašče</t>
  </si>
  <si>
    <t>Osnovna šola Bakovci</t>
  </si>
  <si>
    <t>Otroški vrtec, Radovljica</t>
  </si>
  <si>
    <t>Kopališka 12, 4240 Radovljica</t>
  </si>
  <si>
    <t>Otroški vrtec Cilke Zupančič, Koroška Bela</t>
  </si>
  <si>
    <t>Cesta Ivana Cankarja 4E, Koroška Bela, 4270 Jesenice</t>
  </si>
  <si>
    <t>Osnovna šola Frana Albrehta, Kamnik</t>
  </si>
  <si>
    <t>Osnovna šola Merije Vere, Duplica 112</t>
  </si>
  <si>
    <t>Osnovna šola Stražišče, Kranj</t>
  </si>
  <si>
    <t>Osnovna šola Dob</t>
  </si>
  <si>
    <t>Osnovna šola Venclja Perka Domžale</t>
  </si>
  <si>
    <t>Osnovna šola Voklo</t>
  </si>
  <si>
    <t>II. osnovna šola Rogaška Slatina - Ratenska vas</t>
  </si>
  <si>
    <t>Kozjanskega odreda 4, 3250 Rogaška Slatina</t>
  </si>
  <si>
    <t>Javna pipa igrišče Rožna dolina</t>
  </si>
  <si>
    <t>Krašči 66, Krašči, 9261 Cankova</t>
  </si>
  <si>
    <t>Večeslavci  132, 9262 Rogašovci</t>
  </si>
  <si>
    <t>hiša</t>
  </si>
  <si>
    <t>Vrtec Jarše - enota Mojca</t>
  </si>
  <si>
    <t>Clevelandska 13, Ljubljana Jarše, 1000 Ljubljana</t>
  </si>
  <si>
    <t>Osnovna šola Bohinjska Bistrica</t>
  </si>
  <si>
    <t>Mariborska c. 30, SELNICA OB DRAVI, 2342 Ruše</t>
  </si>
  <si>
    <t>Vrtec Gorišnica</t>
  </si>
  <si>
    <t>Goršnica 83, 2272 Gorišnica</t>
  </si>
  <si>
    <t>Mengeš</t>
  </si>
  <si>
    <t>Otroški vrtec Sonček</t>
  </si>
  <si>
    <t>Zoranina ulica 5, 1234 Mengeš</t>
  </si>
  <si>
    <t>Koroška cesta 17, 2360 Radlje ob Dravi</t>
  </si>
  <si>
    <t>Stanovanjski objekt (Slapšak Martin)</t>
  </si>
  <si>
    <t>Telče 5A, 8295 Tržišče</t>
  </si>
  <si>
    <t>Bušeča vas 1, 8263 Cerklje ob Krki</t>
  </si>
  <si>
    <t>Podružnična šola Zgornji Tuhinj</t>
  </si>
  <si>
    <t>Gor. Kamenje, Bašelj Slavko</t>
  </si>
  <si>
    <t>Mlinše 14, Mlinše, 1410 Zagorje ob Savi</t>
  </si>
  <si>
    <t>Osnovna šola F.A. oddelek Vranja Peč</t>
  </si>
  <si>
    <t>Podružnična osnovna šola Svibno</t>
  </si>
  <si>
    <t>Debenc, Makše</t>
  </si>
  <si>
    <t>St. hiša Kmetija Vidmar Rudi</t>
  </si>
  <si>
    <t>Stanovanjski objekt Kapš</t>
  </si>
  <si>
    <t>Stanovanjska hiša (Skaza Avgust)</t>
  </si>
  <si>
    <t>Završe 76a, 2382 Mislinja</t>
  </si>
  <si>
    <t>Mali Kamen-stan.hiša</t>
  </si>
  <si>
    <t>Stan. hiša Janez Zupačič</t>
  </si>
  <si>
    <t>Stanislav Kovačec, stan. hiša</t>
  </si>
  <si>
    <t>Studenčevka Sušje</t>
  </si>
  <si>
    <t>Sušje  16, 1310 Ribnica</t>
  </si>
  <si>
    <t>Stanovanjska hiša Počivalšek Rafko - Bobovo</t>
  </si>
  <si>
    <t>Stanovanjska hiša Brdnik Ivan - Spodnje Laže</t>
  </si>
  <si>
    <t>Stanovanjska hiša (Guček Alojz)</t>
  </si>
  <si>
    <t>Vrh pri Boštanju 34, 8294 Boštanj</t>
  </si>
  <si>
    <t>Ruška koča pri Arehu</t>
  </si>
  <si>
    <t>Tržišče 15, 8295 Tržišče</t>
  </si>
  <si>
    <t>stan. hiša Brezje</t>
  </si>
  <si>
    <t>stan. hiša Ponikve</t>
  </si>
  <si>
    <t>Stan. hiša, javna izlivka pri hiši</t>
  </si>
  <si>
    <t>Taborniški dom</t>
  </si>
  <si>
    <t>Frančiškanski samostan Sv. Gora</t>
  </si>
  <si>
    <t>PARTIZANKA - počitniško naselje</t>
  </si>
  <si>
    <t>Počitniško naselje Partizanka</t>
  </si>
  <si>
    <t>Vodovod nekdanje vojašnice Puščava Mokronog</t>
  </si>
  <si>
    <t>Nekdanja vojašnica Puščava Mokronog</t>
  </si>
  <si>
    <t>Nekdanja vojašnica Mokronog</t>
  </si>
  <si>
    <t>Puščava , 8230 Mokronog</t>
  </si>
  <si>
    <t>Hruševka</t>
  </si>
  <si>
    <t>Hruševka  2, Hruševka , 1219 Laze v Tuhinju</t>
  </si>
  <si>
    <t>Občina Ruše</t>
  </si>
  <si>
    <t>Lobnica 18, Lobnica, 2342 Ruše</t>
  </si>
  <si>
    <t>Stanovanjska hiša, Zakojca št. 3</t>
  </si>
  <si>
    <t>pipa pod hišo</t>
  </si>
  <si>
    <t>Javna izlivka na vaškem koritu</t>
  </si>
  <si>
    <t>Stanovanjska hiša Jagrič Slavko - Osredek</t>
  </si>
  <si>
    <t>Stanovanjska hiša #185</t>
  </si>
  <si>
    <t>Logaršče  19, 5216 Most na Soči</t>
  </si>
  <si>
    <t>Stanovanjska hiša MATKO</t>
  </si>
  <si>
    <t>Stanovanjska hiša Horvat Ivan - Sv. Jurij</t>
  </si>
  <si>
    <t>Javna izlivka pri Robidišče št. 3</t>
  </si>
  <si>
    <t>Robidišče , Robidišče, 5222 Kobarid</t>
  </si>
  <si>
    <t>Slaščičarstvo Jelka - Dolga gora</t>
  </si>
  <si>
    <t>Kopališče Mariborski otok</t>
  </si>
  <si>
    <t>PRLEŠKA KOMUNALA D.O.O.</t>
  </si>
  <si>
    <t>FULNEŠKA 5, 9240 Ljutomer</t>
  </si>
  <si>
    <t>OŠ SV. ANTON</t>
  </si>
  <si>
    <t>OŠ Kojsko - kuhinja</t>
  </si>
  <si>
    <t>VELENJE - ŠOŠTANJ - ŠMARTNO OB PAKI</t>
  </si>
  <si>
    <t>Osnovna šola Karla Destovnika Kajuha Šoštanj</t>
  </si>
  <si>
    <t>Koroška 7, 3325 Šoštanj</t>
  </si>
  <si>
    <t>Vrtec Šoštanj - Enota Brina</t>
  </si>
  <si>
    <t>Kajuhova c.  3, 3325 Šoštanj</t>
  </si>
  <si>
    <t xml:space="preserve">BIBA ŠOŠTANJ, </t>
  </si>
  <si>
    <t>OŠ Mali Slatnik</t>
  </si>
  <si>
    <t>Podgrad, OŠ</t>
  </si>
  <si>
    <t>Restavracija Štefanič - kuhinja - Bizeljska cesta 37, Brežice</t>
  </si>
  <si>
    <t>OŠ TOMAŽ</t>
  </si>
  <si>
    <t>KRŠKO</t>
  </si>
  <si>
    <t>Krško, OŠ M. Rostohar</t>
  </si>
  <si>
    <t>JESENICE-ZAVRŠNICA</t>
  </si>
  <si>
    <t>JESENICE ZAVRŠNICA</t>
  </si>
  <si>
    <t>ŠIKOLE - SLOVENSKA BISTRICA</t>
  </si>
  <si>
    <t>Kočevje,OŠ</t>
  </si>
  <si>
    <t>Dolenja vas, OŠ</t>
  </si>
  <si>
    <t>Šolska ulica 9, 1331 Dolenja vas</t>
  </si>
  <si>
    <t>DOMŽALE - MENGEŠ - TRZIN</t>
  </si>
  <si>
    <t>DOMŽALE - TRZIN - MENGEŠ</t>
  </si>
  <si>
    <t>Šolska ulica 11, 1234 Mengeš</t>
  </si>
  <si>
    <t>Šolska ulica 3, Ihan, 1230 Domžale</t>
  </si>
  <si>
    <t xml:space="preserve">Komunala Škofja Loka d.o.o. </t>
  </si>
  <si>
    <t>ŠKOFJA LOKA</t>
  </si>
  <si>
    <t>Sveti Duh 41, Sveti Duh, 4220 Škofja Loka</t>
  </si>
  <si>
    <t>Podlubnik 1d, 4220 Škofja Loka</t>
  </si>
  <si>
    <t>Osnovna šola Šenčur</t>
  </si>
  <si>
    <t>Pipanova cesta 43, 4208 Šenčur</t>
  </si>
  <si>
    <t>JAVNO KOMUNALNO PODJETJE ŠENTJUR</t>
  </si>
  <si>
    <t>ŠENTJUR</t>
  </si>
  <si>
    <t>Šolska ulica 3, 3210 Slovenske Konjice</t>
  </si>
  <si>
    <t>Šilihova ulica 1, 3310 Žalec</t>
  </si>
  <si>
    <t>LOKA -ŠMARJE- ROGAŠKA</t>
  </si>
  <si>
    <t>LOKA - ŠMARJE -ROGAŠKA</t>
  </si>
  <si>
    <t>Vrtec Šmarje</t>
  </si>
  <si>
    <t>Slomškova 13, 3240 Šmarje pri Jelšah</t>
  </si>
  <si>
    <t>Dom upokojencev Šmarje pri Jelšah</t>
  </si>
  <si>
    <t>Rakeževa ulica 8, 3240 Šmarje pri Jelšah</t>
  </si>
  <si>
    <t>RUŠKA C. 30, BISTRICA OB DRAVI, 2342 Ruše</t>
  </si>
  <si>
    <t>ZIDANŠKOVA UL. 1/A, 2310 Slovenska Bistrica</t>
  </si>
  <si>
    <t>VRTEC LIMBUŠ</t>
  </si>
  <si>
    <t>ŠOLSKA 25, 2341 Limbuš</t>
  </si>
  <si>
    <t>VRTEC DOGOŠKA</t>
  </si>
  <si>
    <t>DOGOŠKA C. 20, 2000 Maribor</t>
  </si>
  <si>
    <t>ŠOLSKA 12, 2311 Hoče</t>
  </si>
  <si>
    <t>Ul. IVX. Divizije 44, 3220 Štore</t>
  </si>
  <si>
    <t>OŠ Dobrovo - kuhinja</t>
  </si>
  <si>
    <t>Špageterija in pizzerija Rusa hiša</t>
  </si>
  <si>
    <t>Mlekarna Škofja Loka</t>
  </si>
  <si>
    <t>Fužinska ulica 1, 4220 Škofja Loka</t>
  </si>
  <si>
    <t>Kava bar Štrukelj</t>
  </si>
  <si>
    <t>OŠ Rogatec/ vrtec</t>
  </si>
  <si>
    <t>Šmarje 27, 5295 Branik</t>
  </si>
  <si>
    <t>Draga 1, Draga, 8220 Šmarješke Toplice</t>
  </si>
  <si>
    <t>OŠ Poljane</t>
  </si>
  <si>
    <t>Bitenčeva ulica 4, Ljubljana Šiška, 1000 Ljubljana</t>
  </si>
  <si>
    <t>OŠ Trnovo</t>
  </si>
  <si>
    <t>ŠENTVID - 1</t>
  </si>
  <si>
    <t>Prušnikova 63, Ljubljana Šentvid, 1000 Ljubljana</t>
  </si>
  <si>
    <t>OŠ Dravlje</t>
  </si>
  <si>
    <t>Vrtec Šentvid, enota Mravljinček</t>
  </si>
  <si>
    <t>OŠ Martina Krpana</t>
  </si>
  <si>
    <t>O.Š.Stična</t>
  </si>
  <si>
    <t>O.Š.Zagradec</t>
  </si>
  <si>
    <t>ŠEMNIK - STRAHOVLJE</t>
  </si>
  <si>
    <t>O.Š.Tone Okrogar</t>
  </si>
  <si>
    <t>Šolska 1, Zagorje, 1410 Zagorje ob Savi</t>
  </si>
  <si>
    <t>OŠ PREGARJE</t>
  </si>
  <si>
    <t>OŠ PODGRAD</t>
  </si>
  <si>
    <t>O.Š.Cerknica</t>
  </si>
  <si>
    <t>Mirna Peč, OŠ</t>
  </si>
  <si>
    <t>OŠ JURŠINCI</t>
  </si>
  <si>
    <t>JURŠINCI 19, 2256 Juršinci</t>
  </si>
  <si>
    <t>Orehovica, OŠ</t>
  </si>
  <si>
    <t>Orehovica 14, Orehovica, 8310 Šentjernej</t>
  </si>
  <si>
    <t>KRAŠKI VODOVOD SEŽANA D.O.O.</t>
  </si>
  <si>
    <t xml:space="preserve">OŠ Komen </t>
  </si>
  <si>
    <t>Šolska ulica 1, 8333 Semič</t>
  </si>
  <si>
    <t>SPLOŠNA BOLNIŠNICA SLOVENJ GRADEC</t>
  </si>
  <si>
    <t>Velika Dolina, OŠ</t>
  </si>
  <si>
    <t>Šolska ulica 7, 8330 Metlika</t>
  </si>
  <si>
    <t>Mirna OŠ</t>
  </si>
  <si>
    <t>Bar Jezero Šempas</t>
  </si>
  <si>
    <t>Šempas št.29 , 5261 Šempas</t>
  </si>
  <si>
    <t>Šolska ulica 7, 4290 Tržič</t>
  </si>
  <si>
    <t>ŠUMC</t>
  </si>
  <si>
    <t>ŠOLA ŠENTJANŽ</t>
  </si>
  <si>
    <t>ŠENTJANŽ 88, 2373 Šentjanž pri Dravogradu</t>
  </si>
  <si>
    <t>Šolska ulica 9, 4205 Preddvor</t>
  </si>
  <si>
    <t>LAŠKO</t>
  </si>
  <si>
    <t>Šolska pot 9, 1433 Radeče</t>
  </si>
  <si>
    <t>Šola Vrh nad Laškim</t>
  </si>
  <si>
    <t>Vrh nad Laškim 20, VRH NAD LAŠKIM, 3273 Jurklošter</t>
  </si>
  <si>
    <t>ŠEMPETER</t>
  </si>
  <si>
    <t>Vrtec Šempeter</t>
  </si>
  <si>
    <t>Starovaška 17, 3311 Šempeter v Savinjski dolini</t>
  </si>
  <si>
    <t>PIŠECE</t>
  </si>
  <si>
    <t>Pišece, O.Š.</t>
  </si>
  <si>
    <t>OŠ Alojza Hohkrauta</t>
  </si>
  <si>
    <t>OŠ Trnovo - kuhinja</t>
  </si>
  <si>
    <t>ŠENTVIŠKA PLANOTA</t>
  </si>
  <si>
    <t>Šentviška Gora 64, Spal ob Idrijci, 5283 Slap ob Idrijci</t>
  </si>
  <si>
    <t>BOŠTANJ</t>
  </si>
  <si>
    <t>Stan. hiša Šentjanž</t>
  </si>
  <si>
    <t>ŠENTJANŽ PRI DRAVOGRADU 30, 2373 Šentjanž pri Dravogradu</t>
  </si>
  <si>
    <t>Otiški vrh 129b, 2373 Šentjanž pri Dravogradu</t>
  </si>
  <si>
    <t>OŠ Grajena</t>
  </si>
  <si>
    <t>OŠ Starše</t>
  </si>
  <si>
    <t>OŠ Destrnik</t>
  </si>
  <si>
    <t>OŠ Žetale</t>
  </si>
  <si>
    <t>Šentjanž pri Dravogradu 15, 2373 Šentjanž pri Dravogradu</t>
  </si>
  <si>
    <t>OŠ PREŽIHOVEGA VORANCA BISTRICA</t>
  </si>
  <si>
    <t>OŠ Šentjurij</t>
  </si>
  <si>
    <t>Šentjurij 5, 1290 Grosuplje</t>
  </si>
  <si>
    <t>OŠ Simona Jenka Kranj, podružnica Trstenik</t>
  </si>
  <si>
    <t>Šolska ulica 9, 5281 Spodnja Idrija</t>
  </si>
  <si>
    <t>Ozeljan , Ozeljan, 5261 Šempas</t>
  </si>
  <si>
    <t>OŠ Žužemberk</t>
  </si>
  <si>
    <t>PŠ Dvor od OŠ Žužemberk</t>
  </si>
  <si>
    <t>JARŠKI PROD  - 1</t>
  </si>
  <si>
    <t>OŠ Vič</t>
  </si>
  <si>
    <t>OŠ Kolezija, enota Splitska</t>
  </si>
  <si>
    <t>Športno rekreacijski center Bizovik - Strmec</t>
  </si>
  <si>
    <t>OŠ Božidarja Jakca</t>
  </si>
  <si>
    <t>Parmska 41, Ljubljana, Štepanjsko naselje, 1000 Ljubljana</t>
  </si>
  <si>
    <t>O.Š. Žužemberg</t>
  </si>
  <si>
    <t>OSNOVNA ŠOLA RIBNICA</t>
  </si>
  <si>
    <t>OSNOVNA ŠOLA MISLINJA</t>
  </si>
  <si>
    <t>ŠENTILJ POD TURJAKOM 1, 2382 Mislinja</t>
  </si>
  <si>
    <t>POŠ Gederovci</t>
  </si>
  <si>
    <t>OŠ JELŠANE</t>
  </si>
  <si>
    <t>JELŠANE 82, 6254 Jelšane</t>
  </si>
  <si>
    <t>O.Š.Dobrepolje</t>
  </si>
  <si>
    <t>O.Š. heroja Janeza Hribarja</t>
  </si>
  <si>
    <t>O.Š.Dol</t>
  </si>
  <si>
    <t>ŠMARJE SAP</t>
  </si>
  <si>
    <t>Ljubljanska c. 51, Grosuplje, 1293 Šmarje - Sap</t>
  </si>
  <si>
    <t>PODSTENJŠEK</t>
  </si>
  <si>
    <t>BIFE ŠEMBIJE</t>
  </si>
  <si>
    <t>ŠEMBIJE 67 A, KNEŽAK - ŠEMBIJE, 6253 Knežak</t>
  </si>
  <si>
    <t>Brusnice, OŠ</t>
  </si>
  <si>
    <t>VRTEC PRI OŠ PODGORA</t>
  </si>
  <si>
    <t>STRANE-HRUŠEVJE - ŠMIHEL</t>
  </si>
  <si>
    <t>RESTAVRACIJA HRUŠEVJE</t>
  </si>
  <si>
    <t>HRUŠEVJE 4, 6225 Hruševje</t>
  </si>
  <si>
    <t>OVSIŠE - PODNART</t>
  </si>
  <si>
    <t>ŠMARTNO</t>
  </si>
  <si>
    <t>VRTEC ŠMARTNO</t>
  </si>
  <si>
    <t>ŠMARTNO PRI SLOVENJ GRADCU 60A, 2383 Šmartno pri Slovenj Gradcu</t>
  </si>
  <si>
    <t>Podbočje OŠ</t>
  </si>
  <si>
    <t>ŠENTRUPERT 2</t>
  </si>
  <si>
    <t>ŠENTRUPERT</t>
  </si>
  <si>
    <t>Šentrupert, OŠ</t>
  </si>
  <si>
    <t>Šentrupert 57, 8232 Šentrupert</t>
  </si>
  <si>
    <t>KONJIŠKA VAS</t>
  </si>
  <si>
    <t>BATE - BANJŠICE</t>
  </si>
  <si>
    <t>OSNOVNA ŠOLA VUHRED</t>
  </si>
  <si>
    <t>O.Š. Sodražica</t>
  </si>
  <si>
    <t>LOŠKI POTOK</t>
  </si>
  <si>
    <t>Loški potok OŠ</t>
  </si>
  <si>
    <t>ŠOLA VUZENICA</t>
  </si>
  <si>
    <t>Šolska ulica 4, 1354 Horjul</t>
  </si>
  <si>
    <t>O.Š.Rovte</t>
  </si>
  <si>
    <t>LV FRAM-ŠOLA</t>
  </si>
  <si>
    <t>STANOVANJSKA HIŠA JERENKO SILVA</t>
  </si>
  <si>
    <t>OŠ Poljčane</t>
  </si>
  <si>
    <t>O.Š. Kresnice</t>
  </si>
  <si>
    <t>Osnovna šola Poljane nad Škofjo Loko</t>
  </si>
  <si>
    <t>Poljane nad Škofjo Loko 100, 4223 Poljane nad Škofjo Loko</t>
  </si>
  <si>
    <t>LETUŠ</t>
  </si>
  <si>
    <t>Letuš 31, 3327 Šmartno ob Paki</t>
  </si>
  <si>
    <t>Kočevska cesta 140, Pijava Gorica, 1291 Škofljica</t>
  </si>
  <si>
    <t>območje 6 - CERŠAK</t>
  </si>
  <si>
    <t>O.Š. Simona Jenka Kranj, podružnična šola Goriče</t>
  </si>
  <si>
    <t>JAVORNIŠKI ROVT</t>
  </si>
  <si>
    <t>CŠOD JAVORNIŠKI ROVT, DOM TRILOBIT</t>
  </si>
  <si>
    <t>DOMANJŠEVCI</t>
  </si>
  <si>
    <t xml:space="preserve">DOMANJŠEVCI </t>
  </si>
  <si>
    <t>OŠ Šalovci</t>
  </si>
  <si>
    <t>Šalovci 172, 9204 Šalovci</t>
  </si>
  <si>
    <t>Šmarje, trgovina</t>
  </si>
  <si>
    <t>Šmarje 37, 8310 Šentjernej</t>
  </si>
  <si>
    <t>Gorenja vas, CŠOD</t>
  </si>
  <si>
    <t>DOLGA GORA - ŠMARJE PRI JELŠAH</t>
  </si>
  <si>
    <t>OŠ Šmarje pri Jelšah</t>
  </si>
  <si>
    <t>Vegova ulica 26, 3240 Šmarje pri Jelšah</t>
  </si>
  <si>
    <t>JAVNI VODOVODNI SISTEM ŠMARTNO NA POHORJU - ZG. PREBUKOVJE</t>
  </si>
  <si>
    <t>ŠMARTNO NA POHORJU - BOJTINA- ZG. PREBUKOVJE</t>
  </si>
  <si>
    <t>Šmartno na Pohorju 21, 2315 Šmartno na Pohorju</t>
  </si>
  <si>
    <t>OŠ Raka</t>
  </si>
  <si>
    <t>TURIŠKA VAS</t>
  </si>
  <si>
    <t>Turiška vas 9, 2383 Šmartno pri Slovenj Gradcu</t>
  </si>
  <si>
    <t>OŠ in Vrtec Ledine</t>
  </si>
  <si>
    <t>ŠKOCJAN 2</t>
  </si>
  <si>
    <t>ŠKOCJAN</t>
  </si>
  <si>
    <t>Škocjan 21, 8275 Škocjan</t>
  </si>
  <si>
    <t>Kompole 148, 3220 Štore</t>
  </si>
  <si>
    <t>Ulica Štefana Kovača  99, 9224 Turnišče</t>
  </si>
  <si>
    <t>OŠ Ig</t>
  </si>
  <si>
    <t>BLOŠKA PLANOTA</t>
  </si>
  <si>
    <t>KOŠNICA - TREMERJE</t>
  </si>
  <si>
    <t>Franca Šeška  15, 1217 Vodice</t>
  </si>
  <si>
    <t>ŠENTURŠKA GORA</t>
  </si>
  <si>
    <t>Šenturška Gora  23, Šenturška Gora , 4207 Cerklje na Gorenjskem</t>
  </si>
  <si>
    <t>VODOVOD SOMEŠCA</t>
  </si>
  <si>
    <t>SOMEŠCA</t>
  </si>
  <si>
    <t>Šolska ulica 11, 1315 Velike Lašče</t>
  </si>
  <si>
    <t>DRUŠTVO ZA ZDRAVO PITNO VODO JAVORJE</t>
  </si>
  <si>
    <t>Javorje 5, Javorje, 4223 Poljane nad Škofjo Loko</t>
  </si>
  <si>
    <t>OŠ Prevole</t>
  </si>
  <si>
    <t>Šola Muta</t>
  </si>
  <si>
    <t>Šolska ulica 6, 2366 Muta</t>
  </si>
  <si>
    <t>LEŠE - PREVALJE</t>
  </si>
  <si>
    <t>Drča 17, Drča, 8310 Šentjernej</t>
  </si>
  <si>
    <t>STANOVANJSKA HIŠA VIGEC JAKOB</t>
  </si>
  <si>
    <t>Želimlje 5, 1291 Škofljica</t>
  </si>
  <si>
    <t>Občina Sveti Jurij ob Ščavnici</t>
  </si>
  <si>
    <t>Rožički vrh 48, Rožički vrh, 9244 Sv. Jurij ob Ščavnici</t>
  </si>
  <si>
    <t>HODOŠ</t>
  </si>
  <si>
    <t>Bele vode 2, 3325 Šoštanj</t>
  </si>
  <si>
    <t>O.Š.Žalna</t>
  </si>
  <si>
    <t>ŠTJAK</t>
  </si>
  <si>
    <t>ŠTJAK 12, 6222 Štanjel</t>
  </si>
  <si>
    <t>POLŠNIK</t>
  </si>
  <si>
    <t>O.Š.Polš.</t>
  </si>
  <si>
    <t>OŠ Koprivnica</t>
  </si>
  <si>
    <t>Podružnična osnovna šola Šentrupert</t>
  </si>
  <si>
    <t>Šentrupert 89, 3271 Šentrupert</t>
  </si>
  <si>
    <t>OSNOVNA ŠOLA  BREZNO PODVELKA</t>
  </si>
  <si>
    <t>REMŠNIK</t>
  </si>
  <si>
    <t>ŠOLA REMŠNIK</t>
  </si>
  <si>
    <t>REMŠNIK 5, REMŠNIK, 2363 Podvelka</t>
  </si>
  <si>
    <t>PRIVAT HIŠA TROBLJE 23A</t>
  </si>
  <si>
    <t>O.Š. DOBROVA in VRTEC BREZJE</t>
  </si>
  <si>
    <t>ZAJETJE ŠPITAL- NAJBLIŽJI OBJEKT NA NASLOVU GORENJA VAS 1</t>
  </si>
  <si>
    <t>Stanovanjska hiša Šket Janko - Belo</t>
  </si>
  <si>
    <t>Belo 12, 3240 Šmarje pri Jelšah</t>
  </si>
  <si>
    <t>DRAŽGOŠE</t>
  </si>
  <si>
    <t xml:space="preserve">DRAŽGOŠE </t>
  </si>
  <si>
    <t>ŠENTJOŠT</t>
  </si>
  <si>
    <t>Osnovna šola - vrtec Šentjošt</t>
  </si>
  <si>
    <t>Šentjošt nad Horjulom 54, Šentjošt nad Horjulom, 1354 Horjul</t>
  </si>
  <si>
    <t>stanovanjski objekt (Šubic)</t>
  </si>
  <si>
    <t>Bučka , 8275 Škocjan</t>
  </si>
  <si>
    <t>G. Radulje 10, Bučka, 8275 Škocjan</t>
  </si>
  <si>
    <t>O.Š. Dobovec</t>
  </si>
  <si>
    <t>NOVA ŠTIFTA</t>
  </si>
  <si>
    <t>Podružnična osnovna šola Nova Štifta</t>
  </si>
  <si>
    <t>DOLENJA TREBUŠA</t>
  </si>
  <si>
    <t>Slovenska vas 14, 8232 Šentrupert</t>
  </si>
  <si>
    <t>stanovanjska hiša Škrjanc</t>
  </si>
  <si>
    <t>IŠKA VAS</t>
  </si>
  <si>
    <t>OŠ IG - podružnica Iška vas</t>
  </si>
  <si>
    <t>Šmarčna - Kompolje</t>
  </si>
  <si>
    <t>Šmarčna 20, 8294 Boštanj</t>
  </si>
  <si>
    <t>Stanovanjska hiša (Škopoc Tone - Brink Goreljce)</t>
  </si>
  <si>
    <t>Brunk 7, 8297 Šentjanž</t>
  </si>
  <si>
    <t>OŠ Gabrovka</t>
  </si>
  <si>
    <t>OŠ Vače</t>
  </si>
  <si>
    <t>Zavrstnik 20, 1275 Šmartno pri Litiji</t>
  </si>
  <si>
    <t>Podružnična OŠ</t>
  </si>
  <si>
    <t>OŠ</t>
  </si>
  <si>
    <t>Velika Kostrevnica 39, 1275 Šmartno pri Litiji</t>
  </si>
  <si>
    <t>HOTEDRŠICA</t>
  </si>
  <si>
    <t xml:space="preserve">NOVINCI - SLAVŠINA - GALUŠAK </t>
  </si>
  <si>
    <t xml:space="preserve">NOVINCI- SLAVŠINA - GALUŠAK </t>
  </si>
  <si>
    <t>OŠ Brinje, podružnica Polica</t>
  </si>
  <si>
    <t>BREZJE PRI DOVŠKEM 30, 8281 Senovo</t>
  </si>
  <si>
    <t>OŠ Sostro, podr. enota Prežganje</t>
  </si>
  <si>
    <t>Šobec</t>
  </si>
  <si>
    <t>Šobec , 4260 Bled</t>
  </si>
  <si>
    <t>POKOŠE</t>
  </si>
  <si>
    <t>Mislinjska Dobrava 49, 2383 Šmartno pri Slovenj Gradcu</t>
  </si>
  <si>
    <t>VODOVOD MARKOVO-VIR-PODHRUŠKA</t>
  </si>
  <si>
    <t>MARKOVO-VIR-PODHRUŠKA</t>
  </si>
  <si>
    <t>Šmartno - Buč</t>
  </si>
  <si>
    <t>Osnovna šola Šmartno</t>
  </si>
  <si>
    <t>Šmartno v Tuhinju 27 A, Šmartno v Tuhinju, 1219 Laze v Tuhinju</t>
  </si>
  <si>
    <t>VODOVOD CIRKUŠE</t>
  </si>
  <si>
    <t>CIRKUŠE</t>
  </si>
  <si>
    <t>ZAVRŠE</t>
  </si>
  <si>
    <t>Slatina 33, Slatina, 3327 Šmartno ob Paki</t>
  </si>
  <si>
    <t>Okrog 14A, Okrog, 8232 Šentrupert</t>
  </si>
  <si>
    <t>OKOŠKA GORA</t>
  </si>
  <si>
    <t>OKOŠKA GORA 46, OKOŠKA GORA, 2317 Oplotnica</t>
  </si>
  <si>
    <t>OŠ Sostro, podružnica Lipoglav</t>
  </si>
  <si>
    <t>Mali Lipoglav 8, Mali Lipoglav, 1293 Šmarje - Sap</t>
  </si>
  <si>
    <t>STANOVANJSKA HIŠA, IVANA GRADNIKA 2</t>
  </si>
  <si>
    <t>STANOVANJSKA HIŠA IVANKA LESKOVAR</t>
  </si>
  <si>
    <t>Vaški vodovod Šmihel pod Nanosom</t>
  </si>
  <si>
    <t>ZASEBNI VODOVODNI SISTEM ŠMIHEL POD NANOSOM</t>
  </si>
  <si>
    <t>STANOVANJSKA HIŠA ŠMIHEL POD NANOSOM - PIPA V KUHINJI</t>
  </si>
  <si>
    <t>ŠMIHEL POD NANOSOM 5B, ŠMIHEL POD NANOSOM, 6230 Postojna</t>
  </si>
  <si>
    <t>MALO UBELJSKO 13, HRUŠEVJE - M. UBELJSKO, 6225 Hruševje</t>
  </si>
  <si>
    <t>NEMŠKI ROVT</t>
  </si>
  <si>
    <t>Fara, OŠ</t>
  </si>
  <si>
    <t>CŠOD DOM PECA</t>
  </si>
  <si>
    <t>ŠOLA KAPLA</t>
  </si>
  <si>
    <t>ŠOLA SELE</t>
  </si>
  <si>
    <t>JAVNI VODOVOD ROVTE - LENART - LUŠA (JVRLL)</t>
  </si>
  <si>
    <t>ROVTE - LENART - LUŠA</t>
  </si>
  <si>
    <t>Brode 17, Brode, 4220 Škofja Loka</t>
  </si>
  <si>
    <t>ŠENTPAVEL</t>
  </si>
  <si>
    <t>St. h. Šentp.</t>
  </si>
  <si>
    <t>Šentpavel 22, Šentpavel, 1261 Ljubljana - Dobrunje</t>
  </si>
  <si>
    <t>G. Jesenice 1, 8232 Šentrupert</t>
  </si>
  <si>
    <t>POŠ Pertoča</t>
  </si>
  <si>
    <t>OŠ Zgornja Ložnica</t>
  </si>
  <si>
    <t>GORJUŠE</t>
  </si>
  <si>
    <t>Draga 2, 4220 Škofja Loka</t>
  </si>
  <si>
    <t>Planina pod Šumnikom 5, 2316 Zgornja Ložnica</t>
  </si>
  <si>
    <t>VO CEROVICA - SELŠEK</t>
  </si>
  <si>
    <t>Cerovica 26, Cerovica, 1275 Šmartno pri Litiji</t>
  </si>
  <si>
    <t>Gradiške Laze  14, Gradiške Laze, 1275 Šmartno pri Litiji</t>
  </si>
  <si>
    <t>OŠ Primskovo</t>
  </si>
  <si>
    <t>CŠOD Ajda</t>
  </si>
  <si>
    <t>CŠOD Škorpijon</t>
  </si>
  <si>
    <t>ŠENTLAMBERT</t>
  </si>
  <si>
    <t>PŠ Šentlambert</t>
  </si>
  <si>
    <t>Šentlambert  11, 1410 Zagorje ob Savi</t>
  </si>
  <si>
    <t>Razborca , 2383 Šmartno pri Slovenj Gradcu</t>
  </si>
  <si>
    <t>Zavodje 29, 3325 Šoštanj</t>
  </si>
  <si>
    <t>Štefanja gora</t>
  </si>
  <si>
    <t>Štefanja gora 29, 4207 Cerklje na Gorenjskem</t>
  </si>
  <si>
    <t>Stanovanjska hiša, Šega Janko</t>
  </si>
  <si>
    <t>Šober 24, Šober, 2354 Bresternica</t>
  </si>
  <si>
    <t>ROBIDNICA-LAZE-LAJŠE-KRNICE</t>
  </si>
  <si>
    <t>STANOVANJSKA HIŠA, LIG 23</t>
  </si>
  <si>
    <t>KRESNIŠKI VRH</t>
  </si>
  <si>
    <t>KRESNIŠKI VRH 13 - ZAJETJE KLADEN</t>
  </si>
  <si>
    <t>KRESNIŠKI VRH 13, KRESNIŠKI VRH, 1281 Kresnice</t>
  </si>
  <si>
    <t>O.Š.Janče</t>
  </si>
  <si>
    <t>ZALOŠE</t>
  </si>
  <si>
    <t>Bezovje pri Šentjurju 27, 3230 Šentjur</t>
  </si>
  <si>
    <t>PLAVŠKI ROVT</t>
  </si>
  <si>
    <t>KUNŠPERK</t>
  </si>
  <si>
    <t>PŠAJNOVICA</t>
  </si>
  <si>
    <t>PŠAJNOVICA #2</t>
  </si>
  <si>
    <t>DEŠEN</t>
  </si>
  <si>
    <t>DEŠEN - MIKLAVŽ - KATARIJA</t>
  </si>
  <si>
    <t>ŠENTGOTARD</t>
  </si>
  <si>
    <t>St.h. Šentg.</t>
  </si>
  <si>
    <t>Šentgotard 7, Trojane, 1215 Medvode</t>
  </si>
  <si>
    <t>Klemen Berce in Klemen Štibelj</t>
  </si>
  <si>
    <t>Gabrk 14, Gabrk, 4220 Škofja Loka</t>
  </si>
  <si>
    <t>Pevno 4a, Pevno, 4220 Škofja Loka</t>
  </si>
  <si>
    <t>ZPM - DOM MILOŠA ZIDANŠKA</t>
  </si>
  <si>
    <t>DOM MILOŠA ZIDANŠKA-POHORJE</t>
  </si>
  <si>
    <t>ZPM-DOM MILOŠA ZIDANŠKA</t>
  </si>
  <si>
    <t>Zakobiljek 4, Zakobiljek, 4223 Poljane nad Škofjo Loko</t>
  </si>
  <si>
    <t>Trg padlih borcev 3, Kamnik - Šmarca, 1241 Kamnik</t>
  </si>
  <si>
    <t>JURKLOŠTER</t>
  </si>
  <si>
    <t>TEŠOVA</t>
  </si>
  <si>
    <t>G. PIJAVŠKO</t>
  </si>
  <si>
    <t>VO Kostanjek - Šapola</t>
  </si>
  <si>
    <t>KOSTANJEK - ŠAPOLA</t>
  </si>
  <si>
    <t>Prožinska vas 81, 3220 Štore</t>
  </si>
  <si>
    <t>Veliki Cirnik 25, 8297 Šentjanž</t>
  </si>
  <si>
    <t>Volog 30, 3341 Šmartno ob Dreti</t>
  </si>
  <si>
    <t>Brdo 7, 3341 Šmartno ob Dreti</t>
  </si>
  <si>
    <t>OŠ SORICA</t>
  </si>
  <si>
    <t>KAMBREŠKO</t>
  </si>
  <si>
    <t>Volča 12, POLJANE NAD ŠKOFJO LOKO, 4220 Škofja Loka</t>
  </si>
  <si>
    <t>ŠEVLJE</t>
  </si>
  <si>
    <t>Ševlje 24, Ševlje, 4227 Selca</t>
  </si>
  <si>
    <t>Leaskovica 2, Leskovica, 1275 Šmartno pri Litiji</t>
  </si>
  <si>
    <t>Vintarjevec 15a, 1275 Šmartno pri Litiji</t>
  </si>
  <si>
    <t>Vimolj-Šneljer</t>
  </si>
  <si>
    <t>Križna gora 21, 4220 Škofja Loka</t>
  </si>
  <si>
    <t>Špehar</t>
  </si>
  <si>
    <t>Šešče</t>
  </si>
  <si>
    <t>Zavodnje 48, 3325 Šoštanj</t>
  </si>
  <si>
    <t>Račica - Velika Štanga</t>
  </si>
  <si>
    <t>Velika Štanga 7, 1275 Šmartno pri Litiji</t>
  </si>
  <si>
    <t>Delnice 4, Delnice, 4223 Poljane nad Škofjo Loko</t>
  </si>
  <si>
    <t>ŠMELC</t>
  </si>
  <si>
    <t>ŠC. POHORJE in UPORABNIKI</t>
  </si>
  <si>
    <t>PRAPROTNO 2 (ŠIFRER)</t>
  </si>
  <si>
    <t>VAŠKA SKUPNOST LEDINICA</t>
  </si>
  <si>
    <t>VS Šentjanž nad Štorami</t>
  </si>
  <si>
    <t>ŠENTJANŽ I.</t>
  </si>
  <si>
    <t>Šentjanž nad Štorami 26, 3220 Štore</t>
  </si>
  <si>
    <t>Zminec 30, 4220 Škofja Loka</t>
  </si>
  <si>
    <t>BRŠLENOVICA - ŠENTOŽBOLT</t>
  </si>
  <si>
    <t>Šentožbolt , Trojane</t>
  </si>
  <si>
    <t>ŠMARNA GORA</t>
  </si>
  <si>
    <t>Šmarna gora 4, Ljubljana Šmartno, 1211 Ljubljana - Šmartno</t>
  </si>
  <si>
    <t>Šmartno pri Litiji</t>
  </si>
  <si>
    <t>Štangarske Poljane</t>
  </si>
  <si>
    <t>Štangarske poljane 15, 1275 Šmartno pri Litiji</t>
  </si>
  <si>
    <t>Sobrače  13, Sobrače, 1296 Šentvid pri Stični</t>
  </si>
  <si>
    <t>Stan. hiša Potočnik Štefan</t>
  </si>
  <si>
    <t>Štefka Brigelj</t>
  </si>
  <si>
    <t>LEPIŠ</t>
  </si>
  <si>
    <t>Gostilna pri Šoferski mamici</t>
  </si>
  <si>
    <t>Šentjošt 48, 1354 Horjul</t>
  </si>
  <si>
    <t>VODOVOD SNOVIK-PIRŠEVO</t>
  </si>
  <si>
    <t>SNOVIK-PIRŠEVO</t>
  </si>
  <si>
    <t>HRUŠEVO</t>
  </si>
  <si>
    <t>Stanovanjska hiša DRNOVŠEK</t>
  </si>
  <si>
    <t>KALIŠE</t>
  </si>
  <si>
    <t>HIŠA OJSTRICA</t>
  </si>
  <si>
    <t>POŠ Mačkovci</t>
  </si>
  <si>
    <t>VRTEC ŠKOFIJE</t>
  </si>
  <si>
    <t>SP. ŠKOFIJE 40D, 6281 Škofije</t>
  </si>
  <si>
    <t>Šlandrova cesta 11 a, 3320 Velenje</t>
  </si>
  <si>
    <t>Šolska ulica 1, 1241 Kamnik</t>
  </si>
  <si>
    <t>Šolska ulica 2, 4000 Kranj</t>
  </si>
  <si>
    <t>Šolska ulica 7, 1233 Dob</t>
  </si>
  <si>
    <t>Voklo 7, Voklo, 4208 Šenčur</t>
  </si>
  <si>
    <t>OŠ PONIKVA</t>
  </si>
  <si>
    <t>OŠ HAJDINA</t>
  </si>
  <si>
    <t>OŠ CIRKULANE</t>
  </si>
  <si>
    <t>Šolska ul. 3, 2234 Benedikt</t>
  </si>
  <si>
    <t>OŠ Renče</t>
  </si>
  <si>
    <t>Javna pipa pred OŠ Frana Erjavca oz. pipa v šoli</t>
  </si>
  <si>
    <t>DOŠ Prosenjakovci</t>
  </si>
  <si>
    <t>OŠ Brezovica</t>
  </si>
  <si>
    <t>Šolska ulica 15, Brezovica</t>
  </si>
  <si>
    <t>OŠ RADENCI</t>
  </si>
  <si>
    <t>Dobrnič, bife Škerjanec</t>
  </si>
  <si>
    <t>Šolska ul. 2, 3215 Loče</t>
  </si>
  <si>
    <t>OŠ Janka Modra, podružnica Senožeti</t>
  </si>
  <si>
    <t>Glinek 5, Škofljica, 1000 Ljubljana</t>
  </si>
  <si>
    <t>Vrtec Škofljica, enota Škofljica</t>
  </si>
  <si>
    <t>Mijavčeva ulica 18, 1291 Škofljica</t>
  </si>
  <si>
    <t>VIŠKI VRTCI, ENOTA HIŠA PRI LADJI</t>
  </si>
  <si>
    <t>O.Š. Preserje</t>
  </si>
  <si>
    <t>OŠ Golo</t>
  </si>
  <si>
    <t>PRIVAT HIŠA BUKOVSKA VAS</t>
  </si>
  <si>
    <t>BUKOVSKA VAS 53A, BUKOVSKA VAS, 2373 Šentjanž pri Dravogradu</t>
  </si>
  <si>
    <t>LV LOVRENC NA POHORJU-ŠOLA</t>
  </si>
  <si>
    <t>ŠOLSKA UL.6, 2344 Lovrenc na Pohorju</t>
  </si>
  <si>
    <t>Šolska ulica 25, 3330 Mozirje</t>
  </si>
  <si>
    <t>Gostilna pri Štefanu</t>
  </si>
  <si>
    <t>območje 3-RUŠE-SELNICA</t>
  </si>
  <si>
    <t>MENGEŠ (M-1)</t>
  </si>
  <si>
    <t>OŠ BEGUNJE</t>
  </si>
  <si>
    <t>Šola Radlje ob Dravi</t>
  </si>
  <si>
    <t>OŠ Dekani</t>
  </si>
  <si>
    <t>OŠ Dornberk - kuhinja</t>
  </si>
  <si>
    <t>ULICA DUŠANA KVEDRA 44, 3230 Šentjur</t>
  </si>
  <si>
    <t>TERBEGOVCI NH, TERBEGOVCI, 9244 Sv. Jurij ob Ščavnici</t>
  </si>
  <si>
    <t>DVORJANE-ŠOLA</t>
  </si>
  <si>
    <t>Osnovna šola Šmartno ob Dreti</t>
  </si>
  <si>
    <t>Šmartno ob Dreti 27, 3341 Šmartno ob Dreti</t>
  </si>
  <si>
    <t>ST. HIŠA MIKUŠ</t>
  </si>
  <si>
    <t>ŠEBRELJE</t>
  </si>
  <si>
    <t>Trgovina Šebrelje</t>
  </si>
  <si>
    <t>Šebrelje 53, 5282 Cerkno</t>
  </si>
  <si>
    <t>OŠ Trebelno</t>
  </si>
  <si>
    <t>Vavta vas, OŠ -kuhinja</t>
  </si>
  <si>
    <t>HRAŠENSKI VRH (VAŠKI)</t>
  </si>
  <si>
    <t>PRIVAT HIŠA STARI TRG</t>
  </si>
  <si>
    <t>MLINŠE - KOLOVRAT</t>
  </si>
  <si>
    <t>O.Š. Mlinše</t>
  </si>
  <si>
    <t>REŠTANJ-MALI KAMEN</t>
  </si>
  <si>
    <t>DRUŠTVO ZA RAZVOJ DEBENCA IN STANA</t>
  </si>
  <si>
    <t>OŠ Stari trg ob Kolpi</t>
  </si>
  <si>
    <t>7, Jelendol, 8275 Škocjan</t>
  </si>
  <si>
    <t>GRAŠKA GORA</t>
  </si>
  <si>
    <t>JELŠA-REŠTANJ-MALI KAMEN-ŠEDEM</t>
  </si>
  <si>
    <t>JEVŠA-REŠTANJ-MALI KAMEN-ŠEDEM</t>
  </si>
  <si>
    <t>BREG - ŠENTJUR</t>
  </si>
  <si>
    <t>Bobovo pri Šmarju 1, 3240 Šmarje pri Jelšah</t>
  </si>
  <si>
    <t>GRABONOŠ</t>
  </si>
  <si>
    <t>LV GRABONOŠ</t>
  </si>
  <si>
    <t>PUŠENJAK,GRABONOŠ 49, GRABONOŠ, 9244 Sv. Jurij ob Ščavnici</t>
  </si>
  <si>
    <t>Sladka Gora 5, 3240 Šmarje pri Jelšah</t>
  </si>
  <si>
    <t>BUKOVSKA VAS 26, BUKOVSKA VAS, 2373 Šentjanž pri Dravogradu</t>
  </si>
  <si>
    <t>VRH PRI BOŠTANJU</t>
  </si>
  <si>
    <t>BESNICA ŠOLA</t>
  </si>
  <si>
    <t>O.Š. Besnica</t>
  </si>
  <si>
    <t>OŠ Davča</t>
  </si>
  <si>
    <t>Rakov Škocjan</t>
  </si>
  <si>
    <t>CŠOD Rakov škocjan</t>
  </si>
  <si>
    <t>Rakov Škocjan 2, 1380 Cerknica</t>
  </si>
  <si>
    <t>VODOVOD HRUŠEVKA</t>
  </si>
  <si>
    <t>HRUŠEVKA</t>
  </si>
  <si>
    <t>Ferdinand Kolar (CIPROŠ D.O.O.)</t>
  </si>
  <si>
    <t>POŠ Rovte (podružnična šola)</t>
  </si>
  <si>
    <t>STANOVANJSKA HIŠA BUH</t>
  </si>
  <si>
    <t>TRG PADLIH BORCEV 3, ŠMARCA , 1241 Kamnik</t>
  </si>
  <si>
    <t>ŠENTANEL</t>
  </si>
  <si>
    <t>ŠOLA ŠENTANEL</t>
  </si>
  <si>
    <t>ŠENTANEL 13, ŠENTANEL, 2391 Prevalje</t>
  </si>
  <si>
    <t>SELOVEC 14, 2373 Šentjanž pri Dravogradu</t>
  </si>
  <si>
    <t>VRŠIŠKA CESTA 82, 4280 Kranjska Gora</t>
  </si>
  <si>
    <t>VODOVOD IZLETNIŠKA KMETIJA PR'POSILNC</t>
  </si>
  <si>
    <t>IZLETNIŠKA KMETIJA PR'POSILNC</t>
  </si>
  <si>
    <t>VODOVOD PLANŠARIJA DOLGA NJIVA</t>
  </si>
  <si>
    <t>PLANŠARIJA DOLGA NJIVA</t>
  </si>
  <si>
    <t>ŠENTANEL 3, ŠENTANEL, 2391 Prevalje</t>
  </si>
  <si>
    <t>TK OŠVEN</t>
  </si>
  <si>
    <t>URŠLJA GORA 7A, 2394 Kotlje</t>
  </si>
  <si>
    <t>BREDA GRADIŠNIK FUNTEK</t>
  </si>
  <si>
    <t>VODOVOD KMETIJA GRADIŠNIK</t>
  </si>
  <si>
    <t>KMETIJA GRADIŠNIK</t>
  </si>
  <si>
    <t>VAŠKA SKUPNOST SKALE</t>
  </si>
  <si>
    <t>SMOLDNO - GABRŠKA GORA</t>
  </si>
  <si>
    <t>SMOLDNO 4, POLJANE, 4223 Poljane nad Škofjo Loko</t>
  </si>
  <si>
    <t>VODOVOD TABORNIŠKI DOM ŠIJA</t>
  </si>
  <si>
    <t>TABORNIŠKI DOM ŠIJA</t>
  </si>
  <si>
    <t>PŠ KOKRA</t>
  </si>
  <si>
    <t>SLAMNIKI - HIŠA ŠTEVILKA 3</t>
  </si>
  <si>
    <t>FRANC ŠTEPIC</t>
  </si>
  <si>
    <t>Cirnik, Štepic</t>
  </si>
  <si>
    <t>STANOVANJSKA HIŠA Dokovič Komjan</t>
  </si>
  <si>
    <t>Hrastno 5, 8232 Šentrupert</t>
  </si>
  <si>
    <t>OŠ SIMONA JENKA</t>
  </si>
  <si>
    <t>SKALNIŠKA CESTA 10, 5250 Solkan</t>
  </si>
  <si>
    <t>PODKRAJ IN PREŠKI VRH (DEL)</t>
  </si>
  <si>
    <t>HIŠA SEDAR</t>
  </si>
  <si>
    <t>PREŠKI VRH 19B, 2390 Ravne na Koroškem</t>
  </si>
  <si>
    <t>Električna prevodnost pri 20 °C</t>
  </si>
  <si>
    <t>Število kolonij pri 22°C</t>
  </si>
  <si>
    <t>Število kolonij pri 36°C</t>
  </si>
  <si>
    <t>°C</t>
  </si>
  <si>
    <t>µS/cm</t>
  </si>
  <si>
    <t>µg/L</t>
  </si>
  <si>
    <t>Splošna bolnišn€¦</t>
  </si>
  <si>
    <t>trgovina Sv.Ant€¦</t>
  </si>
  <si>
    <t>Siesta bar, pip€¦</t>
  </si>
  <si>
    <t>pipa na koritu €¦</t>
  </si>
  <si>
    <t>kuhinja, pipa n€¦</t>
  </si>
  <si>
    <t>pipa na dvojnem€¦</t>
  </si>
  <si>
    <t>Osnovna šola Va€¦</t>
  </si>
  <si>
    <t>pipa za točilni€¦</t>
  </si>
  <si>
    <t>pipa v gospodin€¦</t>
  </si>
  <si>
    <t>kuhinja, desna €¦</t>
  </si>
  <si>
    <t>sanitarije, pip€¦</t>
  </si>
  <si>
    <t>kuhinja, prosto€¦</t>
  </si>
  <si>
    <t>novo skladišče,€¦</t>
  </si>
  <si>
    <t>pipa namenjena €¦</t>
  </si>
  <si>
    <t>pipa za točajni€¦</t>
  </si>
  <si>
    <t>vodohran Kalobj€¦</t>
  </si>
  <si>
    <t>klet, kuhinja, €¦</t>
  </si>
  <si>
    <t>kuhinja, dvojno€¦</t>
  </si>
  <si>
    <t>kuhinja, korito€¦</t>
  </si>
  <si>
    <t>pritličje, kuhi€¦</t>
  </si>
  <si>
    <t>Pritličje, mošk€¦</t>
  </si>
  <si>
    <t>Vrtec Mojca, en€¦</t>
  </si>
  <si>
    <t>Enota Zarja, Re€¦</t>
  </si>
  <si>
    <t>Vrtec GABERJE -€¦</t>
  </si>
  <si>
    <t>Hotel Kristal -€¦</t>
  </si>
  <si>
    <t>OŠ Podbočje,  k€¦</t>
  </si>
  <si>
    <t>Osnovna šola Po€¦</t>
  </si>
  <si>
    <t>kuhinja , pipa €¦</t>
  </si>
  <si>
    <t>Gostilna Skledn€¦</t>
  </si>
  <si>
    <t>Podružnična šol€¦</t>
  </si>
  <si>
    <t>kuhinja, leva p€¦</t>
  </si>
  <si>
    <t>Objekt za prede€¦</t>
  </si>
  <si>
    <t>prostor za deli€¦</t>
  </si>
  <si>
    <t>pipa v ženskih €¦</t>
  </si>
  <si>
    <t>Avtoservis Špaj€¦</t>
  </si>
  <si>
    <t>Hidrant Predjam€¦</t>
  </si>
  <si>
    <t>Vrtec Sonček - €¦</t>
  </si>
  <si>
    <t>prva nadstropje€¦</t>
  </si>
  <si>
    <t>pritličje, pipa€¦</t>
  </si>
  <si>
    <t>pritličje, stav€¦</t>
  </si>
  <si>
    <t>kuhinja, trokad€¦</t>
  </si>
  <si>
    <t>kuhinja, pripra€¦</t>
  </si>
  <si>
    <t>moške sanitarij€¦</t>
  </si>
  <si>
    <t>Trgovina Tapro,€¦</t>
  </si>
  <si>
    <t>25/0359, POŠ Ge€¦</t>
  </si>
  <si>
    <t>točilni pult, p€¦</t>
  </si>
  <si>
    <t>stanovanjska hi€¦</t>
  </si>
  <si>
    <t>Vrtec Kekec, Iz€¦</t>
  </si>
  <si>
    <t>pipa na delikat€¦</t>
  </si>
  <si>
    <t>Trgovina Mercat€¦</t>
  </si>
  <si>
    <t>Bar Dolenja vas€¦</t>
  </si>
  <si>
    <t>Strma ulica 10,€¦</t>
  </si>
  <si>
    <t>Okrepčevalnica €¦</t>
  </si>
  <si>
    <t>prosti klor 0.1€¦</t>
  </si>
  <si>
    <t>Petrol - Vodens€¦</t>
  </si>
  <si>
    <t>Elektroelem. - €¦</t>
  </si>
  <si>
    <t>Gostilna Turist€¦</t>
  </si>
  <si>
    <t>POŠ Bočna, Bočn€¦</t>
  </si>
  <si>
    <t>Pipa na pomival€¦</t>
  </si>
  <si>
    <t>pipa na pokopal€¦</t>
  </si>
  <si>
    <t>25/0472, Osnovn€¦</t>
  </si>
  <si>
    <t>Vrtec Šmarje pr€¦</t>
  </si>
  <si>
    <t>Bar Zvezda - P€¦</t>
  </si>
  <si>
    <t>Calcit d.o.o., €¦</t>
  </si>
  <si>
    <t>Mlinotest trgov€¦</t>
  </si>
  <si>
    <t>St.h., V KARLOV€¦</t>
  </si>
  <si>
    <t>korito v kuhinj€¦</t>
  </si>
  <si>
    <t>St. h. Male Lip€¦</t>
  </si>
  <si>
    <t>St. hiša Vrbičj€¦</t>
  </si>
  <si>
    <t>pokopališče Štj€¦</t>
  </si>
  <si>
    <t>Veliko Ubeljsko€¦</t>
  </si>
  <si>
    <t>Stanovanjska hi€¦</t>
  </si>
  <si>
    <t>OŠ Ivana Skvarč€¦</t>
  </si>
  <si>
    <t>OŠ Ponikva pri €¦</t>
  </si>
  <si>
    <t>bife Veliki Kam€¦</t>
  </si>
  <si>
    <t>Trgovina Marjet€¦</t>
  </si>
  <si>
    <t>Vodohran Zeče, €¦</t>
  </si>
  <si>
    <t>Center Rinka So€¦</t>
  </si>
  <si>
    <t>stanovanjski ob€¦</t>
  </si>
  <si>
    <t>Tatjana bar, Za€¦</t>
  </si>
  <si>
    <t>St. hiša Polica€¦</t>
  </si>
  <si>
    <t>stanovanjski bl€¦</t>
  </si>
  <si>
    <t>Okrog, vikend b€¦</t>
  </si>
  <si>
    <t>Osnovna šola - €¦</t>
  </si>
  <si>
    <t>Boutique Hotel €¦</t>
  </si>
  <si>
    <t>Stomaž 39, prit€¦</t>
  </si>
  <si>
    <t>Posestvo Gjerke€¦</t>
  </si>
  <si>
    <t>Malo  Ubeljsko €¦</t>
  </si>
  <si>
    <t>Vojašnica Boštj€¦</t>
  </si>
  <si>
    <t>St.h., Podlipog€¦</t>
  </si>
  <si>
    <t>Bar ABS, točiln€¦</t>
  </si>
  <si>
    <t>Rakulk 55, pral€¦</t>
  </si>
  <si>
    <t>Beton Caffe, Sp€¦</t>
  </si>
  <si>
    <t>POŠ Pertoča - P€¦</t>
  </si>
  <si>
    <t>pipa v sanitari€¦</t>
  </si>
  <si>
    <t>Srednje Laknice€¦</t>
  </si>
  <si>
    <t>St. hiša Zagrad€¦</t>
  </si>
  <si>
    <t>Vrtec Kočevska €¦</t>
  </si>
  <si>
    <t>Topol pri Begun€¦</t>
  </si>
  <si>
    <t>prosti klor 0,0€¦</t>
  </si>
  <si>
    <t>Dol. Leskovec 2€¦</t>
  </si>
  <si>
    <t>Trebenče 16, pi€¦</t>
  </si>
  <si>
    <t>izpust pred gas€¦</t>
  </si>
  <si>
    <t>St.h. Brez. pri€¦</t>
  </si>
  <si>
    <t>Izmerjen prosti€¦</t>
  </si>
  <si>
    <t>KZ Šmarje Trgov€¦</t>
  </si>
  <si>
    <t>pipa v pritličj€¦</t>
  </si>
  <si>
    <t>pipa v čajni ku€¦</t>
  </si>
  <si>
    <t>Dolenčice 16, k€¦</t>
  </si>
  <si>
    <t>Migolska Gora 5€¦</t>
  </si>
  <si>
    <t>klet, pipa na k€¦</t>
  </si>
  <si>
    <t>desna pipa na v€¦</t>
  </si>
  <si>
    <t>Veliki Cirnik 1€¦</t>
  </si>
  <si>
    <t>Gospodarski obj€¦</t>
  </si>
  <si>
    <t>pipa na spomeni€¦</t>
  </si>
  <si>
    <t>Lesmont plus d.€¦</t>
  </si>
  <si>
    <t>Brezovica 8, Št€¦</t>
  </si>
  <si>
    <t>Mrzlavski Gaj €“ Vitovec €“ Stankovo</t>
  </si>
  <si>
    <t>stanovska hiša €¦</t>
  </si>
  <si>
    <t>Konjšica 32a, k€¦</t>
  </si>
  <si>
    <t>Bar Makarena, p€¦</t>
  </si>
  <si>
    <t>Selo 88, kuhinj€¦</t>
  </si>
  <si>
    <t>pipa pred garaž€¦</t>
  </si>
  <si>
    <t>garaža, pipa na€¦</t>
  </si>
  <si>
    <t>Križevska vas 1€¦</t>
  </si>
  <si>
    <t>Ledinica 6, kuh€¦</t>
  </si>
  <si>
    <t>Stara koča Rogl€¦</t>
  </si>
  <si>
    <t>Bosljiva loka 1€¦</t>
  </si>
  <si>
    <t>dostava, nastav€¦</t>
  </si>
  <si>
    <t>Osredek pri Dob€¦</t>
  </si>
  <si>
    <t>St. h. Sobrače €¦</t>
  </si>
  <si>
    <t>STRIPS d.o.o. ,€¦</t>
  </si>
  <si>
    <t>CŠOD Dobrljevo €¦</t>
  </si>
  <si>
    <t>Pišece 46g, Sta€¦</t>
  </si>
  <si>
    <t>Snovik 3, kuhin€¦</t>
  </si>
  <si>
    <t>varilnica piva,€¦</t>
  </si>
  <si>
    <t>pipa pred hišo €¦</t>
  </si>
  <si>
    <t>Trgovina Andrej€¦</t>
  </si>
  <si>
    <t>Vrtec Šoštanj -€¦</t>
  </si>
  <si>
    <t>Kuhinja ( Vrtec€¦</t>
  </si>
  <si>
    <t>pomivalnica, pi€¦</t>
  </si>
  <si>
    <t>pisarna, pipa n€¦</t>
  </si>
  <si>
    <t>vodohram Slance€¦</t>
  </si>
  <si>
    <t>Delikatesa, pri€¦</t>
  </si>
  <si>
    <t>sanitarijezl za€¦</t>
  </si>
  <si>
    <t>Kuhinja, korito€¦</t>
  </si>
  <si>
    <t>korito za blaga€¦</t>
  </si>
  <si>
    <t>korito za šanko€¦</t>
  </si>
  <si>
    <t>umivalnik v san€¦</t>
  </si>
  <si>
    <t>1.N, sanitarije€¦</t>
  </si>
  <si>
    <t>korito za točil€¦</t>
  </si>
  <si>
    <t>jedilnica, umiv€¦</t>
  </si>
  <si>
    <t>kuhinja, trojno€¦</t>
  </si>
  <si>
    <t>pipa na dovodni€¦</t>
  </si>
  <si>
    <t>kuhinja trokade€¦</t>
  </si>
  <si>
    <t>Dnevni bar Baca€¦</t>
  </si>
  <si>
    <t>Vrtec Beltinci €¦</t>
  </si>
  <si>
    <t>VRTEC MELINCI -€¦</t>
  </si>
  <si>
    <t>Dolenjske Topli€¦</t>
  </si>
  <si>
    <t>Vrtec Mojstrana€¦</t>
  </si>
  <si>
    <t>Komunala Sevnic€¦</t>
  </si>
  <si>
    <t>Podružnična osn€¦</t>
  </si>
  <si>
    <t>Obrat za predel€¦</t>
  </si>
  <si>
    <t>Petrol, Vodensk€¦</t>
  </si>
  <si>
    <t>osnovna šola, k€¦</t>
  </si>
  <si>
    <t>Oranžna skupina€¦</t>
  </si>
  <si>
    <t>Osnovna šola Ap€¦</t>
  </si>
  <si>
    <t>čajna kuhinja, €¦</t>
  </si>
  <si>
    <t>OŠ PREŽIHOVEGA €¦</t>
  </si>
  <si>
    <t>Bar pr psih, Po€¦</t>
  </si>
  <si>
    <t>Vrtec Dobrna, D€¦</t>
  </si>
  <si>
    <t>Vrtec Dokležovj€¦</t>
  </si>
  <si>
    <t>R bar pod Dobrč€¦</t>
  </si>
  <si>
    <t>Vrtec Podčetrte€¦</t>
  </si>
  <si>
    <t>Strmica 5, kori€¦</t>
  </si>
  <si>
    <t>OŠ Fran Kocbek €¦</t>
  </si>
  <si>
    <t>OŠ Šalovci - Ša€¦</t>
  </si>
  <si>
    <t>Otroški vrtec Š€¦</t>
  </si>
  <si>
    <t>Stanovanjski ob€¦</t>
  </si>
  <si>
    <t>zunanje korito,€¦</t>
  </si>
  <si>
    <t>Market Laze, pi€¦</t>
  </si>
  <si>
    <t>Vrtec Stročja v€¦</t>
  </si>
  <si>
    <t>Vrtec Ljutomer €¦</t>
  </si>
  <si>
    <t>Vrtec Jakec Pes€¦</t>
  </si>
  <si>
    <t>Osnovna šola Gr€¦</t>
  </si>
  <si>
    <t>pipa v urgentni€¦</t>
  </si>
  <si>
    <t>Vodohran Slance€¦</t>
  </si>
  <si>
    <t>fontana na igri€¦</t>
  </si>
  <si>
    <t>namenska pipa z€¦</t>
  </si>
  <si>
    <t>pipa na kamnite€¦</t>
  </si>
  <si>
    <t>sanitarije, umi€¦</t>
  </si>
  <si>
    <t>VODARNA TERBEGO€¦</t>
  </si>
  <si>
    <t>Osnovna šola Ko€¦</t>
  </si>
  <si>
    <t>Avto Servis Špa€¦</t>
  </si>
  <si>
    <t>Enota Mojca, Le€¦</t>
  </si>
  <si>
    <t>Vrtec Školjka, €¦</t>
  </si>
  <si>
    <t>prostor za šank€¦</t>
  </si>
  <si>
    <t>pipa na oddelku€¦</t>
  </si>
  <si>
    <t>VVO Straža kuhi€¦</t>
  </si>
  <si>
    <t>Fine Culinar d.€¦</t>
  </si>
  <si>
    <t>Rozmanova ulica€¦</t>
  </si>
  <si>
    <t>kuhinja, pomiva€¦</t>
  </si>
  <si>
    <t>Kavarnica Pr'R'€¦</t>
  </si>
  <si>
    <t>Shell, korito z€¦</t>
  </si>
  <si>
    <t>klet, sanitarij€¦</t>
  </si>
  <si>
    <t>sanitarije za o€¦</t>
  </si>
  <si>
    <t>trgovina Senože€¦</t>
  </si>
  <si>
    <t>Petrol, Rateče €¦</t>
  </si>
  <si>
    <t>Market Laze, La€¦</t>
  </si>
  <si>
    <t>delikatesa, kor€¦</t>
  </si>
  <si>
    <t>sirarna Hubjani€¦</t>
  </si>
  <si>
    <t>pipa v garderob€¦</t>
  </si>
  <si>
    <t>Pokopališče Jav€¦</t>
  </si>
  <si>
    <t>V KARLOVCE 9, S€¦</t>
  </si>
  <si>
    <t>25/2271, Zbiral€¦</t>
  </si>
  <si>
    <t>urgentna ambula€¦</t>
  </si>
  <si>
    <t>dvojno korito z€¦</t>
  </si>
  <si>
    <t>Beton Caffe, Zg€¦</t>
  </si>
  <si>
    <t>stanovnajska hi€¦</t>
  </si>
  <si>
    <t>pipa na dvorišč€¦</t>
  </si>
  <si>
    <t>hidrant pri avt€¦</t>
  </si>
  <si>
    <t>Močen vonj po k€¦</t>
  </si>
  <si>
    <t>korito za točio€¦</t>
  </si>
  <si>
    <t>APARTMA 3, pipa€¦</t>
  </si>
  <si>
    <t>Hrastenice 12 (€¦</t>
  </si>
  <si>
    <t>Planina nad Hor€¦</t>
  </si>
  <si>
    <t>pipa v mlekarni€¦</t>
  </si>
  <si>
    <t>črpališče Dobro€¦</t>
  </si>
  <si>
    <t>VELUŠČKOVA 6, KOPER SEMEDELA, 6000 Koper - Capodistria</t>
  </si>
  <si>
    <t>OLJČNA POT 63, KOPER - PRISOJE, 6000 Koper - Capodistria</t>
  </si>
  <si>
    <t>KIDRIČEVO NABREŽJE 4, PIRAN, 6330 Piran - Pirano</t>
  </si>
  <si>
    <t>MZL DEBELI RTIČ</t>
  </si>
  <si>
    <t>JADRANSKA 73, ANKARAN  - DEBELI RTIČ, 6280 Ankaran - Ancarano</t>
  </si>
  <si>
    <t>Vrtec Čebelica Velenje</t>
  </si>
  <si>
    <t>ČN Grmov vrh</t>
  </si>
  <si>
    <t>NOVO MESTO - STOPIČE</t>
  </si>
  <si>
    <t>GREGORČIČEV DREVORED 8, 6230 Postojna</t>
  </si>
  <si>
    <t>Komunala Črnomelj</t>
  </si>
  <si>
    <t>ČRNOMELJ (BLATNIK IN DOBLIČE)</t>
  </si>
  <si>
    <t>ČRNOMELJ-DOBLIČE</t>
  </si>
  <si>
    <t>Čardak, VVO</t>
  </si>
  <si>
    <t>Čardak 1, 8340 Črnomelj</t>
  </si>
  <si>
    <t>Loka Črnomelj, VVO</t>
  </si>
  <si>
    <t>Kidričeva ulica 18/b, 8340 Črnomelj</t>
  </si>
  <si>
    <t>JESENICE - PERIČNIK</t>
  </si>
  <si>
    <t>SLOV. BISTRICA- KIDRIČEVO</t>
  </si>
  <si>
    <t>KOČEVJE - RIBNICA - SODRAŽICA</t>
  </si>
  <si>
    <t>KOČEVJE</t>
  </si>
  <si>
    <t>POLJČANE - ROGAŠKA - ROGATEC</t>
  </si>
  <si>
    <t>POLJČANE-ROGAŠKA-ROGATEC</t>
  </si>
  <si>
    <t>POTRČEVA 9/A, 2250 Ptuj</t>
  </si>
  <si>
    <t>VRTEC OTONA ŽUPANČIČA</t>
  </si>
  <si>
    <t>območje 2-HOČE-MIKLAVŽ</t>
  </si>
  <si>
    <t>VRTEC MALEČNIK</t>
  </si>
  <si>
    <t>MALEČNIK 52, 2000 Maribor</t>
  </si>
  <si>
    <t>VRTEC OTONA ŽUPANČIČA, OBLAKOVA</t>
  </si>
  <si>
    <t>VRTEC SPODNJE HOČE</t>
  </si>
  <si>
    <t>ZADLAŠČICA</t>
  </si>
  <si>
    <t>VVO BORISA PEČETA</t>
  </si>
  <si>
    <t>Selo št. 2a, 5262 Črniče</t>
  </si>
  <si>
    <t>KLEČE  - 1</t>
  </si>
  <si>
    <t>HRASTJE/KLEČE -1</t>
  </si>
  <si>
    <t>DRAVOGRAD - ČRNEČE</t>
  </si>
  <si>
    <t>STIČNA</t>
  </si>
  <si>
    <t>HRAŠČICE</t>
  </si>
  <si>
    <t>LITIJA - ŠMARTNO - GOLIŠČE</t>
  </si>
  <si>
    <t>MIRNA PEČ</t>
  </si>
  <si>
    <t>VRTEC DIVAČA</t>
  </si>
  <si>
    <t>UL. DRAGOMIRJA BENČIČA BRKINA 4, KOZINA - HRPELJE, 6240 Kozina</t>
  </si>
  <si>
    <t>ČRNOMELJ-SEMIČ</t>
  </si>
  <si>
    <t>OBČINA BOHINJ</t>
  </si>
  <si>
    <t>VOJE - RIBČEV LAZ</t>
  </si>
  <si>
    <t>OBČINA ŽIRI</t>
  </si>
  <si>
    <t>TRŽIČ MESTNI VODOVOD</t>
  </si>
  <si>
    <t>TRŽIČ MESTNI - RAVNE IN MARKOV</t>
  </si>
  <si>
    <t>ČRNI GOZD</t>
  </si>
  <si>
    <t>Osnovna šola Križe -Črni gozd</t>
  </si>
  <si>
    <t>ČRNI GRABEN</t>
  </si>
  <si>
    <t>TATERMAN - KAMRCA - ŽIROVŠE (Črni graben)</t>
  </si>
  <si>
    <t>ŠOLA ČRNEČE</t>
  </si>
  <si>
    <t>ČRNEČE 157, ČRNEČE, 2370 Dravograd</t>
  </si>
  <si>
    <t>VOLČE</t>
  </si>
  <si>
    <t>OBČINA GORENJA VAS - POLJANE</t>
  </si>
  <si>
    <t>JP KOMUNALA RADEČE d.o.o.</t>
  </si>
  <si>
    <t>RADEČE</t>
  </si>
  <si>
    <t>VODOVOD LETOŠČ</t>
  </si>
  <si>
    <t>ČRNI VRH</t>
  </si>
  <si>
    <t>ČRNI VRH NAD IDRIJO</t>
  </si>
  <si>
    <t>VVE Črni Vrh</t>
  </si>
  <si>
    <t>Črni Vrh 87, 5274 Črni Vrh nad Idrijo</t>
  </si>
  <si>
    <t>GODOVIČ - ZAVRATEC</t>
  </si>
  <si>
    <t>ČEPOVAN - TRNOVO</t>
  </si>
  <si>
    <t>SREDNJA BISTRICA 49B, SREDNJA BISTRICA, 9232 Črenšovci</t>
  </si>
  <si>
    <t>ZREČE</t>
  </si>
  <si>
    <t>ZREČE 2 (spodnji sistem)</t>
  </si>
  <si>
    <t>VRTEC SONČEK</t>
  </si>
  <si>
    <t>UL. BRATKA KREFTA 11, SVETI JURIJ OB ŠČAVNICI, 9244 Sv. Jurij ob Ščavnici</t>
  </si>
  <si>
    <t>KLEČE/HRASTJE - 1</t>
  </si>
  <si>
    <t>KLEČE/BREST - 1</t>
  </si>
  <si>
    <t>PODPEČ - PRESERJE</t>
  </si>
  <si>
    <t>GLOBOČEC</t>
  </si>
  <si>
    <t>TURNIŠČE</t>
  </si>
  <si>
    <t>JVS OBČINE VELIKA POLANA</t>
  </si>
  <si>
    <t>VODOVOD OBČINE VELIKA POLANA</t>
  </si>
  <si>
    <t>ČEHOVINI 11A, 6222 Štanjel</t>
  </si>
  <si>
    <t>DOLIČ</t>
  </si>
  <si>
    <t>DOLIČ #2</t>
  </si>
  <si>
    <t>ŠOLA DOLIČ</t>
  </si>
  <si>
    <t>SREDNJI DOLIČ 4, SREDNJI DOLIČ, 2382 Mislinja</t>
  </si>
  <si>
    <t>OBČINA ILIRSKA BISTRICA</t>
  </si>
  <si>
    <t>ZABIČE</t>
  </si>
  <si>
    <t>ZABIČE 65, 6250 Ilirska Bistrica</t>
  </si>
  <si>
    <t>VRTEC SENOŽEČE</t>
  </si>
  <si>
    <t>SENOŽEČE 103A, 6224 Senožeče</t>
  </si>
  <si>
    <t>PODBOČJE</t>
  </si>
  <si>
    <t>BATE-BANJŠČICE</t>
  </si>
  <si>
    <t>LUČE</t>
  </si>
  <si>
    <t>PLES - MORAVČE - DRTIJA - STRAŽA</t>
  </si>
  <si>
    <t>PAMEČE - NOVO NASELJE</t>
  </si>
  <si>
    <t>ŠOLA PAMEČE</t>
  </si>
  <si>
    <t>PAMEČE 134, PAMEČE, 2380 Slovenj Gradec</t>
  </si>
  <si>
    <t>OBČINA HORJUL</t>
  </si>
  <si>
    <t>RATEČE</t>
  </si>
  <si>
    <t>OBČ.RAČE-FRAM</t>
  </si>
  <si>
    <t>STUDENICE - POLJČANE</t>
  </si>
  <si>
    <t>ZG. HOČE</t>
  </si>
  <si>
    <t>ZG.HOČE</t>
  </si>
  <si>
    <t>LV ZG.HOČE-GOST.KOBALEJ</t>
  </si>
  <si>
    <t>ZG.HOČE 25, 2311 Hoče</t>
  </si>
  <si>
    <t>LOM POD STORŽIČEM</t>
  </si>
  <si>
    <t>BREZJE (TRŽIČ)</t>
  </si>
  <si>
    <t>PODČETRTEK - OLIMJE</t>
  </si>
  <si>
    <t>ČEHOVEC- BISTRICA OB SOTLI</t>
  </si>
  <si>
    <t>PODVIN - DOBRIČ</t>
  </si>
  <si>
    <t>ROČINJ - DOBLAR</t>
  </si>
  <si>
    <t>Gostilna Čot</t>
  </si>
  <si>
    <t>BOČ CEROVEC</t>
  </si>
  <si>
    <t>VRTEC OTONA ŽUPANČIČA, OPLOTNICA</t>
  </si>
  <si>
    <t>LOKA PRI ZIDANEM MOSTU - RAČICA</t>
  </si>
  <si>
    <t>GORIČE</t>
  </si>
  <si>
    <t>BOČNA</t>
  </si>
  <si>
    <t>GRAČIČ - BEZINA</t>
  </si>
  <si>
    <t>ČATEŽ</t>
  </si>
  <si>
    <t>Gorenja vas pri Čatežu 19, 8212 Velika Loka</t>
  </si>
  <si>
    <t>VODARNA PODGRAD - SEGOVCI (OMREŽJE APAČE, GORNJA RADGONA)</t>
  </si>
  <si>
    <t>ČEPINCI</t>
  </si>
  <si>
    <t xml:space="preserve">ČEPINCI </t>
  </si>
  <si>
    <t>Čepinci 10, ČEPINCI, 9203 Petrovci</t>
  </si>
  <si>
    <t>Bohinjska Češnjica, Spodnje Podjelje</t>
  </si>
  <si>
    <t>Bohinjska Češnjica, Spodnje Pojelje</t>
  </si>
  <si>
    <t>stan hiša Bohinjska Češnjica</t>
  </si>
  <si>
    <t>Bohinjska Češnjica 15, 4267 Srednja vas v Bohinju</t>
  </si>
  <si>
    <t>OTROŠKI VRTEC SONČEK</t>
  </si>
  <si>
    <t>KAMNIŠKA BISTRICA - GODIČ</t>
  </si>
  <si>
    <t>OBČINA ČRNA</t>
  </si>
  <si>
    <t>ČRNA</t>
  </si>
  <si>
    <t>Občina Črna, Janko Potočnik</t>
  </si>
  <si>
    <t>Center 31, 2393 Črna na Koroškem</t>
  </si>
  <si>
    <t>Gostilna pri Čibru</t>
  </si>
  <si>
    <t>VELIKE LAŠČE IN BOROVEC KARLOVICA</t>
  </si>
  <si>
    <t>ČRETA-SLIVNICA-RADIZEL</t>
  </si>
  <si>
    <t>JARŠKI PROD/HRASTJE/KLEČE - 1</t>
  </si>
  <si>
    <t>JAVNI VODOVODNI SISTEM KOVAČA VAS</t>
  </si>
  <si>
    <t>Avtomehanika TOMAŽIČ</t>
  </si>
  <si>
    <t>ČRETA</t>
  </si>
  <si>
    <t>ROŽIČKI VRH (skupinski) - SMOLKO IGOR</t>
  </si>
  <si>
    <t>KOTREDEŽ - LOŠČ</t>
  </si>
  <si>
    <t>KOTREDEŽ - LOŠČ (del Zagorja)</t>
  </si>
  <si>
    <t>MESTNA OBČINA KOPER</t>
  </si>
  <si>
    <t>LOKA PRI ČRNEM KALU</t>
  </si>
  <si>
    <t>LOKA 36, LOKA PRI ČRNEM KALU, 6275 Črni Kal</t>
  </si>
  <si>
    <t>OBČINA HRPELJE - KOZINA</t>
  </si>
  <si>
    <t>TRPČANE</t>
  </si>
  <si>
    <t>GOSTILNA KOČANIJA</t>
  </si>
  <si>
    <t>TRPČANE 41B, ILIRSKA BISTRICA - TRPČANE, 6250 Ilirska Bistrica</t>
  </si>
  <si>
    <t>ČIGINJ</t>
  </si>
  <si>
    <t>Čiginj  44, 5220 Tolmin</t>
  </si>
  <si>
    <t>GRAHOVO OB BAČI</t>
  </si>
  <si>
    <t>ZBELOVSKA GORA - PEČICA (NUNSKA GORA)</t>
  </si>
  <si>
    <t>OBČ. LENART</t>
  </si>
  <si>
    <t>SP.VOLIČINA 49, SPODNJA VOLIČINA, 2232 Voličina</t>
  </si>
  <si>
    <t>ZAROBAR - HLAVČE NJIVE</t>
  </si>
  <si>
    <t>LUČINE - SUHI DOL</t>
  </si>
  <si>
    <t>LUČINE</t>
  </si>
  <si>
    <t>PODRUŽNIČNA OŠ LOKA PRI ŽUSMU</t>
  </si>
  <si>
    <t>BUČKA</t>
  </si>
  <si>
    <t>ARTIČE</t>
  </si>
  <si>
    <t>ŽERJAV 27A, ŽERJAV, 2393 Črna na Koroškem</t>
  </si>
  <si>
    <t>ŽEČE - ŠTARKLJA</t>
  </si>
  <si>
    <t>TRŽIČ PRESKA</t>
  </si>
  <si>
    <t>POČE</t>
  </si>
  <si>
    <t>TERME ČATEŽ d.d.</t>
  </si>
  <si>
    <t>TERME ČATEŽ</t>
  </si>
  <si>
    <t>Hotel Zdravilišče - Terme Čatež</t>
  </si>
  <si>
    <t>Topliška cesta 35, ČATEŽ OB SAVI, 8250 Brežice</t>
  </si>
  <si>
    <t>SOČA</t>
  </si>
  <si>
    <t>SENIČNO</t>
  </si>
  <si>
    <t>SENIČNO #2</t>
  </si>
  <si>
    <t>OBČINA SOLČAVA</t>
  </si>
  <si>
    <t>SOLČAVA</t>
  </si>
  <si>
    <t>VODOVOD RIBČE - HOTIČ</t>
  </si>
  <si>
    <t>RIBČE - HOTIČ</t>
  </si>
  <si>
    <t>VAČE</t>
  </si>
  <si>
    <t>SAVA - PONOVIČE</t>
  </si>
  <si>
    <t>MUKOVEC - VRH - LASTNIČ</t>
  </si>
  <si>
    <t>RANČE</t>
  </si>
  <si>
    <t>Čadež</t>
  </si>
  <si>
    <t>PAMEČE - STARO NASELJE</t>
  </si>
  <si>
    <t>VODOVOD KRIVČEVO-PODSTUDENEC</t>
  </si>
  <si>
    <t>KRIVČEVO-PODSTUDENEC</t>
  </si>
  <si>
    <t>VODOVOD SOVINJA PEČ-ROŽIČNO</t>
  </si>
  <si>
    <t>SOVINJA PEČ-ROŽIČNO</t>
  </si>
  <si>
    <t>ŠMARTNO BUČ</t>
  </si>
  <si>
    <t>ŠMARTNO-BUČ</t>
  </si>
  <si>
    <t>GNEČ - SLATINA</t>
  </si>
  <si>
    <t>KZ VELIKE LAŠČE, z.o.o., TRGOVINA TURJAK</t>
  </si>
  <si>
    <t>TRNOVO OB SOČI</t>
  </si>
  <si>
    <t>GOSTIŠČE PRODNIK</t>
  </si>
  <si>
    <t>OBČINA DOBJE</t>
  </si>
  <si>
    <t>DOBOVEC-TRLIČNO</t>
  </si>
  <si>
    <t>Črpališče Zgornja Vižinga (v bližini stan. hiše Zg. Vižinga 8)</t>
  </si>
  <si>
    <t>STOMAŽ SH 39 - PRITLIČJE, PIPA V KUHINJI</t>
  </si>
  <si>
    <t>HOTIČNA</t>
  </si>
  <si>
    <t>HOTIČNA 2A, MATERIJA - HOTIČNA, 6242 Materija</t>
  </si>
  <si>
    <t>OBČINA SEŽANA</t>
  </si>
  <si>
    <t>OBČINA ŽALEC</t>
  </si>
  <si>
    <t>LAHKA PEČ</t>
  </si>
  <si>
    <t>Stanovanjska hiša Špegelj Silvo - Čreškova</t>
  </si>
  <si>
    <t>JAKŠIČI - FARA</t>
  </si>
  <si>
    <t>OBČINA DRAVOGRAD</t>
  </si>
  <si>
    <t>LIBELIČE</t>
  </si>
  <si>
    <t>ŠOLA LIBELIČE</t>
  </si>
  <si>
    <t>LIBELIČE 22, 2372 Libeliče</t>
  </si>
  <si>
    <t>Črni Potok 13, 1275 Šmartno pri Litiji</t>
  </si>
  <si>
    <t>STRAŽIŠČE</t>
  </si>
  <si>
    <t>VH STRAŽIŠČE, PRIVAT HIŠA</t>
  </si>
  <si>
    <t>STRAŽIŠČE 76, STRAŽIŠČE, 2391 Prevalje</t>
  </si>
  <si>
    <t>BUKOVŠČICA</t>
  </si>
  <si>
    <t>ŽLEBE - SENIČICA</t>
  </si>
  <si>
    <t>ČRNI VRH - SMOLNIK</t>
  </si>
  <si>
    <t>Osnovna šola Črni vrh</t>
  </si>
  <si>
    <t>Črni vrh 34, 1355 Polhov Gradec</t>
  </si>
  <si>
    <t>ŽLEBIČ</t>
  </si>
  <si>
    <t>ČATEŠKA GORA</t>
  </si>
  <si>
    <t>Čateška gora</t>
  </si>
  <si>
    <t>Čateška gora 17, Litija , 1270 Litija</t>
  </si>
  <si>
    <t>Čateška gora 17€¦</t>
  </si>
  <si>
    <t>KOČNA</t>
  </si>
  <si>
    <t>KOZARŠČE</t>
  </si>
  <si>
    <t>SELA PRI VOLČAH</t>
  </si>
  <si>
    <t>ČEŠNJICE - ZAGRADIŠČE</t>
  </si>
  <si>
    <t>KOČEVSKA REKA</t>
  </si>
  <si>
    <t>DRUŠTVO ZA VARSTVO VODA-OKOLJA ČOLNIŠČE</t>
  </si>
  <si>
    <t>ČOLNIŠČE</t>
  </si>
  <si>
    <t>Čolnišče 1, 1410 Zagorje ob Savi</t>
  </si>
  <si>
    <t>TIRNA - ROVIŠČE</t>
  </si>
  <si>
    <t>MIRNA PEČ- del Radulja</t>
  </si>
  <si>
    <t>Četena Ravan 7, Četena Ravan, 4223 Poljane nad Škofjo Loko</t>
  </si>
  <si>
    <t>TREBENČE</t>
  </si>
  <si>
    <t>DRAVČE</t>
  </si>
  <si>
    <t>SH LOKAVEC 101A - PRITLIČJE, PIPA V KUHINJI</t>
  </si>
  <si>
    <t>JANČE - GABERJE</t>
  </si>
  <si>
    <t>OBČINA ŠENTJUR</t>
  </si>
  <si>
    <t>BUČE</t>
  </si>
  <si>
    <t>OBČINA BISTRICA OB SOTLI</t>
  </si>
  <si>
    <t>LOG ČEZSOŠKI</t>
  </si>
  <si>
    <t>Log Čezsoški št.1, 5224 Srpenica</t>
  </si>
  <si>
    <t>ČEMŠENIK</t>
  </si>
  <si>
    <t>Trgovina Čemš.</t>
  </si>
  <si>
    <t>Čemšenik 5, Čemšenik, 1410 Zagorje ob Savi</t>
  </si>
  <si>
    <t>POS, Čemšenik €¦</t>
  </si>
  <si>
    <t>OBČINA ŠKOFJA LOKA</t>
  </si>
  <si>
    <t>STUDENČICE</t>
  </si>
  <si>
    <t>HOČKO POHORJE 38, 2208 Pohorje</t>
  </si>
  <si>
    <t>OBČINA LUČE</t>
  </si>
  <si>
    <t>DONAČKA GORA</t>
  </si>
  <si>
    <t>BOGNEČA VAS</t>
  </si>
  <si>
    <t>KOSEČ</t>
  </si>
  <si>
    <t>GRAHOVICA OKIČ</t>
  </si>
  <si>
    <t>LETOŠČ - ŠMARTNO - VOLOG</t>
  </si>
  <si>
    <t>LETOŠČ - ŠMARTNO - BRDO</t>
  </si>
  <si>
    <t>VOLČA</t>
  </si>
  <si>
    <t>VODOVOD ČRNA</t>
  </si>
  <si>
    <t>Črna pri Kamniku 9, Strahovica, 1242 Stahovica</t>
  </si>
  <si>
    <t>ČEPLEZ</t>
  </si>
  <si>
    <t>javna izlivka Čeplez</t>
  </si>
  <si>
    <t>Čeplez  5, 5282 Cerkno</t>
  </si>
  <si>
    <t>BISTRICA PRI TRŽIČU</t>
  </si>
  <si>
    <t>Dol pri Čepovanu</t>
  </si>
  <si>
    <t>ČEPOVAN 133 A</t>
  </si>
  <si>
    <t>ČEPOVAN 133A, 5253 Čepovan</t>
  </si>
  <si>
    <t>Čepovan 133a, k€¦</t>
  </si>
  <si>
    <t>Podpeca 77a, Podpeca, 2393 Črna na Koroškem</t>
  </si>
  <si>
    <t>GORENJE POLJE - MOČILA</t>
  </si>
  <si>
    <t>STANOVANJSKA HIŠA, MOČILA 7</t>
  </si>
  <si>
    <t>MOČILA 7, ANHOVO, 5210 Deskle</t>
  </si>
  <si>
    <t>ŽELEZNIČAR</t>
  </si>
  <si>
    <t>DOBRAČEVA (ŽIRI)</t>
  </si>
  <si>
    <t>PRAPROČE</t>
  </si>
  <si>
    <t>POKOJIŠČE</t>
  </si>
  <si>
    <t>ZABOČEVO</t>
  </si>
  <si>
    <t>ČADRG</t>
  </si>
  <si>
    <t>Čadrg 11, 5220 Tolmin</t>
  </si>
  <si>
    <t>GAŠPINOVO - PRAPROČE</t>
  </si>
  <si>
    <t>SOBRAČE</t>
  </si>
  <si>
    <t>Jesenovo 33, 1413 Čemšenik</t>
  </si>
  <si>
    <t>Dobrljevo 9, 1413 Čemšenik</t>
  </si>
  <si>
    <t>Dobrljevo 32, Č€¦</t>
  </si>
  <si>
    <t>Brezje 32, 1413 Čemšenik</t>
  </si>
  <si>
    <t>Brezje 7, 1413 Čemšenik</t>
  </si>
  <si>
    <t>VODOVOD BUČ</t>
  </si>
  <si>
    <t>BUČ</t>
  </si>
  <si>
    <t>DRUŠTVO ZA OHRANITEV ČISTE VODE</t>
  </si>
  <si>
    <t>DOLŠČAKI</t>
  </si>
  <si>
    <t>VRTEC STROČJA VAS</t>
  </si>
  <si>
    <t>STROČJA VAS 101, STROČJA VAS, 9240 Ljutomer</t>
  </si>
  <si>
    <t>Vrtec Anice Černejeve Celje - Enota Hribček</t>
  </si>
  <si>
    <t>OŠ ZAVRČ</t>
  </si>
  <si>
    <t>ZAVRČ 14, 2283 Zavrč</t>
  </si>
  <si>
    <t>Vrtec Anice Černejeve Celje - Enota Sonce</t>
  </si>
  <si>
    <t>BOVEC - ČEZSOČA</t>
  </si>
  <si>
    <t>VRTEC KROJAČEK HLAČEK</t>
  </si>
  <si>
    <t>ZREČE 1 (zgornji sistem)</t>
  </si>
  <si>
    <t>Dso Čeče-Pekel</t>
  </si>
  <si>
    <t>Stanovanjjski objekt (Čadež Simon)</t>
  </si>
  <si>
    <t>GOSTIŠČE BOHORČ</t>
  </si>
  <si>
    <t>LETOŠČ - ŠMARTNO OB DRETI</t>
  </si>
  <si>
    <t>VS GLADOMES, BAR TAČEK</t>
  </si>
  <si>
    <t>KOSTEL - KAPTOL - DELAČ</t>
  </si>
  <si>
    <t>PALOVČE-VRANJA PEČ-VELIKA LAŠNA</t>
  </si>
  <si>
    <t>ČRNOMELJ - ČRMOŠNJICE</t>
  </si>
  <si>
    <t>ČRNOMELJ - ČERMOŠNJICE</t>
  </si>
  <si>
    <t>Črmošnjice, Dom Lipa - CŠOD</t>
  </si>
  <si>
    <t>Črmošnjice 27, 8333 Semič</t>
  </si>
  <si>
    <t>ČEČE</t>
  </si>
  <si>
    <t>Čeče 6, Čeče, 1420 Trbovlje</t>
  </si>
  <si>
    <t>STUDENČEVKA - SUŠJE</t>
  </si>
  <si>
    <t>OKREPČEVALNICA NADA</t>
  </si>
  <si>
    <t>ČEŠNJICE PRI TREBELNEM</t>
  </si>
  <si>
    <t>Češnjice, bife Žagar</t>
  </si>
  <si>
    <t>Češnjice 35, Trbelno, 8231 Trebelno</t>
  </si>
  <si>
    <t>GOSTIŠČE ATELŠEK</t>
  </si>
  <si>
    <t>VODOVOD GOSTIŠČE ATELŠEK</t>
  </si>
  <si>
    <t>OSKRBOVALNO OBMOČJE GOSTIŠČE ATELŠEK</t>
  </si>
  <si>
    <t>GOSTIŠČE MOČIVNIK</t>
  </si>
  <si>
    <t>ČP BILPA PO UV</t>
  </si>
  <si>
    <t>VODOVOD PLANINSKI DOM DONAČKA GORA</t>
  </si>
  <si>
    <t>PLANINSKI DOM DONAČKA GORA</t>
  </si>
  <si>
    <t>DONAČKA GORA 37A, DONAČKA GORA, 3252 Rogatec</t>
  </si>
  <si>
    <t>VODOVOD TUURISTIČNA KMETIJA JEGLIJENK</t>
  </si>
  <si>
    <t>TURISTIČNA KMETIJA JEGLIJENK</t>
  </si>
  <si>
    <t>VODOVOD TURISTIČNA KMETIJA WEISS</t>
  </si>
  <si>
    <t>TURISTIČNA KMETIJA WEISS</t>
  </si>
  <si>
    <t>VODOVOD KOČA V KRNICI</t>
  </si>
  <si>
    <t>KOČA V KRNICI</t>
  </si>
  <si>
    <t>VAŠKA SKUPNOST KOPAČNICA</t>
  </si>
  <si>
    <t>VODOVOD KOPAČNICA - SPODNJI DEL</t>
  </si>
  <si>
    <t>IZVIR DRČE - KOPAČNICA</t>
  </si>
  <si>
    <t>KOPAČNICA SPODNJI DEL - STANOVANJSKA HIŠA</t>
  </si>
  <si>
    <t>KOPAČNICA 8, 4224 Gorenja vas</t>
  </si>
  <si>
    <t>GRIČNIK D.O.O.</t>
  </si>
  <si>
    <t>ŽIČNICE VOGEL BOHINJ</t>
  </si>
  <si>
    <t>VODOVOD PLANINSKA KOČA MERJASEC</t>
  </si>
  <si>
    <t>PLANINSKA KOČA MERJASEC</t>
  </si>
  <si>
    <t>PLANINSKA KOČA MERJASEC - TOČILNI PULT - DEŽEVNICA</t>
  </si>
  <si>
    <t>PLANINSKI DOM SAVICA - TOČILNI PULT</t>
  </si>
  <si>
    <t>TURISTIČNA KMETIJA PLODER</t>
  </si>
  <si>
    <t>VODOVOD TURISTIČNA KMETIJA OŠVEN</t>
  </si>
  <si>
    <t>TURISTIČNA KMETIJA OŠVEN</t>
  </si>
  <si>
    <t>BISTRA 14, 2393 Črna na Koroškem</t>
  </si>
  <si>
    <t>VODOVOD KOČA NA KRIŠKI GORI</t>
  </si>
  <si>
    <t>KOČA NA KRIŠKI GORI</t>
  </si>
  <si>
    <t>KOČA NA KRIŠKI GORI - DEŽEVNICA</t>
  </si>
  <si>
    <t>ČRETA, 3331 Nazarje</t>
  </si>
  <si>
    <t>PD ČRNOMELJ</t>
  </si>
  <si>
    <t>VODOVOD PLANINSKA KOČA NA SVETEM JAKOBU</t>
  </si>
  <si>
    <t>PLANINSKA KOČA NA SVETEM JAKOBU</t>
  </si>
  <si>
    <t>POTOČE 38, PREDDVOR - POTOČE, 4205 Preddvor</t>
  </si>
  <si>
    <t>APARTMAJI ČUMAR</t>
  </si>
  <si>
    <t>VODOVOD APARTMAJI ČUMAR</t>
  </si>
  <si>
    <t>DAVČA 19, 4228 Železniki</t>
  </si>
  <si>
    <t>VODOVOD APARTMAJI ČUMAR BRUNARICA</t>
  </si>
  <si>
    <t>PODMEJAČ - TUŠEK - APARTMAJI ČUMAR BRUNARICA</t>
  </si>
  <si>
    <t>APARTMAJI ČUMAR - BRUNARICA</t>
  </si>
  <si>
    <t>DAVČA 66, 4228 Železniki</t>
  </si>
  <si>
    <t>DRUŠTVO TABORNIKOV RKG TRŽIČ</t>
  </si>
  <si>
    <t>AVČE</t>
  </si>
  <si>
    <t>LOGARŠČE</t>
  </si>
  <si>
    <t>ROBIDIŠČE</t>
  </si>
  <si>
    <t>OŠ PODKRAJ - PRITLIČJE, PIPA V KUHINJI</t>
  </si>
  <si>
    <t>GOSTIŠČE ODDIH</t>
  </si>
  <si>
    <t>KS KOTLJE - OBČINA RAVNE NA KOROŠKEM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</si>
</sst>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</cellXfs>
  <cellStyles count="42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" xfId="8" builtinId="28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1825"/>
  <sheetViews>
    <sheetView tabSelected="1" workbookViewId="0"/>
  </sheetViews>
  <sheetFormatPr defaultRowHeight="15" x14ac:dyDescent="0.25"/>
  <cols>
    <col min="3" max="3" width="10.140625" bestFit="1" customWidth="1"/>
  </cols>
  <sheetData>
    <row r="1" spans="1:150" x14ac:dyDescent="0.25">
      <c r="A1" t="s">
        <v>0</v>
      </c>
      <c r="B1" t="s">
        <v>1</v>
      </c>
      <c r="C1" t="s">
        <v>4689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4690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6288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6289</v>
      </c>
      <c r="AB1" t="s">
        <v>6290</v>
      </c>
      <c r="AC1" t="s">
        <v>4691</v>
      </c>
      <c r="AD1" t="s">
        <v>23</v>
      </c>
      <c r="AE1" t="s">
        <v>24</v>
      </c>
      <c r="AF1" t="s">
        <v>25</v>
      </c>
      <c r="AG1" t="s">
        <v>26</v>
      </c>
      <c r="AH1" t="s">
        <v>27</v>
      </c>
      <c r="AI1" t="s">
        <v>28</v>
      </c>
      <c r="AJ1" t="s">
        <v>29</v>
      </c>
      <c r="AK1" t="s">
        <v>30</v>
      </c>
      <c r="AL1" t="s">
        <v>31</v>
      </c>
      <c r="AM1" t="s">
        <v>32</v>
      </c>
      <c r="AN1" t="s">
        <v>33</v>
      </c>
      <c r="AO1" t="s">
        <v>34</v>
      </c>
      <c r="AP1" t="s">
        <v>35</v>
      </c>
      <c r="AQ1" t="s">
        <v>36</v>
      </c>
      <c r="AR1" t="s">
        <v>37</v>
      </c>
      <c r="AS1" t="s">
        <v>38</v>
      </c>
      <c r="AT1" t="s">
        <v>39</v>
      </c>
      <c r="AU1" t="s">
        <v>40</v>
      </c>
      <c r="AV1" t="s">
        <v>41</v>
      </c>
      <c r="AW1" t="s">
        <v>42</v>
      </c>
      <c r="AX1" t="s">
        <v>43</v>
      </c>
      <c r="AY1" t="s">
        <v>44</v>
      </c>
      <c r="AZ1" t="s">
        <v>5088</v>
      </c>
      <c r="BA1" t="s">
        <v>45</v>
      </c>
      <c r="BB1" t="s">
        <v>46</v>
      </c>
      <c r="BC1" t="s">
        <v>47</v>
      </c>
      <c r="BD1" t="s">
        <v>48</v>
      </c>
      <c r="BE1" t="s">
        <v>49</v>
      </c>
      <c r="BF1" t="s">
        <v>50</v>
      </c>
      <c r="BG1" t="s">
        <v>51</v>
      </c>
      <c r="BH1" t="s">
        <v>52</v>
      </c>
      <c r="BI1" t="s">
        <v>53</v>
      </c>
      <c r="BJ1" t="s">
        <v>5089</v>
      </c>
      <c r="BK1" t="s">
        <v>54</v>
      </c>
      <c r="BL1" t="s">
        <v>55</v>
      </c>
      <c r="BM1" t="s">
        <v>56</v>
      </c>
      <c r="BN1" t="s">
        <v>57</v>
      </c>
      <c r="BO1" t="s">
        <v>58</v>
      </c>
      <c r="BP1" t="s">
        <v>59</v>
      </c>
      <c r="BQ1" t="s">
        <v>60</v>
      </c>
      <c r="BR1" t="s">
        <v>61</v>
      </c>
      <c r="BS1" t="s">
        <v>62</v>
      </c>
      <c r="BT1" t="s">
        <v>63</v>
      </c>
      <c r="BU1" t="s">
        <v>64</v>
      </c>
      <c r="BV1" t="s">
        <v>65</v>
      </c>
      <c r="BW1" t="s">
        <v>66</v>
      </c>
      <c r="BX1" t="s">
        <v>67</v>
      </c>
      <c r="BY1" t="s">
        <v>68</v>
      </c>
      <c r="BZ1" t="s">
        <v>69</v>
      </c>
      <c r="CA1" t="s">
        <v>70</v>
      </c>
      <c r="CB1" t="s">
        <v>71</v>
      </c>
      <c r="CC1" t="s">
        <v>72</v>
      </c>
      <c r="CD1" t="s">
        <v>73</v>
      </c>
      <c r="CE1" t="s">
        <v>74</v>
      </c>
      <c r="CF1" t="s">
        <v>75</v>
      </c>
      <c r="CG1" t="s">
        <v>76</v>
      </c>
      <c r="CH1" t="s">
        <v>77</v>
      </c>
      <c r="CI1" t="s">
        <v>78</v>
      </c>
      <c r="CJ1" t="s">
        <v>79</v>
      </c>
      <c r="CK1" t="s">
        <v>80</v>
      </c>
      <c r="CL1" t="s">
        <v>81</v>
      </c>
      <c r="CM1" t="s">
        <v>82</v>
      </c>
      <c r="CN1" t="s">
        <v>83</v>
      </c>
      <c r="CO1" t="s">
        <v>84</v>
      </c>
      <c r="CP1" t="s">
        <v>85</v>
      </c>
      <c r="CQ1" t="s">
        <v>86</v>
      </c>
      <c r="CR1" t="s">
        <v>87</v>
      </c>
      <c r="CS1" t="s">
        <v>88</v>
      </c>
      <c r="CT1" t="s">
        <v>89</v>
      </c>
      <c r="CU1" t="s">
        <v>90</v>
      </c>
      <c r="CV1" t="s">
        <v>91</v>
      </c>
      <c r="CW1" t="s">
        <v>92</v>
      </c>
      <c r="CX1" t="s">
        <v>93</v>
      </c>
      <c r="CY1" t="s">
        <v>94</v>
      </c>
      <c r="CZ1" t="s">
        <v>95</v>
      </c>
      <c r="DA1" t="s">
        <v>96</v>
      </c>
      <c r="DB1" t="s">
        <v>97</v>
      </c>
      <c r="DC1" t="s">
        <v>98</v>
      </c>
      <c r="DD1" t="s">
        <v>99</v>
      </c>
      <c r="DE1" t="s">
        <v>100</v>
      </c>
      <c r="DF1" t="s">
        <v>101</v>
      </c>
      <c r="DG1" t="s">
        <v>102</v>
      </c>
      <c r="DH1" t="s">
        <v>103</v>
      </c>
      <c r="DI1" t="s">
        <v>104</v>
      </c>
      <c r="DJ1" t="s">
        <v>105</v>
      </c>
      <c r="DK1" t="s">
        <v>106</v>
      </c>
      <c r="DL1" t="s">
        <v>107</v>
      </c>
      <c r="DM1" t="s">
        <v>108</v>
      </c>
      <c r="DN1" t="s">
        <v>109</v>
      </c>
      <c r="DO1" t="s">
        <v>110</v>
      </c>
      <c r="DP1" t="s">
        <v>111</v>
      </c>
      <c r="DQ1" t="s">
        <v>112</v>
      </c>
      <c r="DR1" t="s">
        <v>113</v>
      </c>
      <c r="DS1" t="s">
        <v>114</v>
      </c>
      <c r="DT1" t="s">
        <v>115</v>
      </c>
      <c r="DU1" t="s">
        <v>116</v>
      </c>
      <c r="DV1" t="s">
        <v>117</v>
      </c>
      <c r="DW1" t="s">
        <v>118</v>
      </c>
      <c r="DX1" t="s">
        <v>119</v>
      </c>
      <c r="DY1" t="s">
        <v>120</v>
      </c>
      <c r="DZ1" t="s">
        <v>121</v>
      </c>
      <c r="EA1" t="s">
        <v>122</v>
      </c>
      <c r="EB1" t="s">
        <v>123</v>
      </c>
      <c r="EC1" t="s">
        <v>124</v>
      </c>
      <c r="ED1" t="s">
        <v>125</v>
      </c>
      <c r="EE1" t="s">
        <v>126</v>
      </c>
      <c r="EF1" t="s">
        <v>127</v>
      </c>
      <c r="EG1" t="s">
        <v>128</v>
      </c>
      <c r="EH1" t="s">
        <v>129</v>
      </c>
      <c r="EI1" t="s">
        <v>130</v>
      </c>
      <c r="EJ1" t="s">
        <v>4692</v>
      </c>
      <c r="EK1" t="s">
        <v>131</v>
      </c>
      <c r="EL1" t="s">
        <v>132</v>
      </c>
      <c r="EM1" t="s">
        <v>133</v>
      </c>
      <c r="EN1" t="s">
        <v>134</v>
      </c>
      <c r="EO1" t="s">
        <v>135</v>
      </c>
      <c r="EP1" t="s">
        <v>136</v>
      </c>
      <c r="EQ1" t="s">
        <v>137</v>
      </c>
      <c r="ER1" t="s">
        <v>138</v>
      </c>
      <c r="ES1" t="s">
        <v>139</v>
      </c>
      <c r="ET1" t="s">
        <v>140</v>
      </c>
    </row>
    <row r="2" spans="1:150" x14ac:dyDescent="0.25">
      <c r="A2" t="s">
        <v>141</v>
      </c>
      <c r="B2" t="s">
        <v>141</v>
      </c>
      <c r="C2" t="s">
        <v>141</v>
      </c>
      <c r="D2" t="s">
        <v>141</v>
      </c>
      <c r="E2" t="s">
        <v>141</v>
      </c>
      <c r="F2" t="s">
        <v>141</v>
      </c>
      <c r="G2" t="s">
        <v>141</v>
      </c>
      <c r="H2" t="s">
        <v>141</v>
      </c>
      <c r="I2" t="s">
        <v>141</v>
      </c>
      <c r="J2" t="s">
        <v>141</v>
      </c>
      <c r="K2" t="s">
        <v>141</v>
      </c>
      <c r="L2" t="s">
        <v>141</v>
      </c>
      <c r="M2" t="s">
        <v>141</v>
      </c>
      <c r="N2" t="s">
        <v>141</v>
      </c>
      <c r="O2" t="s">
        <v>141</v>
      </c>
      <c r="P2" t="s">
        <v>141</v>
      </c>
      <c r="Q2" t="s">
        <v>141</v>
      </c>
      <c r="R2" t="s">
        <v>6291</v>
      </c>
      <c r="S2" t="s">
        <v>141</v>
      </c>
      <c r="T2" t="s">
        <v>6292</v>
      </c>
      <c r="U2" t="s">
        <v>142</v>
      </c>
      <c r="V2" t="s">
        <v>142</v>
      </c>
      <c r="W2" t="s">
        <v>141</v>
      </c>
      <c r="X2" t="s">
        <v>143</v>
      </c>
      <c r="Y2" t="s">
        <v>144</v>
      </c>
      <c r="Z2" t="s">
        <v>145</v>
      </c>
      <c r="AA2" t="s">
        <v>145</v>
      </c>
      <c r="AB2" t="s">
        <v>144</v>
      </c>
      <c r="AC2" t="s">
        <v>144</v>
      </c>
      <c r="AD2" t="s">
        <v>144</v>
      </c>
      <c r="AE2" t="s">
        <v>6293</v>
      </c>
      <c r="AF2" t="s">
        <v>141</v>
      </c>
      <c r="AG2" t="s">
        <v>146</v>
      </c>
      <c r="AH2" t="s">
        <v>142</v>
      </c>
      <c r="AI2" t="s">
        <v>142</v>
      </c>
      <c r="AJ2" t="s">
        <v>142</v>
      </c>
      <c r="AK2" t="s">
        <v>142</v>
      </c>
      <c r="AL2" t="s">
        <v>142</v>
      </c>
      <c r="AM2" t="s">
        <v>142</v>
      </c>
      <c r="AN2" t="s">
        <v>142</v>
      </c>
      <c r="AO2" t="s">
        <v>142</v>
      </c>
      <c r="AP2" t="s">
        <v>142</v>
      </c>
      <c r="AQ2" t="s">
        <v>142</v>
      </c>
      <c r="AR2" t="s">
        <v>142</v>
      </c>
      <c r="AS2" t="s">
        <v>6293</v>
      </c>
      <c r="AT2" t="s">
        <v>6293</v>
      </c>
      <c r="AU2" t="s">
        <v>6293</v>
      </c>
      <c r="AV2" t="s">
        <v>6293</v>
      </c>
      <c r="AW2" t="s">
        <v>6293</v>
      </c>
      <c r="AX2" t="s">
        <v>6293</v>
      </c>
      <c r="AY2" t="s">
        <v>6293</v>
      </c>
      <c r="AZ2" t="s">
        <v>142</v>
      </c>
      <c r="BA2" t="s">
        <v>6293</v>
      </c>
      <c r="BB2" t="s">
        <v>6293</v>
      </c>
      <c r="BC2" t="s">
        <v>6293</v>
      </c>
      <c r="BD2" t="s">
        <v>142</v>
      </c>
      <c r="BE2" t="s">
        <v>6293</v>
      </c>
      <c r="BF2" t="s">
        <v>6293</v>
      </c>
      <c r="BG2" t="s">
        <v>6293</v>
      </c>
      <c r="BH2" t="s">
        <v>6293</v>
      </c>
      <c r="BI2" t="s">
        <v>6293</v>
      </c>
      <c r="BJ2" t="s">
        <v>6293</v>
      </c>
      <c r="BK2" t="s">
        <v>6293</v>
      </c>
      <c r="BL2" t="s">
        <v>6293</v>
      </c>
      <c r="BM2" t="s">
        <v>6293</v>
      </c>
      <c r="BN2" t="s">
        <v>6293</v>
      </c>
      <c r="BO2" t="s">
        <v>6293</v>
      </c>
      <c r="BP2" t="s">
        <v>6293</v>
      </c>
      <c r="BQ2" t="s">
        <v>6293</v>
      </c>
      <c r="BR2" t="s">
        <v>6293</v>
      </c>
      <c r="BS2" t="s">
        <v>6293</v>
      </c>
      <c r="BT2" t="s">
        <v>6293</v>
      </c>
      <c r="BU2" t="s">
        <v>6293</v>
      </c>
      <c r="BV2" t="s">
        <v>6293</v>
      </c>
      <c r="BW2" t="s">
        <v>6293</v>
      </c>
      <c r="BX2" t="s">
        <v>6293</v>
      </c>
      <c r="BY2" t="s">
        <v>6293</v>
      </c>
      <c r="BZ2" t="s">
        <v>6293</v>
      </c>
      <c r="CA2" t="s">
        <v>6293</v>
      </c>
      <c r="CB2" t="s">
        <v>6293</v>
      </c>
      <c r="CC2" t="s">
        <v>6293</v>
      </c>
      <c r="CD2" t="s">
        <v>6293</v>
      </c>
      <c r="CE2" t="s">
        <v>6293</v>
      </c>
      <c r="CF2" t="s">
        <v>6293</v>
      </c>
      <c r="CG2" t="s">
        <v>6293</v>
      </c>
      <c r="CH2" t="s">
        <v>6293</v>
      </c>
      <c r="CI2" t="s">
        <v>6293</v>
      </c>
      <c r="CJ2" t="s">
        <v>6293</v>
      </c>
      <c r="CK2" t="s">
        <v>6293</v>
      </c>
      <c r="CL2" t="s">
        <v>6293</v>
      </c>
      <c r="CM2" t="s">
        <v>6293</v>
      </c>
      <c r="CN2" t="s">
        <v>6293</v>
      </c>
      <c r="CO2" t="s">
        <v>6293</v>
      </c>
      <c r="CP2" t="s">
        <v>6293</v>
      </c>
      <c r="CQ2" t="s">
        <v>6293</v>
      </c>
      <c r="CR2" t="s">
        <v>6293</v>
      </c>
      <c r="CS2" t="s">
        <v>6293</v>
      </c>
      <c r="CT2" t="s">
        <v>6293</v>
      </c>
      <c r="CU2" t="s">
        <v>6293</v>
      </c>
      <c r="CV2" t="s">
        <v>6293</v>
      </c>
      <c r="CW2" t="s">
        <v>6293</v>
      </c>
      <c r="CX2" t="s">
        <v>6293</v>
      </c>
      <c r="CY2" t="s">
        <v>6293</v>
      </c>
      <c r="CZ2" t="s">
        <v>6293</v>
      </c>
      <c r="DA2" t="s">
        <v>6293</v>
      </c>
      <c r="DB2" t="s">
        <v>6293</v>
      </c>
      <c r="DC2" t="s">
        <v>6293</v>
      </c>
      <c r="DD2" t="s">
        <v>6293</v>
      </c>
      <c r="DE2" t="s">
        <v>6292</v>
      </c>
      <c r="DF2" t="s">
        <v>6293</v>
      </c>
      <c r="DG2" t="s">
        <v>6293</v>
      </c>
      <c r="DH2" t="s">
        <v>6293</v>
      </c>
      <c r="DI2" t="s">
        <v>6293</v>
      </c>
      <c r="DJ2" t="s">
        <v>6293</v>
      </c>
      <c r="DK2" t="s">
        <v>6293</v>
      </c>
      <c r="DL2" t="s">
        <v>6293</v>
      </c>
      <c r="DM2" t="s">
        <v>6293</v>
      </c>
      <c r="DN2" t="s">
        <v>6293</v>
      </c>
      <c r="DO2" t="s">
        <v>6293</v>
      </c>
      <c r="DP2" t="s">
        <v>6293</v>
      </c>
      <c r="DQ2" t="s">
        <v>6293</v>
      </c>
      <c r="DR2" t="s">
        <v>6293</v>
      </c>
      <c r="DS2" t="s">
        <v>6293</v>
      </c>
      <c r="DT2" t="s">
        <v>6293</v>
      </c>
      <c r="DU2" t="s">
        <v>6293</v>
      </c>
      <c r="DV2" t="s">
        <v>6293</v>
      </c>
      <c r="DW2" t="s">
        <v>6293</v>
      </c>
      <c r="DX2" t="s">
        <v>6293</v>
      </c>
      <c r="DY2" t="s">
        <v>6293</v>
      </c>
      <c r="DZ2" t="s">
        <v>6293</v>
      </c>
      <c r="EA2" t="s">
        <v>6293</v>
      </c>
      <c r="EB2" t="s">
        <v>6293</v>
      </c>
      <c r="EC2" t="s">
        <v>6293</v>
      </c>
      <c r="ED2" t="s">
        <v>6293</v>
      </c>
      <c r="EE2" t="s">
        <v>6293</v>
      </c>
      <c r="EF2" t="s">
        <v>6293</v>
      </c>
      <c r="EG2" t="s">
        <v>6293</v>
      </c>
      <c r="EH2" t="s">
        <v>6293</v>
      </c>
      <c r="EI2" t="s">
        <v>6293</v>
      </c>
      <c r="EJ2" t="s">
        <v>6293</v>
      </c>
      <c r="EK2" t="s">
        <v>6293</v>
      </c>
      <c r="EL2" t="s">
        <v>6293</v>
      </c>
      <c r="EM2" t="s">
        <v>6293</v>
      </c>
      <c r="EN2" t="s">
        <v>6293</v>
      </c>
      <c r="EO2" t="s">
        <v>6293</v>
      </c>
      <c r="EP2" t="s">
        <v>6293</v>
      </c>
      <c r="EQ2" t="s">
        <v>6293</v>
      </c>
      <c r="ER2" t="s">
        <v>6293</v>
      </c>
      <c r="ES2" t="s">
        <v>6293</v>
      </c>
    </row>
    <row r="3" spans="1:150" x14ac:dyDescent="0.25">
      <c r="A3" t="s">
        <v>147</v>
      </c>
      <c r="B3" t="s">
        <v>148</v>
      </c>
      <c r="C3" s="1">
        <v>45714</v>
      </c>
      <c r="D3" t="s">
        <v>149</v>
      </c>
      <c r="E3" t="s">
        <v>150</v>
      </c>
      <c r="F3" t="s">
        <v>151</v>
      </c>
      <c r="G3" t="s">
        <v>152</v>
      </c>
      <c r="H3">
        <v>10</v>
      </c>
      <c r="I3" t="s">
        <v>153</v>
      </c>
      <c r="J3">
        <v>41336</v>
      </c>
      <c r="K3" t="s">
        <v>5254</v>
      </c>
      <c r="L3" t="s">
        <v>154</v>
      </c>
      <c r="M3" t="s">
        <v>155</v>
      </c>
      <c r="N3" t="s">
        <v>4693</v>
      </c>
      <c r="O3" t="s">
        <v>156</v>
      </c>
      <c r="R3">
        <f>1</f>
        <v>1</v>
      </c>
      <c r="S3">
        <f>10.3</f>
        <v>10.3</v>
      </c>
      <c r="T3">
        <f>6.9</f>
        <v>6.9</v>
      </c>
      <c r="U3">
        <f>497</f>
        <v>497</v>
      </c>
      <c r="V3" t="s">
        <v>157</v>
      </c>
      <c r="X3">
        <f>0</f>
        <v>0</v>
      </c>
      <c r="Y3">
        <f>0.1</f>
        <v>0.1</v>
      </c>
      <c r="Z3">
        <f>0</f>
        <v>0</v>
      </c>
      <c r="AA3" t="s">
        <v>158</v>
      </c>
      <c r="AB3" t="s">
        <v>158</v>
      </c>
      <c r="AD3">
        <f>0</f>
        <v>0</v>
      </c>
      <c r="AE3">
        <f>0</f>
        <v>0</v>
      </c>
      <c r="AH3" t="s">
        <v>157</v>
      </c>
    </row>
    <row r="4" spans="1:150" x14ac:dyDescent="0.25">
      <c r="A4" t="s">
        <v>159</v>
      </c>
      <c r="B4" t="s">
        <v>148</v>
      </c>
      <c r="C4" s="1">
        <v>45714</v>
      </c>
      <c r="D4" t="s">
        <v>149</v>
      </c>
      <c r="E4" t="s">
        <v>150</v>
      </c>
      <c r="F4" t="s">
        <v>151</v>
      </c>
      <c r="G4" t="s">
        <v>152</v>
      </c>
      <c r="H4">
        <v>10</v>
      </c>
      <c r="I4" t="s">
        <v>153</v>
      </c>
      <c r="J4">
        <v>41336</v>
      </c>
      <c r="K4" t="s">
        <v>5254</v>
      </c>
      <c r="L4" t="s">
        <v>154</v>
      </c>
      <c r="M4" t="s">
        <v>5255</v>
      </c>
      <c r="N4" t="s">
        <v>160</v>
      </c>
      <c r="O4" t="s">
        <v>161</v>
      </c>
      <c r="R4">
        <f>1</f>
        <v>1</v>
      </c>
      <c r="S4">
        <f>7.5</f>
        <v>7.5</v>
      </c>
      <c r="T4">
        <f>7.1</f>
        <v>7.1</v>
      </c>
      <c r="U4">
        <f>520</f>
        <v>520</v>
      </c>
      <c r="V4" t="s">
        <v>157</v>
      </c>
      <c r="X4">
        <f>0</f>
        <v>0</v>
      </c>
      <c r="Y4">
        <f>0.1</f>
        <v>0.1</v>
      </c>
      <c r="Z4">
        <f>0</f>
        <v>0</v>
      </c>
      <c r="AA4" t="s">
        <v>158</v>
      </c>
      <c r="AB4" t="s">
        <v>158</v>
      </c>
      <c r="AD4">
        <f>0</f>
        <v>0</v>
      </c>
      <c r="AE4">
        <f>0</f>
        <v>0</v>
      </c>
      <c r="AH4" t="s">
        <v>157</v>
      </c>
    </row>
    <row r="5" spans="1:150" x14ac:dyDescent="0.25">
      <c r="A5" t="s">
        <v>162</v>
      </c>
      <c r="B5" t="s">
        <v>148</v>
      </c>
      <c r="C5" s="1">
        <v>45792</v>
      </c>
      <c r="D5" t="s">
        <v>149</v>
      </c>
      <c r="E5" t="s">
        <v>150</v>
      </c>
      <c r="F5" t="s">
        <v>151</v>
      </c>
      <c r="G5" t="s">
        <v>152</v>
      </c>
      <c r="H5">
        <v>10</v>
      </c>
      <c r="I5" t="s">
        <v>153</v>
      </c>
      <c r="J5">
        <v>41336</v>
      </c>
      <c r="K5" t="s">
        <v>5254</v>
      </c>
      <c r="L5" t="s">
        <v>154</v>
      </c>
      <c r="M5" t="s">
        <v>5256</v>
      </c>
      <c r="N5" t="s">
        <v>4694</v>
      </c>
      <c r="O5" t="s">
        <v>163</v>
      </c>
      <c r="Q5" t="s">
        <v>6294</v>
      </c>
      <c r="R5">
        <f>1</f>
        <v>1</v>
      </c>
      <c r="S5">
        <f>14.7</f>
        <v>14.7</v>
      </c>
      <c r="T5">
        <f>7.2</f>
        <v>7.2</v>
      </c>
      <c r="U5">
        <f>512</f>
        <v>512</v>
      </c>
      <c r="X5">
        <f>0</f>
        <v>0</v>
      </c>
      <c r="Y5">
        <f>0.1</f>
        <v>0.1</v>
      </c>
      <c r="Z5">
        <f>0</f>
        <v>0</v>
      </c>
      <c r="AA5" t="s">
        <v>158</v>
      </c>
      <c r="AB5" t="s">
        <v>158</v>
      </c>
      <c r="AD5">
        <f>0</f>
        <v>0</v>
      </c>
      <c r="AE5">
        <f>0</f>
        <v>0</v>
      </c>
      <c r="AH5" t="s">
        <v>157</v>
      </c>
      <c r="AI5">
        <f>0.9</f>
        <v>0.9</v>
      </c>
      <c r="AL5" t="s">
        <v>164</v>
      </c>
      <c r="AM5" t="s">
        <v>165</v>
      </c>
      <c r="AN5">
        <f>16</f>
        <v>16</v>
      </c>
      <c r="AO5">
        <f>0.32</f>
        <v>0.32</v>
      </c>
      <c r="AP5">
        <f>39</f>
        <v>39</v>
      </c>
      <c r="AQ5">
        <f>16</f>
        <v>16</v>
      </c>
      <c r="AR5">
        <f>0.11</f>
        <v>0.11</v>
      </c>
      <c r="AS5">
        <f>9.9</f>
        <v>9.9</v>
      </c>
      <c r="AY5">
        <f>1.1</f>
        <v>1.1000000000000001</v>
      </c>
      <c r="AZ5" t="s">
        <v>158</v>
      </c>
      <c r="BA5">
        <f>0.02</f>
        <v>0.02</v>
      </c>
      <c r="BB5" t="s">
        <v>158</v>
      </c>
      <c r="BC5" t="s">
        <v>166</v>
      </c>
      <c r="BD5" t="s">
        <v>167</v>
      </c>
      <c r="BE5">
        <f>0.0063</f>
        <v>6.3E-3</v>
      </c>
      <c r="BF5" t="s">
        <v>168</v>
      </c>
      <c r="BG5" t="s">
        <v>167</v>
      </c>
      <c r="BH5" t="s">
        <v>167</v>
      </c>
      <c r="BK5">
        <f>2.2</f>
        <v>2.2000000000000002</v>
      </c>
      <c r="EL5">
        <f>2</f>
        <v>2</v>
      </c>
      <c r="EM5">
        <f>0.29</f>
        <v>0.28999999999999998</v>
      </c>
      <c r="EN5">
        <f>0.42</f>
        <v>0.42</v>
      </c>
      <c r="EO5">
        <f>0.42</f>
        <v>0.42</v>
      </c>
      <c r="EP5" t="s">
        <v>157</v>
      </c>
      <c r="EQ5" t="s">
        <v>157</v>
      </c>
      <c r="ER5">
        <f>3.1</f>
        <v>3.1</v>
      </c>
      <c r="ES5" t="s">
        <v>166</v>
      </c>
    </row>
    <row r="6" spans="1:150" x14ac:dyDescent="0.25">
      <c r="A6" t="s">
        <v>169</v>
      </c>
      <c r="B6" t="s">
        <v>148</v>
      </c>
      <c r="C6" s="1">
        <v>45715</v>
      </c>
      <c r="D6" t="s">
        <v>149</v>
      </c>
      <c r="E6" t="s">
        <v>150</v>
      </c>
      <c r="F6" t="s">
        <v>5770</v>
      </c>
      <c r="G6" t="s">
        <v>170</v>
      </c>
      <c r="H6">
        <v>1837</v>
      </c>
      <c r="I6" t="s">
        <v>171</v>
      </c>
      <c r="J6">
        <v>13800</v>
      </c>
      <c r="K6" t="s">
        <v>5254</v>
      </c>
      <c r="M6" t="s">
        <v>172</v>
      </c>
      <c r="N6" t="s">
        <v>5771</v>
      </c>
      <c r="O6" t="s">
        <v>173</v>
      </c>
      <c r="R6">
        <f>1</f>
        <v>1</v>
      </c>
      <c r="S6">
        <f>11.4</f>
        <v>11.4</v>
      </c>
      <c r="T6">
        <f>7</f>
        <v>7</v>
      </c>
      <c r="U6">
        <f>368</f>
        <v>368</v>
      </c>
      <c r="V6" t="s">
        <v>157</v>
      </c>
      <c r="X6">
        <f>0</f>
        <v>0</v>
      </c>
      <c r="Y6">
        <f>0.1</f>
        <v>0.1</v>
      </c>
      <c r="Z6">
        <f>0</f>
        <v>0</v>
      </c>
      <c r="AA6" t="s">
        <v>158</v>
      </c>
      <c r="AB6" t="s">
        <v>158</v>
      </c>
      <c r="AD6">
        <f>0</f>
        <v>0</v>
      </c>
      <c r="AE6">
        <f>0</f>
        <v>0</v>
      </c>
      <c r="AH6" t="s">
        <v>157</v>
      </c>
    </row>
    <row r="7" spans="1:150" x14ac:dyDescent="0.25">
      <c r="A7" t="s">
        <v>174</v>
      </c>
      <c r="B7" t="s">
        <v>148</v>
      </c>
      <c r="C7" s="1">
        <v>45714</v>
      </c>
      <c r="D7" t="s">
        <v>175</v>
      </c>
      <c r="E7" t="s">
        <v>176</v>
      </c>
      <c r="F7" t="s">
        <v>177</v>
      </c>
      <c r="G7" t="s">
        <v>178</v>
      </c>
      <c r="H7">
        <v>36</v>
      </c>
      <c r="I7" t="s">
        <v>179</v>
      </c>
      <c r="J7">
        <v>20522</v>
      </c>
      <c r="K7" t="s">
        <v>5254</v>
      </c>
      <c r="L7" t="s">
        <v>180</v>
      </c>
      <c r="M7" t="s">
        <v>181</v>
      </c>
      <c r="N7" t="s">
        <v>182</v>
      </c>
      <c r="O7" t="s">
        <v>183</v>
      </c>
      <c r="R7">
        <f>1</f>
        <v>1</v>
      </c>
      <c r="S7">
        <f>12.1</f>
        <v>12.1</v>
      </c>
      <c r="T7">
        <f>7.5</f>
        <v>7.5</v>
      </c>
      <c r="U7">
        <f>738</f>
        <v>738</v>
      </c>
      <c r="X7">
        <f>0</f>
        <v>0</v>
      </c>
      <c r="Y7" t="s">
        <v>157</v>
      </c>
      <c r="Z7">
        <f>0</f>
        <v>0</v>
      </c>
      <c r="AA7" t="s">
        <v>158</v>
      </c>
      <c r="AB7" t="s">
        <v>158</v>
      </c>
      <c r="AD7">
        <f>0</f>
        <v>0</v>
      </c>
      <c r="AE7">
        <f>0</f>
        <v>0</v>
      </c>
    </row>
    <row r="8" spans="1:150" x14ac:dyDescent="0.25">
      <c r="A8" t="s">
        <v>184</v>
      </c>
      <c r="B8" t="s">
        <v>148</v>
      </c>
      <c r="C8" s="1">
        <v>45714</v>
      </c>
      <c r="D8" t="s">
        <v>175</v>
      </c>
      <c r="E8" t="s">
        <v>176</v>
      </c>
      <c r="F8" t="s">
        <v>177</v>
      </c>
      <c r="G8" t="s">
        <v>178</v>
      </c>
      <c r="H8">
        <v>36</v>
      </c>
      <c r="I8" t="s">
        <v>179</v>
      </c>
      <c r="J8">
        <v>20522</v>
      </c>
      <c r="K8" t="s">
        <v>5254</v>
      </c>
      <c r="L8" t="s">
        <v>180</v>
      </c>
      <c r="M8" t="s">
        <v>185</v>
      </c>
      <c r="N8" t="s">
        <v>186</v>
      </c>
      <c r="O8" t="s">
        <v>187</v>
      </c>
      <c r="R8">
        <f>1</f>
        <v>1</v>
      </c>
      <c r="S8">
        <f>10</f>
        <v>10</v>
      </c>
      <c r="T8">
        <f>7.6</f>
        <v>7.6</v>
      </c>
      <c r="U8">
        <f>481</f>
        <v>481</v>
      </c>
      <c r="X8">
        <f>0</f>
        <v>0</v>
      </c>
      <c r="Y8" t="s">
        <v>157</v>
      </c>
      <c r="Z8">
        <f>0</f>
        <v>0</v>
      </c>
      <c r="AA8" t="s">
        <v>158</v>
      </c>
      <c r="AB8" t="s">
        <v>158</v>
      </c>
      <c r="AD8">
        <f>0</f>
        <v>0</v>
      </c>
      <c r="AE8">
        <f>0</f>
        <v>0</v>
      </c>
    </row>
    <row r="9" spans="1:150" x14ac:dyDescent="0.25">
      <c r="A9" t="s">
        <v>188</v>
      </c>
      <c r="B9" t="s">
        <v>148</v>
      </c>
      <c r="C9" s="1">
        <v>45715</v>
      </c>
      <c r="D9" t="s">
        <v>189</v>
      </c>
      <c r="E9" t="s">
        <v>190</v>
      </c>
      <c r="F9" t="s">
        <v>4936</v>
      </c>
      <c r="G9" t="s">
        <v>5090</v>
      </c>
      <c r="H9">
        <v>172</v>
      </c>
      <c r="I9" t="s">
        <v>5090</v>
      </c>
      <c r="J9">
        <v>89433</v>
      </c>
      <c r="K9" t="s">
        <v>5257</v>
      </c>
      <c r="L9" t="s">
        <v>191</v>
      </c>
      <c r="M9" t="s">
        <v>192</v>
      </c>
      <c r="N9" t="s">
        <v>6522</v>
      </c>
      <c r="O9" t="s">
        <v>193</v>
      </c>
      <c r="R9">
        <f>1</f>
        <v>1</v>
      </c>
      <c r="S9">
        <f>12.9</f>
        <v>12.9</v>
      </c>
      <c r="T9">
        <f>7.5</f>
        <v>7.5</v>
      </c>
      <c r="U9">
        <f>358</f>
        <v>358</v>
      </c>
      <c r="V9">
        <f>0.18</f>
        <v>0.18</v>
      </c>
      <c r="X9">
        <f>0</f>
        <v>0</v>
      </c>
      <c r="Y9">
        <f>0.02</f>
        <v>0.02</v>
      </c>
      <c r="Z9">
        <f>0</f>
        <v>0</v>
      </c>
      <c r="AA9">
        <f>1</f>
        <v>1</v>
      </c>
      <c r="AB9">
        <f>4</f>
        <v>4</v>
      </c>
      <c r="AC9">
        <f>0</f>
        <v>0</v>
      </c>
      <c r="AD9">
        <f>0</f>
        <v>0</v>
      </c>
      <c r="AE9">
        <f>0</f>
        <v>0</v>
      </c>
      <c r="AH9" t="s">
        <v>157</v>
      </c>
    </row>
    <row r="10" spans="1:150" x14ac:dyDescent="0.25">
      <c r="A10" t="s">
        <v>194</v>
      </c>
      <c r="B10" t="s">
        <v>148</v>
      </c>
      <c r="C10" s="1">
        <v>45715</v>
      </c>
      <c r="D10" t="s">
        <v>189</v>
      </c>
      <c r="E10" t="s">
        <v>190</v>
      </c>
      <c r="F10" t="s">
        <v>4936</v>
      </c>
      <c r="G10" t="s">
        <v>5090</v>
      </c>
      <c r="H10">
        <v>172</v>
      </c>
      <c r="I10" t="s">
        <v>5090</v>
      </c>
      <c r="J10">
        <v>89433</v>
      </c>
      <c r="K10" t="s">
        <v>5257</v>
      </c>
      <c r="L10" t="s">
        <v>191</v>
      </c>
      <c r="M10" t="s">
        <v>195</v>
      </c>
      <c r="N10" t="s">
        <v>6523</v>
      </c>
      <c r="O10" t="s">
        <v>196</v>
      </c>
      <c r="R10">
        <f>1</f>
        <v>1</v>
      </c>
      <c r="S10">
        <f>12.8</f>
        <v>12.8</v>
      </c>
      <c r="T10">
        <f>7.5</f>
        <v>7.5</v>
      </c>
      <c r="U10">
        <f>357</f>
        <v>357</v>
      </c>
      <c r="V10">
        <f>0.11</f>
        <v>0.11</v>
      </c>
      <c r="X10">
        <f>0</f>
        <v>0</v>
      </c>
      <c r="Y10">
        <f>0.02</f>
        <v>0.02</v>
      </c>
      <c r="Z10">
        <f>0</f>
        <v>0</v>
      </c>
      <c r="AA10">
        <f>0</f>
        <v>0</v>
      </c>
      <c r="AB10">
        <f>0</f>
        <v>0</v>
      </c>
      <c r="AC10">
        <f>0</f>
        <v>0</v>
      </c>
      <c r="AD10">
        <f>0</f>
        <v>0</v>
      </c>
      <c r="AE10">
        <f>0</f>
        <v>0</v>
      </c>
      <c r="AH10" t="s">
        <v>157</v>
      </c>
    </row>
    <row r="11" spans="1:150" x14ac:dyDescent="0.25">
      <c r="A11" t="s">
        <v>197</v>
      </c>
      <c r="B11" t="s">
        <v>148</v>
      </c>
      <c r="C11" s="1">
        <v>45715</v>
      </c>
      <c r="D11" t="s">
        <v>189</v>
      </c>
      <c r="E11" t="s">
        <v>190</v>
      </c>
      <c r="F11" t="s">
        <v>4936</v>
      </c>
      <c r="G11" t="s">
        <v>5090</v>
      </c>
      <c r="H11">
        <v>172</v>
      </c>
      <c r="I11" t="s">
        <v>5090</v>
      </c>
      <c r="J11">
        <v>89433</v>
      </c>
      <c r="K11" t="s">
        <v>5257</v>
      </c>
      <c r="L11" t="s">
        <v>191</v>
      </c>
      <c r="M11" t="s">
        <v>198</v>
      </c>
      <c r="N11" t="s">
        <v>199</v>
      </c>
      <c r="O11" t="s">
        <v>200</v>
      </c>
      <c r="R11">
        <f>1</f>
        <v>1</v>
      </c>
      <c r="S11">
        <f>17.6</f>
        <v>17.600000000000001</v>
      </c>
      <c r="T11">
        <f>7.6</f>
        <v>7.6</v>
      </c>
      <c r="U11">
        <f>361</f>
        <v>361</v>
      </c>
      <c r="V11" t="s">
        <v>168</v>
      </c>
      <c r="X11">
        <f>0</f>
        <v>0</v>
      </c>
      <c r="Y11">
        <f>0.21</f>
        <v>0.21</v>
      </c>
      <c r="Z11">
        <f>0</f>
        <v>0</v>
      </c>
      <c r="AA11">
        <f>0</f>
        <v>0</v>
      </c>
      <c r="AB11">
        <f>0</f>
        <v>0</v>
      </c>
      <c r="AC11">
        <f>0</f>
        <v>0</v>
      </c>
      <c r="AD11">
        <f>0</f>
        <v>0</v>
      </c>
      <c r="AE11">
        <f>0</f>
        <v>0</v>
      </c>
      <c r="AH11" t="s">
        <v>157</v>
      </c>
    </row>
    <row r="12" spans="1:150" x14ac:dyDescent="0.25">
      <c r="A12" t="s">
        <v>201</v>
      </c>
      <c r="B12" t="s">
        <v>148</v>
      </c>
      <c r="C12" s="1">
        <v>45715</v>
      </c>
      <c r="D12" t="s">
        <v>189</v>
      </c>
      <c r="E12" t="s">
        <v>190</v>
      </c>
      <c r="F12" t="s">
        <v>4936</v>
      </c>
      <c r="G12" t="s">
        <v>5090</v>
      </c>
      <c r="H12">
        <v>172</v>
      </c>
      <c r="I12" t="s">
        <v>5090</v>
      </c>
      <c r="J12">
        <v>89433</v>
      </c>
      <c r="K12" t="s">
        <v>5257</v>
      </c>
      <c r="L12" t="s">
        <v>191</v>
      </c>
      <c r="M12" t="s">
        <v>202</v>
      </c>
      <c r="N12" t="s">
        <v>5091</v>
      </c>
      <c r="O12" t="s">
        <v>203</v>
      </c>
      <c r="R12">
        <f>1</f>
        <v>1</v>
      </c>
      <c r="S12">
        <f>13.5</f>
        <v>13.5</v>
      </c>
      <c r="T12">
        <f>7.5</f>
        <v>7.5</v>
      </c>
      <c r="U12">
        <f>527</f>
        <v>527</v>
      </c>
      <c r="V12">
        <f>0.09</f>
        <v>0.09</v>
      </c>
      <c r="X12">
        <f>0</f>
        <v>0</v>
      </c>
      <c r="Y12">
        <f>0.41</f>
        <v>0.41</v>
      </c>
      <c r="Z12">
        <f>0</f>
        <v>0</v>
      </c>
      <c r="AA12">
        <f>0</f>
        <v>0</v>
      </c>
      <c r="AB12">
        <f>0</f>
        <v>0</v>
      </c>
      <c r="AC12">
        <f>0</f>
        <v>0</v>
      </c>
      <c r="AD12">
        <f>0</f>
        <v>0</v>
      </c>
      <c r="AE12">
        <f>0</f>
        <v>0</v>
      </c>
      <c r="AH12" t="s">
        <v>157</v>
      </c>
    </row>
    <row r="13" spans="1:150" x14ac:dyDescent="0.25">
      <c r="A13" t="s">
        <v>204</v>
      </c>
      <c r="B13" t="s">
        <v>148</v>
      </c>
      <c r="C13" s="1">
        <v>45845</v>
      </c>
      <c r="D13" t="s">
        <v>189</v>
      </c>
      <c r="E13" t="s">
        <v>190</v>
      </c>
      <c r="F13" t="s">
        <v>4936</v>
      </c>
      <c r="G13" t="s">
        <v>5090</v>
      </c>
      <c r="H13">
        <v>172</v>
      </c>
      <c r="I13" t="s">
        <v>5090</v>
      </c>
      <c r="J13">
        <v>89433</v>
      </c>
      <c r="K13" t="s">
        <v>5257</v>
      </c>
      <c r="L13" t="s">
        <v>191</v>
      </c>
      <c r="M13" t="s">
        <v>205</v>
      </c>
      <c r="N13" t="s">
        <v>6524</v>
      </c>
      <c r="O13" t="s">
        <v>206</v>
      </c>
      <c r="R13">
        <f>1</f>
        <v>1</v>
      </c>
      <c r="S13">
        <f>21.3</f>
        <v>21.3</v>
      </c>
      <c r="T13">
        <f>7.5</f>
        <v>7.5</v>
      </c>
      <c r="U13">
        <f>612</f>
        <v>612</v>
      </c>
      <c r="V13">
        <f>0.2</f>
        <v>0.2</v>
      </c>
      <c r="X13">
        <f>0</f>
        <v>0</v>
      </c>
      <c r="Y13" t="s">
        <v>207</v>
      </c>
      <c r="Z13">
        <f>0</f>
        <v>0</v>
      </c>
      <c r="AA13" t="s">
        <v>158</v>
      </c>
      <c r="AB13" t="s">
        <v>158</v>
      </c>
      <c r="AC13">
        <f>0</f>
        <v>0</v>
      </c>
      <c r="AD13">
        <f>0</f>
        <v>0</v>
      </c>
      <c r="AE13">
        <f>0</f>
        <v>0</v>
      </c>
      <c r="AH13" t="s">
        <v>166</v>
      </c>
      <c r="AI13">
        <f>0.63</f>
        <v>0.63</v>
      </c>
      <c r="AL13" t="s">
        <v>164</v>
      </c>
      <c r="AM13" t="s">
        <v>165</v>
      </c>
      <c r="AN13">
        <f>10.1</f>
        <v>10.1</v>
      </c>
      <c r="AO13">
        <f>0.202</f>
        <v>0.20200000000000001</v>
      </c>
      <c r="AP13">
        <f>9.14</f>
        <v>9.14</v>
      </c>
      <c r="AQ13">
        <f>11.6</f>
        <v>11.6</v>
      </c>
      <c r="AR13">
        <f>0.053</f>
        <v>5.2999999999999999E-2</v>
      </c>
      <c r="AS13">
        <f>6.4</f>
        <v>6.4</v>
      </c>
      <c r="AY13" t="s">
        <v>157</v>
      </c>
      <c r="AZ13" t="s">
        <v>208</v>
      </c>
      <c r="BA13">
        <f>0.011</f>
        <v>1.0999999999999999E-2</v>
      </c>
      <c r="BB13">
        <f>6.1</f>
        <v>6.1</v>
      </c>
      <c r="BC13" t="s">
        <v>209</v>
      </c>
      <c r="BD13">
        <f>0.16</f>
        <v>0.16</v>
      </c>
      <c r="BE13">
        <f>0.0075</f>
        <v>7.4999999999999997E-3</v>
      </c>
      <c r="BF13" t="s">
        <v>168</v>
      </c>
      <c r="BG13">
        <f>0.4</f>
        <v>0.4</v>
      </c>
      <c r="BH13">
        <f>0.28</f>
        <v>0.28000000000000003</v>
      </c>
      <c r="BK13">
        <f>0.91</f>
        <v>0.91</v>
      </c>
    </row>
    <row r="14" spans="1:150" x14ac:dyDescent="0.25">
      <c r="A14" t="s">
        <v>210</v>
      </c>
      <c r="B14" t="s">
        <v>148</v>
      </c>
      <c r="C14" s="1">
        <v>45715</v>
      </c>
      <c r="D14" t="s">
        <v>189</v>
      </c>
      <c r="E14" t="s">
        <v>190</v>
      </c>
      <c r="F14" t="s">
        <v>4936</v>
      </c>
      <c r="G14" t="s">
        <v>5090</v>
      </c>
      <c r="H14">
        <v>172</v>
      </c>
      <c r="I14" t="s">
        <v>5090</v>
      </c>
      <c r="J14">
        <v>89433</v>
      </c>
      <c r="K14" t="s">
        <v>5257</v>
      </c>
      <c r="L14" t="s">
        <v>191</v>
      </c>
      <c r="M14" t="s">
        <v>211</v>
      </c>
      <c r="N14" t="s">
        <v>212</v>
      </c>
      <c r="O14" t="s">
        <v>213</v>
      </c>
      <c r="R14">
        <f>1</f>
        <v>1</v>
      </c>
      <c r="S14">
        <f>14.2</f>
        <v>14.2</v>
      </c>
      <c r="T14">
        <f>7.5</f>
        <v>7.5</v>
      </c>
      <c r="U14">
        <f>352</f>
        <v>352</v>
      </c>
      <c r="V14">
        <f>0.12</f>
        <v>0.12</v>
      </c>
      <c r="X14">
        <f>0</f>
        <v>0</v>
      </c>
      <c r="Y14">
        <f>0.21</f>
        <v>0.21</v>
      </c>
      <c r="Z14">
        <f>0</f>
        <v>0</v>
      </c>
      <c r="AA14">
        <f>0</f>
        <v>0</v>
      </c>
      <c r="AB14">
        <f>8</f>
        <v>8</v>
      </c>
      <c r="AC14">
        <f>0</f>
        <v>0</v>
      </c>
      <c r="AD14">
        <f>0</f>
        <v>0</v>
      </c>
      <c r="AE14">
        <f>0</f>
        <v>0</v>
      </c>
      <c r="AH14" t="s">
        <v>157</v>
      </c>
    </row>
    <row r="15" spans="1:150" x14ac:dyDescent="0.25">
      <c r="A15" t="s">
        <v>214</v>
      </c>
      <c r="B15" t="s">
        <v>148</v>
      </c>
      <c r="C15" s="1">
        <v>45845</v>
      </c>
      <c r="D15" t="s">
        <v>189</v>
      </c>
      <c r="E15" t="s">
        <v>190</v>
      </c>
      <c r="F15" t="s">
        <v>4936</v>
      </c>
      <c r="G15" t="s">
        <v>5090</v>
      </c>
      <c r="H15">
        <v>172</v>
      </c>
      <c r="I15" t="s">
        <v>5090</v>
      </c>
      <c r="J15">
        <v>89433</v>
      </c>
      <c r="K15" t="s">
        <v>5257</v>
      </c>
      <c r="L15" t="s">
        <v>191</v>
      </c>
      <c r="M15" t="s">
        <v>6525</v>
      </c>
      <c r="N15" t="s">
        <v>6526</v>
      </c>
      <c r="O15" t="s">
        <v>215</v>
      </c>
      <c r="R15">
        <f>1</f>
        <v>1</v>
      </c>
      <c r="S15">
        <f>19.5</f>
        <v>19.5</v>
      </c>
      <c r="T15">
        <f>7.8</f>
        <v>7.8</v>
      </c>
      <c r="U15">
        <f>361</f>
        <v>361</v>
      </c>
      <c r="X15">
        <f>0</f>
        <v>0</v>
      </c>
      <c r="Y15" t="s">
        <v>207</v>
      </c>
      <c r="Z15">
        <f>0</f>
        <v>0</v>
      </c>
      <c r="AA15" t="s">
        <v>158</v>
      </c>
      <c r="AB15" t="s">
        <v>158</v>
      </c>
      <c r="AC15">
        <f>0</f>
        <v>0</v>
      </c>
      <c r="AD15">
        <f>0</f>
        <v>0</v>
      </c>
      <c r="AE15">
        <f>0</f>
        <v>0</v>
      </c>
      <c r="AH15" t="s">
        <v>166</v>
      </c>
      <c r="AI15">
        <f>0.64</f>
        <v>0.64</v>
      </c>
      <c r="AL15" t="s">
        <v>216</v>
      </c>
      <c r="AM15" t="s">
        <v>217</v>
      </c>
      <c r="AN15">
        <f>3.72</f>
        <v>3.72</v>
      </c>
      <c r="AO15">
        <f>0.074</f>
        <v>7.3999999999999996E-2</v>
      </c>
      <c r="AP15">
        <f>4.52</f>
        <v>4.5199999999999996</v>
      </c>
      <c r="AQ15">
        <f>3.32</f>
        <v>3.32</v>
      </c>
      <c r="AR15" t="s">
        <v>209</v>
      </c>
      <c r="AS15">
        <f>2.6</f>
        <v>2.6</v>
      </c>
      <c r="AY15">
        <f>1.5</f>
        <v>1.5</v>
      </c>
      <c r="AZ15" t="s">
        <v>208</v>
      </c>
      <c r="BA15">
        <f>0.0054</f>
        <v>5.4000000000000003E-3</v>
      </c>
      <c r="BB15">
        <f>4.1</f>
        <v>4.0999999999999996</v>
      </c>
      <c r="BC15" t="s">
        <v>209</v>
      </c>
      <c r="BD15" t="s">
        <v>157</v>
      </c>
      <c r="BE15">
        <f>0.0011</f>
        <v>1.1000000000000001E-3</v>
      </c>
      <c r="BF15" t="s">
        <v>168</v>
      </c>
      <c r="BG15">
        <f>0.47</f>
        <v>0.47</v>
      </c>
      <c r="BH15">
        <f>0.11</f>
        <v>0.11</v>
      </c>
      <c r="BK15">
        <f>0.36</f>
        <v>0.36</v>
      </c>
    </row>
    <row r="16" spans="1:150" x14ac:dyDescent="0.25">
      <c r="A16" t="s">
        <v>218</v>
      </c>
      <c r="B16" t="s">
        <v>148</v>
      </c>
      <c r="C16" s="1">
        <v>45715</v>
      </c>
      <c r="D16" t="s">
        <v>189</v>
      </c>
      <c r="E16" t="s">
        <v>190</v>
      </c>
      <c r="F16" t="s">
        <v>4936</v>
      </c>
      <c r="G16" t="s">
        <v>5090</v>
      </c>
      <c r="H16">
        <v>172</v>
      </c>
      <c r="I16" t="s">
        <v>5090</v>
      </c>
      <c r="J16">
        <v>89433</v>
      </c>
      <c r="K16" t="s">
        <v>5257</v>
      </c>
      <c r="L16" t="s">
        <v>191</v>
      </c>
      <c r="M16" t="s">
        <v>5772</v>
      </c>
      <c r="N16" t="s">
        <v>219</v>
      </c>
      <c r="O16" t="s">
        <v>220</v>
      </c>
      <c r="Q16" t="s">
        <v>6295</v>
      </c>
      <c r="R16">
        <f>1</f>
        <v>1</v>
      </c>
      <c r="S16">
        <f>11.9</f>
        <v>11.9</v>
      </c>
      <c r="T16">
        <f>7.5</f>
        <v>7.5</v>
      </c>
      <c r="U16">
        <f>364</f>
        <v>364</v>
      </c>
      <c r="V16" t="s">
        <v>168</v>
      </c>
      <c r="X16">
        <f>0</f>
        <v>0</v>
      </c>
      <c r="Y16">
        <f>0.33</f>
        <v>0.33</v>
      </c>
      <c r="Z16">
        <f>0</f>
        <v>0</v>
      </c>
      <c r="AA16">
        <f>0</f>
        <v>0</v>
      </c>
      <c r="AB16">
        <f>0</f>
        <v>0</v>
      </c>
      <c r="AC16">
        <f>0</f>
        <v>0</v>
      </c>
      <c r="AD16">
        <f>0</f>
        <v>0</v>
      </c>
      <c r="AE16">
        <f>0</f>
        <v>0</v>
      </c>
      <c r="AH16" t="s">
        <v>157</v>
      </c>
    </row>
    <row r="17" spans="1:148" x14ac:dyDescent="0.25">
      <c r="A17" t="s">
        <v>221</v>
      </c>
      <c r="B17" t="s">
        <v>148</v>
      </c>
      <c r="C17" s="1">
        <v>45713</v>
      </c>
      <c r="D17" t="s">
        <v>222</v>
      </c>
      <c r="E17" t="s">
        <v>223</v>
      </c>
      <c r="F17" t="s">
        <v>224</v>
      </c>
      <c r="G17" t="s">
        <v>225</v>
      </c>
      <c r="H17">
        <v>366</v>
      </c>
      <c r="I17" t="s">
        <v>225</v>
      </c>
      <c r="J17">
        <v>8295</v>
      </c>
      <c r="K17" t="s">
        <v>5257</v>
      </c>
      <c r="L17" t="s">
        <v>191</v>
      </c>
      <c r="M17" t="s">
        <v>226</v>
      </c>
      <c r="N17" t="s">
        <v>5258</v>
      </c>
      <c r="O17" t="s">
        <v>227</v>
      </c>
      <c r="Q17" t="s">
        <v>6296</v>
      </c>
      <c r="R17">
        <f>1</f>
        <v>1</v>
      </c>
      <c r="S17">
        <f>9.3</f>
        <v>9.3000000000000007</v>
      </c>
      <c r="T17">
        <f>8.2</f>
        <v>8.1999999999999993</v>
      </c>
      <c r="U17">
        <f>224</f>
        <v>224</v>
      </c>
      <c r="V17">
        <f>0.22</f>
        <v>0.22</v>
      </c>
      <c r="X17">
        <f>1</f>
        <v>1</v>
      </c>
      <c r="Y17">
        <f>0.08</f>
        <v>0.08</v>
      </c>
      <c r="Z17">
        <f>0</f>
        <v>0</v>
      </c>
      <c r="AA17">
        <f>0</f>
        <v>0</v>
      </c>
      <c r="AB17">
        <f>0</f>
        <v>0</v>
      </c>
      <c r="AC17">
        <f>0</f>
        <v>0</v>
      </c>
      <c r="AD17">
        <f>0</f>
        <v>0</v>
      </c>
      <c r="AE17">
        <f>0</f>
        <v>0</v>
      </c>
      <c r="AH17" t="s">
        <v>166</v>
      </c>
    </row>
    <row r="18" spans="1:148" x14ac:dyDescent="0.25">
      <c r="A18" t="s">
        <v>228</v>
      </c>
      <c r="B18" t="s">
        <v>148</v>
      </c>
      <c r="C18" s="1">
        <v>45719</v>
      </c>
      <c r="D18" t="s">
        <v>222</v>
      </c>
      <c r="E18" t="s">
        <v>223</v>
      </c>
      <c r="F18" t="s">
        <v>224</v>
      </c>
      <c r="G18" t="s">
        <v>229</v>
      </c>
      <c r="H18">
        <v>243</v>
      </c>
      <c r="I18" t="s">
        <v>230</v>
      </c>
      <c r="J18">
        <v>5553</v>
      </c>
      <c r="K18" t="s">
        <v>5257</v>
      </c>
      <c r="L18" t="s">
        <v>4937</v>
      </c>
      <c r="M18" t="s">
        <v>5773</v>
      </c>
      <c r="N18" t="s">
        <v>231</v>
      </c>
      <c r="O18" t="s">
        <v>232</v>
      </c>
      <c r="Q18" t="s">
        <v>6297</v>
      </c>
      <c r="R18">
        <f>1</f>
        <v>1</v>
      </c>
      <c r="S18">
        <f>9.8</f>
        <v>9.8000000000000007</v>
      </c>
      <c r="T18">
        <f>8.1</f>
        <v>8.1</v>
      </c>
      <c r="U18">
        <f>238</f>
        <v>238</v>
      </c>
      <c r="V18">
        <f>0.22</f>
        <v>0.22</v>
      </c>
      <c r="X18">
        <f>1</f>
        <v>1</v>
      </c>
      <c r="Y18">
        <f>0.05</f>
        <v>0.05</v>
      </c>
      <c r="Z18">
        <f>0</f>
        <v>0</v>
      </c>
      <c r="AA18">
        <f>0</f>
        <v>0</v>
      </c>
      <c r="AB18">
        <f>0</f>
        <v>0</v>
      </c>
      <c r="AC18">
        <f>0</f>
        <v>0</v>
      </c>
      <c r="AD18">
        <f>0</f>
        <v>0</v>
      </c>
      <c r="AE18">
        <f>0</f>
        <v>0</v>
      </c>
      <c r="AH18" t="s">
        <v>166</v>
      </c>
    </row>
    <row r="19" spans="1:148" x14ac:dyDescent="0.25">
      <c r="A19" t="s">
        <v>233</v>
      </c>
      <c r="B19" t="s">
        <v>148</v>
      </c>
      <c r="C19" s="1">
        <v>45712</v>
      </c>
      <c r="D19" t="s">
        <v>222</v>
      </c>
      <c r="E19" t="s">
        <v>223</v>
      </c>
      <c r="F19" t="s">
        <v>4938</v>
      </c>
      <c r="G19" t="s">
        <v>234</v>
      </c>
      <c r="H19">
        <v>377</v>
      </c>
      <c r="I19" t="s">
        <v>234</v>
      </c>
      <c r="J19">
        <v>6423</v>
      </c>
      <c r="K19" t="s">
        <v>5257</v>
      </c>
      <c r="L19" t="s">
        <v>4939</v>
      </c>
      <c r="M19" t="s">
        <v>5259</v>
      </c>
      <c r="N19" t="s">
        <v>235</v>
      </c>
      <c r="O19" t="s">
        <v>236</v>
      </c>
      <c r="Q19" t="s">
        <v>6298</v>
      </c>
      <c r="R19">
        <f>1</f>
        <v>1</v>
      </c>
      <c r="S19">
        <f>10.5</f>
        <v>10.5</v>
      </c>
      <c r="T19">
        <f>8</f>
        <v>8</v>
      </c>
      <c r="U19">
        <f>310</f>
        <v>310</v>
      </c>
      <c r="V19">
        <f>0.13</f>
        <v>0.13</v>
      </c>
      <c r="X19">
        <f>1</f>
        <v>1</v>
      </c>
      <c r="Y19">
        <f>0.1</f>
        <v>0.1</v>
      </c>
      <c r="Z19">
        <f>0</f>
        <v>0</v>
      </c>
      <c r="AA19">
        <f>0</f>
        <v>0</v>
      </c>
      <c r="AB19">
        <f>0</f>
        <v>0</v>
      </c>
      <c r="AC19">
        <f>0</f>
        <v>0</v>
      </c>
      <c r="AD19">
        <f>0</f>
        <v>0</v>
      </c>
      <c r="AE19">
        <f>0</f>
        <v>0</v>
      </c>
      <c r="AH19" t="s">
        <v>166</v>
      </c>
      <c r="AI19">
        <f>0.42</f>
        <v>0.42</v>
      </c>
      <c r="AL19" t="s">
        <v>168</v>
      </c>
      <c r="AM19" t="s">
        <v>164</v>
      </c>
      <c r="AN19">
        <f>4.1</f>
        <v>4.0999999999999996</v>
      </c>
      <c r="AO19">
        <f>0.08</f>
        <v>0.08</v>
      </c>
      <c r="AP19">
        <f>2.7</f>
        <v>2.7</v>
      </c>
      <c r="AQ19">
        <f>3.9</f>
        <v>3.9</v>
      </c>
      <c r="AR19" t="s">
        <v>167</v>
      </c>
      <c r="AS19">
        <f>4.6</f>
        <v>4.5999999999999996</v>
      </c>
      <c r="AY19" t="s">
        <v>157</v>
      </c>
      <c r="AZ19" t="s">
        <v>208</v>
      </c>
      <c r="BA19">
        <f>0.0053</f>
        <v>5.3E-3</v>
      </c>
      <c r="BB19">
        <f>5.4</f>
        <v>5.4</v>
      </c>
      <c r="BC19" t="s">
        <v>209</v>
      </c>
      <c r="BD19" t="s">
        <v>157</v>
      </c>
      <c r="BE19">
        <f>0.0023</f>
        <v>2.3E-3</v>
      </c>
      <c r="BF19" t="s">
        <v>168</v>
      </c>
      <c r="BG19" t="s">
        <v>237</v>
      </c>
      <c r="BH19" t="s">
        <v>157</v>
      </c>
      <c r="BK19">
        <f>0.24</f>
        <v>0.24</v>
      </c>
      <c r="EL19" t="s">
        <v>238</v>
      </c>
      <c r="EM19" t="s">
        <v>238</v>
      </c>
      <c r="EN19" t="s">
        <v>238</v>
      </c>
      <c r="EO19">
        <f>0.6</f>
        <v>0.6</v>
      </c>
      <c r="ER19">
        <f>0.6</f>
        <v>0.6</v>
      </c>
    </row>
    <row r="20" spans="1:148" x14ac:dyDescent="0.25">
      <c r="A20" t="s">
        <v>239</v>
      </c>
      <c r="B20" t="s">
        <v>148</v>
      </c>
      <c r="C20" s="1">
        <v>45712</v>
      </c>
      <c r="D20" t="s">
        <v>222</v>
      </c>
      <c r="E20" t="s">
        <v>223</v>
      </c>
      <c r="F20" t="s">
        <v>4938</v>
      </c>
      <c r="G20" t="s">
        <v>234</v>
      </c>
      <c r="H20">
        <v>377</v>
      </c>
      <c r="I20" t="s">
        <v>234</v>
      </c>
      <c r="J20">
        <v>6423</v>
      </c>
      <c r="K20" t="s">
        <v>5257</v>
      </c>
      <c r="L20" t="s">
        <v>4939</v>
      </c>
      <c r="M20" t="s">
        <v>5260</v>
      </c>
      <c r="N20" t="s">
        <v>5261</v>
      </c>
      <c r="O20" t="s">
        <v>240</v>
      </c>
      <c r="Q20" t="s">
        <v>6299</v>
      </c>
      <c r="R20">
        <f>1</f>
        <v>1</v>
      </c>
      <c r="S20">
        <f>12.8</f>
        <v>12.8</v>
      </c>
      <c r="T20">
        <f>8</f>
        <v>8</v>
      </c>
      <c r="U20">
        <f>217</f>
        <v>217</v>
      </c>
      <c r="V20">
        <f>0.13</f>
        <v>0.13</v>
      </c>
      <c r="X20">
        <f>1</f>
        <v>1</v>
      </c>
      <c r="Y20">
        <f>0.21</f>
        <v>0.21</v>
      </c>
      <c r="Z20">
        <f>0</f>
        <v>0</v>
      </c>
      <c r="AA20">
        <f>0</f>
        <v>0</v>
      </c>
      <c r="AB20">
        <f>0</f>
        <v>0</v>
      </c>
      <c r="AC20">
        <f>0</f>
        <v>0</v>
      </c>
      <c r="AD20">
        <f>0</f>
        <v>0</v>
      </c>
      <c r="AE20">
        <f>0</f>
        <v>0</v>
      </c>
      <c r="AH20" t="s">
        <v>166</v>
      </c>
    </row>
    <row r="21" spans="1:148" x14ac:dyDescent="0.25">
      <c r="A21" t="s">
        <v>241</v>
      </c>
      <c r="B21" t="s">
        <v>148</v>
      </c>
      <c r="C21" s="1">
        <v>45818</v>
      </c>
      <c r="D21" t="s">
        <v>242</v>
      </c>
      <c r="E21" t="s">
        <v>243</v>
      </c>
      <c r="F21" t="s">
        <v>244</v>
      </c>
      <c r="G21" t="s">
        <v>245</v>
      </c>
      <c r="H21">
        <v>154</v>
      </c>
      <c r="I21" t="s">
        <v>4695</v>
      </c>
      <c r="J21">
        <v>54400</v>
      </c>
      <c r="K21" t="s">
        <v>5257</v>
      </c>
      <c r="L21" t="s">
        <v>246</v>
      </c>
      <c r="M21" t="s">
        <v>5262</v>
      </c>
      <c r="N21" t="s">
        <v>247</v>
      </c>
      <c r="O21" t="s">
        <v>248</v>
      </c>
      <c r="R21">
        <f>1</f>
        <v>1</v>
      </c>
      <c r="S21">
        <f>16.7</f>
        <v>16.7</v>
      </c>
      <c r="T21">
        <f>7.4</f>
        <v>7.4</v>
      </c>
      <c r="U21">
        <f>554</f>
        <v>554</v>
      </c>
      <c r="V21">
        <f>0.2</f>
        <v>0.2</v>
      </c>
      <c r="X21">
        <f>1</f>
        <v>1</v>
      </c>
      <c r="Y21" t="s">
        <v>157</v>
      </c>
      <c r="Z21">
        <f>0</f>
        <v>0</v>
      </c>
      <c r="AA21">
        <f>21</f>
        <v>21</v>
      </c>
      <c r="AB21">
        <f>32</f>
        <v>32</v>
      </c>
      <c r="AC21">
        <f>0</f>
        <v>0</v>
      </c>
      <c r="AD21">
        <f>0</f>
        <v>0</v>
      </c>
      <c r="AE21">
        <f>0</f>
        <v>0</v>
      </c>
      <c r="AG21" t="s">
        <v>249</v>
      </c>
      <c r="AH21" t="s">
        <v>157</v>
      </c>
      <c r="AI21" t="s">
        <v>238</v>
      </c>
      <c r="AL21" t="s">
        <v>164</v>
      </c>
      <c r="AM21" t="s">
        <v>165</v>
      </c>
      <c r="AN21">
        <f>27</f>
        <v>27</v>
      </c>
      <c r="AO21">
        <f>0.54</f>
        <v>0.54</v>
      </c>
      <c r="AP21">
        <f>14</f>
        <v>14</v>
      </c>
      <c r="AQ21">
        <f>14</f>
        <v>14</v>
      </c>
      <c r="AR21" t="s">
        <v>157</v>
      </c>
      <c r="AS21">
        <f>7.4</f>
        <v>7.4</v>
      </c>
      <c r="AT21" t="s">
        <v>250</v>
      </c>
      <c r="AX21" t="s">
        <v>251</v>
      </c>
      <c r="AY21" t="s">
        <v>167</v>
      </c>
      <c r="AZ21" t="s">
        <v>158</v>
      </c>
      <c r="BA21">
        <f>0.027</f>
        <v>2.7E-2</v>
      </c>
      <c r="BB21" t="s">
        <v>158</v>
      </c>
      <c r="BC21" t="s">
        <v>166</v>
      </c>
      <c r="BD21" t="s">
        <v>167</v>
      </c>
      <c r="BE21">
        <f>0.0044</f>
        <v>4.4000000000000003E-3</v>
      </c>
      <c r="BF21" t="s">
        <v>168</v>
      </c>
      <c r="BG21" t="s">
        <v>167</v>
      </c>
      <c r="BH21" t="s">
        <v>167</v>
      </c>
      <c r="BK21">
        <f>0.56</f>
        <v>0.56000000000000005</v>
      </c>
    </row>
    <row r="22" spans="1:148" x14ac:dyDescent="0.25">
      <c r="A22" t="s">
        <v>252</v>
      </c>
      <c r="B22" t="s">
        <v>148</v>
      </c>
      <c r="C22" s="1">
        <v>45713</v>
      </c>
      <c r="D22" t="s">
        <v>242</v>
      </c>
      <c r="E22" t="s">
        <v>243</v>
      </c>
      <c r="F22" t="s">
        <v>253</v>
      </c>
      <c r="G22" t="s">
        <v>5774</v>
      </c>
      <c r="H22">
        <v>209</v>
      </c>
      <c r="I22" t="s">
        <v>254</v>
      </c>
      <c r="J22">
        <v>17550</v>
      </c>
      <c r="K22" t="s">
        <v>5257</v>
      </c>
      <c r="L22" t="s">
        <v>255</v>
      </c>
      <c r="M22" t="s">
        <v>6527</v>
      </c>
      <c r="N22" t="s">
        <v>256</v>
      </c>
      <c r="O22" t="s">
        <v>257</v>
      </c>
      <c r="R22">
        <f>1</f>
        <v>1</v>
      </c>
      <c r="S22">
        <f>9.5</f>
        <v>9.5</v>
      </c>
      <c r="T22">
        <f>7.6</f>
        <v>7.6</v>
      </c>
      <c r="U22">
        <f>448</f>
        <v>448</v>
      </c>
      <c r="V22">
        <f>0.07</f>
        <v>7.0000000000000007E-2</v>
      </c>
      <c r="X22">
        <f>0</f>
        <v>0</v>
      </c>
      <c r="Y22" t="s">
        <v>157</v>
      </c>
      <c r="Z22">
        <f>0</f>
        <v>0</v>
      </c>
      <c r="AA22" t="s">
        <v>158</v>
      </c>
      <c r="AB22" t="s">
        <v>158</v>
      </c>
      <c r="AC22">
        <f>0</f>
        <v>0</v>
      </c>
      <c r="AD22">
        <f>0</f>
        <v>0</v>
      </c>
      <c r="AE22">
        <f>0</f>
        <v>0</v>
      </c>
      <c r="AH22" t="s">
        <v>157</v>
      </c>
    </row>
    <row r="23" spans="1:148" x14ac:dyDescent="0.25">
      <c r="A23" t="s">
        <v>258</v>
      </c>
      <c r="B23" t="s">
        <v>148</v>
      </c>
      <c r="C23" s="1">
        <v>45790</v>
      </c>
      <c r="D23" t="s">
        <v>242</v>
      </c>
      <c r="E23" t="s">
        <v>243</v>
      </c>
      <c r="F23" t="s">
        <v>253</v>
      </c>
      <c r="G23" t="s">
        <v>5774</v>
      </c>
      <c r="H23">
        <v>212</v>
      </c>
      <c r="I23" t="s">
        <v>6528</v>
      </c>
      <c r="J23">
        <v>21905</v>
      </c>
      <c r="K23" t="s">
        <v>5257</v>
      </c>
      <c r="L23" t="s">
        <v>259</v>
      </c>
      <c r="M23" t="s">
        <v>260</v>
      </c>
      <c r="N23" t="s">
        <v>5263</v>
      </c>
      <c r="O23" t="s">
        <v>261</v>
      </c>
      <c r="R23">
        <f>1</f>
        <v>1</v>
      </c>
      <c r="S23">
        <f>12.3</f>
        <v>12.3</v>
      </c>
      <c r="T23">
        <f>8</f>
        <v>8</v>
      </c>
      <c r="U23">
        <f>209</f>
        <v>209</v>
      </c>
      <c r="V23">
        <f>0.07</f>
        <v>7.0000000000000007E-2</v>
      </c>
      <c r="X23">
        <f>0</f>
        <v>0</v>
      </c>
      <c r="Y23">
        <f>0.19</f>
        <v>0.19</v>
      </c>
      <c r="Z23">
        <f>0</f>
        <v>0</v>
      </c>
      <c r="AA23" t="s">
        <v>158</v>
      </c>
      <c r="AB23" t="s">
        <v>158</v>
      </c>
      <c r="AC23">
        <f>0</f>
        <v>0</v>
      </c>
      <c r="AD23">
        <f>0</f>
        <v>0</v>
      </c>
      <c r="AE23">
        <f>0</f>
        <v>0</v>
      </c>
      <c r="AH23" t="s">
        <v>157</v>
      </c>
      <c r="AI23">
        <f>0.6</f>
        <v>0.6</v>
      </c>
      <c r="AL23" t="s">
        <v>164</v>
      </c>
      <c r="AM23" t="s">
        <v>165</v>
      </c>
      <c r="AN23">
        <f>3.5</f>
        <v>3.5</v>
      </c>
      <c r="AO23">
        <f>0.07</f>
        <v>7.0000000000000007E-2</v>
      </c>
      <c r="AP23">
        <f>4.7</f>
        <v>4.7</v>
      </c>
      <c r="AQ23">
        <f>1</f>
        <v>1</v>
      </c>
      <c r="AR23" t="s">
        <v>157</v>
      </c>
      <c r="AS23">
        <f>1.1</f>
        <v>1.1000000000000001</v>
      </c>
      <c r="AY23" t="s">
        <v>167</v>
      </c>
      <c r="AZ23" t="s">
        <v>158</v>
      </c>
      <c r="BA23" t="s">
        <v>216</v>
      </c>
      <c r="BB23" t="s">
        <v>158</v>
      </c>
      <c r="BC23" t="s">
        <v>166</v>
      </c>
      <c r="BD23" t="s">
        <v>167</v>
      </c>
      <c r="BE23">
        <f>0.003</f>
        <v>3.0000000000000001E-3</v>
      </c>
      <c r="BF23" t="s">
        <v>168</v>
      </c>
      <c r="BG23" t="s">
        <v>167</v>
      </c>
      <c r="BH23" t="s">
        <v>167</v>
      </c>
      <c r="BK23">
        <f>0.16</f>
        <v>0.16</v>
      </c>
      <c r="EL23">
        <f>6.6</f>
        <v>6.6</v>
      </c>
      <c r="EM23" t="s">
        <v>166</v>
      </c>
      <c r="EN23">
        <f>1</f>
        <v>1</v>
      </c>
      <c r="EO23" t="s">
        <v>166</v>
      </c>
      <c r="ER23">
        <f>7.6</f>
        <v>7.6</v>
      </c>
    </row>
    <row r="24" spans="1:148" x14ac:dyDescent="0.25">
      <c r="A24" t="s">
        <v>262</v>
      </c>
      <c r="B24" t="s">
        <v>148</v>
      </c>
      <c r="C24" s="1">
        <v>45824</v>
      </c>
      <c r="D24" t="s">
        <v>242</v>
      </c>
      <c r="E24" t="s">
        <v>243</v>
      </c>
      <c r="F24" t="s">
        <v>253</v>
      </c>
      <c r="G24" t="s">
        <v>5774</v>
      </c>
      <c r="H24">
        <v>212</v>
      </c>
      <c r="I24" t="s">
        <v>6528</v>
      </c>
      <c r="J24">
        <v>21905</v>
      </c>
      <c r="K24" t="s">
        <v>5257</v>
      </c>
      <c r="L24" t="s">
        <v>259</v>
      </c>
      <c r="M24" t="s">
        <v>5775</v>
      </c>
      <c r="N24" t="s">
        <v>5776</v>
      </c>
      <c r="O24" t="s">
        <v>263</v>
      </c>
      <c r="R24">
        <f>1</f>
        <v>1</v>
      </c>
      <c r="S24">
        <f>14.8</f>
        <v>14.8</v>
      </c>
      <c r="T24">
        <f>8.1</f>
        <v>8.1</v>
      </c>
      <c r="U24">
        <f>213</f>
        <v>213</v>
      </c>
      <c r="X24">
        <f>0</f>
        <v>0</v>
      </c>
      <c r="Y24" t="s">
        <v>157</v>
      </c>
      <c r="Z24">
        <f>0</f>
        <v>0</v>
      </c>
      <c r="AA24" t="s">
        <v>158</v>
      </c>
      <c r="AB24" t="s">
        <v>158</v>
      </c>
      <c r="AC24">
        <f>0</f>
        <v>0</v>
      </c>
      <c r="AD24">
        <f>0</f>
        <v>0</v>
      </c>
      <c r="AE24">
        <f>0</f>
        <v>0</v>
      </c>
      <c r="AH24" t="s">
        <v>157</v>
      </c>
      <c r="AI24" t="s">
        <v>238</v>
      </c>
      <c r="AL24" t="s">
        <v>164</v>
      </c>
      <c r="AM24" t="s">
        <v>165</v>
      </c>
      <c r="AN24">
        <f>3.2</f>
        <v>3.2</v>
      </c>
      <c r="AO24">
        <f>0.06</f>
        <v>0.06</v>
      </c>
      <c r="AP24">
        <f>7.6</f>
        <v>7.6</v>
      </c>
      <c r="AQ24">
        <f>1</f>
        <v>1</v>
      </c>
      <c r="AR24" t="s">
        <v>157</v>
      </c>
      <c r="AS24">
        <f>1.8</f>
        <v>1.8</v>
      </c>
      <c r="AY24" t="s">
        <v>167</v>
      </c>
      <c r="AZ24" t="s">
        <v>158</v>
      </c>
      <c r="BA24" t="s">
        <v>216</v>
      </c>
      <c r="BB24" t="s">
        <v>158</v>
      </c>
      <c r="BC24" t="s">
        <v>166</v>
      </c>
      <c r="BD24" t="s">
        <v>167</v>
      </c>
      <c r="BE24">
        <f>0.0029</f>
        <v>2.8999999999999998E-3</v>
      </c>
      <c r="BF24" t="s">
        <v>168</v>
      </c>
      <c r="BG24" t="s">
        <v>167</v>
      </c>
      <c r="BH24" t="s">
        <v>167</v>
      </c>
      <c r="BK24">
        <f>0.17</f>
        <v>0.17</v>
      </c>
      <c r="BL24" t="s">
        <v>168</v>
      </c>
      <c r="BM24" t="s">
        <v>168</v>
      </c>
      <c r="BN24" t="s">
        <v>168</v>
      </c>
      <c r="BO24" t="s">
        <v>168</v>
      </c>
      <c r="BP24" t="s">
        <v>168</v>
      </c>
      <c r="BQ24" t="s">
        <v>168</v>
      </c>
      <c r="BR24" t="s">
        <v>168</v>
      </c>
      <c r="BS24" t="s">
        <v>168</v>
      </c>
      <c r="BT24" t="s">
        <v>209</v>
      </c>
      <c r="BU24" t="s">
        <v>168</v>
      </c>
      <c r="BV24" t="s">
        <v>209</v>
      </c>
      <c r="BW24" t="s">
        <v>209</v>
      </c>
      <c r="BX24" t="s">
        <v>209</v>
      </c>
      <c r="BY24" t="s">
        <v>209</v>
      </c>
      <c r="BZ24" t="s">
        <v>216</v>
      </c>
      <c r="CA24" t="s">
        <v>216</v>
      </c>
      <c r="CB24" t="s">
        <v>168</v>
      </c>
      <c r="CC24" t="s">
        <v>168</v>
      </c>
      <c r="CD24" t="s">
        <v>216</v>
      </c>
      <c r="CE24" t="s">
        <v>209</v>
      </c>
      <c r="CF24" t="s">
        <v>168</v>
      </c>
      <c r="CG24" t="s">
        <v>168</v>
      </c>
      <c r="CH24" t="s">
        <v>165</v>
      </c>
      <c r="CI24" t="s">
        <v>216</v>
      </c>
      <c r="CJ24" t="s">
        <v>216</v>
      </c>
      <c r="CK24" t="s">
        <v>216</v>
      </c>
      <c r="CL24" t="s">
        <v>216</v>
      </c>
      <c r="CM24" t="s">
        <v>216</v>
      </c>
      <c r="CN24" t="s">
        <v>216</v>
      </c>
      <c r="CO24" t="s">
        <v>216</v>
      </c>
      <c r="CP24" t="s">
        <v>216</v>
      </c>
      <c r="CQ24" t="s">
        <v>216</v>
      </c>
      <c r="CR24" t="s">
        <v>216</v>
      </c>
      <c r="CS24" t="s">
        <v>216</v>
      </c>
      <c r="CT24" t="s">
        <v>216</v>
      </c>
      <c r="CU24" t="s">
        <v>216</v>
      </c>
      <c r="CV24" t="s">
        <v>216</v>
      </c>
      <c r="CW24" t="s">
        <v>216</v>
      </c>
      <c r="CX24" t="s">
        <v>216</v>
      </c>
      <c r="CY24" t="s">
        <v>216</v>
      </c>
      <c r="CZ24" t="s">
        <v>216</v>
      </c>
      <c r="DA24" t="s">
        <v>168</v>
      </c>
      <c r="DB24" t="s">
        <v>216</v>
      </c>
      <c r="DC24" t="s">
        <v>216</v>
      </c>
      <c r="DD24" t="s">
        <v>216</v>
      </c>
      <c r="DE24" t="s">
        <v>168</v>
      </c>
      <c r="DF24" t="s">
        <v>168</v>
      </c>
      <c r="DG24" t="s">
        <v>216</v>
      </c>
      <c r="DH24" t="s">
        <v>216</v>
      </c>
      <c r="DI24" t="s">
        <v>216</v>
      </c>
      <c r="DJ24" t="s">
        <v>216</v>
      </c>
      <c r="DK24" t="s">
        <v>168</v>
      </c>
      <c r="DL24" t="s">
        <v>216</v>
      </c>
      <c r="DM24" t="s">
        <v>216</v>
      </c>
      <c r="DN24" t="s">
        <v>216</v>
      </c>
      <c r="DO24" t="s">
        <v>216</v>
      </c>
      <c r="DP24" t="s">
        <v>168</v>
      </c>
      <c r="DQ24" t="s">
        <v>216</v>
      </c>
      <c r="DR24" t="s">
        <v>168</v>
      </c>
      <c r="DS24" t="s">
        <v>168</v>
      </c>
      <c r="DT24" t="s">
        <v>168</v>
      </c>
      <c r="DU24" t="s">
        <v>168</v>
      </c>
      <c r="DV24" t="s">
        <v>168</v>
      </c>
      <c r="DW24" t="s">
        <v>168</v>
      </c>
      <c r="DX24" t="s">
        <v>168</v>
      </c>
      <c r="DY24" t="s">
        <v>168</v>
      </c>
      <c r="DZ24" t="s">
        <v>209</v>
      </c>
      <c r="EA24" t="s">
        <v>216</v>
      </c>
      <c r="EB24" t="s">
        <v>168</v>
      </c>
      <c r="EC24" t="s">
        <v>168</v>
      </c>
      <c r="ED24" t="s">
        <v>209</v>
      </c>
      <c r="EE24" t="s">
        <v>168</v>
      </c>
      <c r="EL24">
        <f>5.3</f>
        <v>5.3</v>
      </c>
      <c r="EM24" t="s">
        <v>166</v>
      </c>
      <c r="EN24">
        <f>1.1</f>
        <v>1.1000000000000001</v>
      </c>
      <c r="EO24" t="s">
        <v>166</v>
      </c>
      <c r="ER24">
        <f>6.4</f>
        <v>6.4</v>
      </c>
    </row>
    <row r="25" spans="1:148" x14ac:dyDescent="0.25">
      <c r="A25" t="s">
        <v>264</v>
      </c>
      <c r="B25" t="s">
        <v>148</v>
      </c>
      <c r="C25" s="1">
        <v>45824</v>
      </c>
      <c r="D25" t="s">
        <v>242</v>
      </c>
      <c r="E25" t="s">
        <v>243</v>
      </c>
      <c r="F25" t="s">
        <v>253</v>
      </c>
      <c r="G25" t="s">
        <v>5774</v>
      </c>
      <c r="H25">
        <v>212</v>
      </c>
      <c r="I25" t="s">
        <v>6528</v>
      </c>
      <c r="J25">
        <v>21905</v>
      </c>
      <c r="K25" t="s">
        <v>5257</v>
      </c>
      <c r="L25" t="s">
        <v>259</v>
      </c>
      <c r="M25" t="s">
        <v>5777</v>
      </c>
      <c r="N25" t="s">
        <v>5778</v>
      </c>
      <c r="O25" t="s">
        <v>265</v>
      </c>
      <c r="Q25" t="s">
        <v>5779</v>
      </c>
      <c r="R25">
        <f>1</f>
        <v>1</v>
      </c>
      <c r="S25">
        <f>12.9</f>
        <v>12.9</v>
      </c>
      <c r="T25">
        <f>8.1</f>
        <v>8.1</v>
      </c>
      <c r="U25">
        <f>180</f>
        <v>180</v>
      </c>
      <c r="V25">
        <f>0.07</f>
        <v>7.0000000000000007E-2</v>
      </c>
      <c r="X25">
        <f>0</f>
        <v>0</v>
      </c>
      <c r="Y25" t="s">
        <v>157</v>
      </c>
      <c r="Z25">
        <f>0</f>
        <v>0</v>
      </c>
      <c r="AA25" t="s">
        <v>158</v>
      </c>
      <c r="AB25" t="s">
        <v>158</v>
      </c>
      <c r="AC25">
        <f>0</f>
        <v>0</v>
      </c>
      <c r="AD25">
        <f>0</f>
        <v>0</v>
      </c>
      <c r="AE25">
        <f>0</f>
        <v>0</v>
      </c>
      <c r="AH25" t="s">
        <v>157</v>
      </c>
      <c r="AI25" t="s">
        <v>238</v>
      </c>
      <c r="AL25" t="s">
        <v>164</v>
      </c>
      <c r="AM25" t="s">
        <v>165</v>
      </c>
      <c r="AN25">
        <f>3.3</f>
        <v>3.3</v>
      </c>
      <c r="AO25">
        <f>0.07</f>
        <v>7.0000000000000007E-2</v>
      </c>
      <c r="AP25">
        <f>6.9</f>
        <v>6.9</v>
      </c>
      <c r="AQ25">
        <f>0.9</f>
        <v>0.9</v>
      </c>
      <c r="AR25" t="s">
        <v>157</v>
      </c>
      <c r="AS25">
        <f>1.7</f>
        <v>1.7</v>
      </c>
      <c r="AY25" t="s">
        <v>167</v>
      </c>
      <c r="AZ25" t="s">
        <v>158</v>
      </c>
      <c r="BA25" t="s">
        <v>216</v>
      </c>
      <c r="BB25" t="s">
        <v>158</v>
      </c>
      <c r="BC25" t="s">
        <v>166</v>
      </c>
      <c r="BD25" t="s">
        <v>167</v>
      </c>
      <c r="BE25" t="s">
        <v>266</v>
      </c>
      <c r="BF25" t="s">
        <v>168</v>
      </c>
      <c r="BG25" t="s">
        <v>167</v>
      </c>
      <c r="BH25" t="s">
        <v>167</v>
      </c>
      <c r="BK25">
        <f>0.18</f>
        <v>0.18</v>
      </c>
      <c r="EL25">
        <f>5.4</f>
        <v>5.4</v>
      </c>
      <c r="EM25" t="s">
        <v>166</v>
      </c>
      <c r="EN25">
        <f>1.1</f>
        <v>1.1000000000000001</v>
      </c>
      <c r="EO25" t="s">
        <v>166</v>
      </c>
      <c r="ER25">
        <f>6.5</f>
        <v>6.5</v>
      </c>
    </row>
    <row r="26" spans="1:148" x14ac:dyDescent="0.25">
      <c r="A26" t="s">
        <v>267</v>
      </c>
      <c r="B26" t="s">
        <v>268</v>
      </c>
      <c r="C26" s="1">
        <v>45719</v>
      </c>
      <c r="D26" t="s">
        <v>269</v>
      </c>
      <c r="E26" t="s">
        <v>270</v>
      </c>
      <c r="F26" t="s">
        <v>271</v>
      </c>
      <c r="G26" t="s">
        <v>272</v>
      </c>
      <c r="H26">
        <v>132</v>
      </c>
      <c r="I26" t="s">
        <v>272</v>
      </c>
      <c r="J26">
        <v>22721</v>
      </c>
      <c r="K26" t="s">
        <v>5257</v>
      </c>
      <c r="L26" t="s">
        <v>154</v>
      </c>
      <c r="M26" t="s">
        <v>4696</v>
      </c>
      <c r="N26" t="s">
        <v>273</v>
      </c>
      <c r="O26" t="s">
        <v>274</v>
      </c>
      <c r="R26">
        <f>1</f>
        <v>1</v>
      </c>
      <c r="S26">
        <f>14.6</f>
        <v>14.6</v>
      </c>
      <c r="T26">
        <f>7.4</f>
        <v>7.4</v>
      </c>
      <c r="U26">
        <f>461</f>
        <v>461</v>
      </c>
      <c r="V26">
        <f>0.29</f>
        <v>0.28999999999999998</v>
      </c>
      <c r="X26">
        <f>0</f>
        <v>0</v>
      </c>
      <c r="Y26" t="s">
        <v>207</v>
      </c>
      <c r="Z26">
        <f>0</f>
        <v>0</v>
      </c>
      <c r="AA26">
        <f>220</f>
        <v>220</v>
      </c>
      <c r="AB26">
        <f>119</f>
        <v>119</v>
      </c>
      <c r="AC26">
        <f>0</f>
        <v>0</v>
      </c>
      <c r="AD26">
        <f>0</f>
        <v>0</v>
      </c>
      <c r="AE26">
        <f>0</f>
        <v>0</v>
      </c>
    </row>
    <row r="27" spans="1:148" x14ac:dyDescent="0.25">
      <c r="A27" t="s">
        <v>275</v>
      </c>
      <c r="B27" t="s">
        <v>148</v>
      </c>
      <c r="C27" s="1">
        <v>45719</v>
      </c>
      <c r="D27" t="s">
        <v>269</v>
      </c>
      <c r="E27" t="s">
        <v>270</v>
      </c>
      <c r="F27" t="s">
        <v>271</v>
      </c>
      <c r="G27" t="s">
        <v>6529</v>
      </c>
      <c r="H27">
        <v>592</v>
      </c>
      <c r="I27" t="s">
        <v>6529</v>
      </c>
      <c r="J27">
        <v>13513</v>
      </c>
      <c r="K27" t="s">
        <v>5257</v>
      </c>
      <c r="L27" t="s">
        <v>4940</v>
      </c>
      <c r="M27" t="s">
        <v>5780</v>
      </c>
      <c r="N27" t="s">
        <v>276</v>
      </c>
      <c r="O27" t="s">
        <v>277</v>
      </c>
      <c r="R27">
        <f>1</f>
        <v>1</v>
      </c>
      <c r="S27">
        <f>8.8</f>
        <v>8.8000000000000007</v>
      </c>
      <c r="T27">
        <f>7.6</f>
        <v>7.6</v>
      </c>
      <c r="U27">
        <f>441</f>
        <v>441</v>
      </c>
      <c r="V27">
        <f>0.14</f>
        <v>0.14000000000000001</v>
      </c>
      <c r="X27">
        <f>0</f>
        <v>0</v>
      </c>
      <c r="Y27" t="s">
        <v>207</v>
      </c>
      <c r="Z27">
        <f>0</f>
        <v>0</v>
      </c>
      <c r="AA27" t="s">
        <v>158</v>
      </c>
      <c r="AB27" t="s">
        <v>158</v>
      </c>
      <c r="AC27">
        <f>0</f>
        <v>0</v>
      </c>
      <c r="AD27">
        <f>0</f>
        <v>0</v>
      </c>
      <c r="AE27">
        <f>0</f>
        <v>0</v>
      </c>
    </row>
    <row r="28" spans="1:148" x14ac:dyDescent="0.25">
      <c r="A28" t="s">
        <v>278</v>
      </c>
      <c r="B28" t="s">
        <v>148</v>
      </c>
      <c r="C28" s="1">
        <v>45719</v>
      </c>
      <c r="D28" t="s">
        <v>269</v>
      </c>
      <c r="E28" t="s">
        <v>270</v>
      </c>
      <c r="F28" t="s">
        <v>271</v>
      </c>
      <c r="G28" t="s">
        <v>6529</v>
      </c>
      <c r="H28">
        <v>592</v>
      </c>
      <c r="I28" t="s">
        <v>6529</v>
      </c>
      <c r="J28">
        <v>13513</v>
      </c>
      <c r="K28" t="s">
        <v>5257</v>
      </c>
      <c r="L28" t="s">
        <v>4940</v>
      </c>
      <c r="M28" t="s">
        <v>5781</v>
      </c>
      <c r="N28" t="s">
        <v>279</v>
      </c>
      <c r="O28" t="s">
        <v>280</v>
      </c>
      <c r="R28">
        <f>1</f>
        <v>1</v>
      </c>
      <c r="S28">
        <f>8.9</f>
        <v>8.9</v>
      </c>
      <c r="T28">
        <f>8</f>
        <v>8</v>
      </c>
      <c r="U28">
        <f>457</f>
        <v>457</v>
      </c>
      <c r="V28">
        <f>0.61</f>
        <v>0.61</v>
      </c>
      <c r="X28">
        <f>0</f>
        <v>0</v>
      </c>
      <c r="Y28" t="s">
        <v>207</v>
      </c>
      <c r="Z28">
        <f>0</f>
        <v>0</v>
      </c>
      <c r="AA28" t="s">
        <v>158</v>
      </c>
      <c r="AB28" t="s">
        <v>158</v>
      </c>
      <c r="AC28">
        <f>0</f>
        <v>0</v>
      </c>
      <c r="AD28">
        <f>0</f>
        <v>0</v>
      </c>
      <c r="AE28">
        <f>0</f>
        <v>0</v>
      </c>
    </row>
    <row r="29" spans="1:148" x14ac:dyDescent="0.25">
      <c r="A29" t="s">
        <v>281</v>
      </c>
      <c r="B29" t="s">
        <v>148</v>
      </c>
      <c r="C29" s="1">
        <v>45726</v>
      </c>
      <c r="D29" t="s">
        <v>269</v>
      </c>
      <c r="E29" t="s">
        <v>270</v>
      </c>
      <c r="F29" t="s">
        <v>271</v>
      </c>
      <c r="G29" t="s">
        <v>272</v>
      </c>
      <c r="H29">
        <v>132</v>
      </c>
      <c r="I29" t="s">
        <v>272</v>
      </c>
      <c r="J29">
        <v>22721</v>
      </c>
      <c r="K29" t="s">
        <v>5257</v>
      </c>
      <c r="L29" t="s">
        <v>154</v>
      </c>
      <c r="M29" t="s">
        <v>4941</v>
      </c>
      <c r="N29" t="s">
        <v>4942</v>
      </c>
      <c r="O29" t="s">
        <v>282</v>
      </c>
      <c r="Q29" t="s">
        <v>6300</v>
      </c>
      <c r="R29">
        <f>1</f>
        <v>1</v>
      </c>
      <c r="S29">
        <f>10.6</f>
        <v>10.6</v>
      </c>
      <c r="T29">
        <f>7.5</f>
        <v>7.5</v>
      </c>
      <c r="U29">
        <f>433</f>
        <v>433</v>
      </c>
      <c r="V29">
        <f>0.18</f>
        <v>0.18</v>
      </c>
      <c r="X29">
        <f>0</f>
        <v>0</v>
      </c>
      <c r="Y29">
        <f>0.53</f>
        <v>0.53</v>
      </c>
      <c r="Z29">
        <f>0</f>
        <v>0</v>
      </c>
      <c r="AA29" t="s">
        <v>158</v>
      </c>
      <c r="AB29" t="s">
        <v>158</v>
      </c>
      <c r="AC29">
        <f>0</f>
        <v>0</v>
      </c>
      <c r="AD29">
        <f>0</f>
        <v>0</v>
      </c>
      <c r="AE29">
        <f>0</f>
        <v>0</v>
      </c>
    </row>
    <row r="30" spans="1:148" x14ac:dyDescent="0.25">
      <c r="A30" t="s">
        <v>283</v>
      </c>
      <c r="B30" t="s">
        <v>268</v>
      </c>
      <c r="C30" s="1">
        <v>45712</v>
      </c>
      <c r="D30" t="s">
        <v>189</v>
      </c>
      <c r="E30" t="s">
        <v>284</v>
      </c>
      <c r="F30" t="s">
        <v>285</v>
      </c>
      <c r="G30" t="s">
        <v>286</v>
      </c>
      <c r="H30">
        <v>197</v>
      </c>
      <c r="I30" t="s">
        <v>287</v>
      </c>
      <c r="J30">
        <v>19851</v>
      </c>
      <c r="K30" t="s">
        <v>5257</v>
      </c>
      <c r="L30" t="s">
        <v>4943</v>
      </c>
      <c r="M30" t="s">
        <v>288</v>
      </c>
      <c r="N30" t="s">
        <v>6530</v>
      </c>
      <c r="O30" t="s">
        <v>289</v>
      </c>
      <c r="R30">
        <f>1</f>
        <v>1</v>
      </c>
      <c r="S30">
        <f>8.6</f>
        <v>8.6</v>
      </c>
      <c r="T30">
        <f>7.8</f>
        <v>7.8</v>
      </c>
      <c r="U30">
        <f>347</f>
        <v>347</v>
      </c>
      <c r="V30">
        <f>0.3</f>
        <v>0.3</v>
      </c>
      <c r="X30">
        <f>0</f>
        <v>0</v>
      </c>
      <c r="Y30" t="s">
        <v>157</v>
      </c>
      <c r="Z30">
        <f>0</f>
        <v>0</v>
      </c>
      <c r="AA30">
        <f>6</f>
        <v>6</v>
      </c>
      <c r="AB30">
        <f>160</f>
        <v>160</v>
      </c>
      <c r="AC30">
        <f>0</f>
        <v>0</v>
      </c>
      <c r="AD30">
        <f>0</f>
        <v>0</v>
      </c>
      <c r="AE30">
        <f>0</f>
        <v>0</v>
      </c>
      <c r="AH30" t="s">
        <v>157</v>
      </c>
      <c r="BB30">
        <f>4.5</f>
        <v>4.5</v>
      </c>
    </row>
    <row r="31" spans="1:148" x14ac:dyDescent="0.25">
      <c r="A31" t="s">
        <v>290</v>
      </c>
      <c r="B31" t="s">
        <v>148</v>
      </c>
      <c r="C31" s="1">
        <v>45712</v>
      </c>
      <c r="D31" t="s">
        <v>189</v>
      </c>
      <c r="E31" t="s">
        <v>284</v>
      </c>
      <c r="F31" t="s">
        <v>285</v>
      </c>
      <c r="G31" t="s">
        <v>286</v>
      </c>
      <c r="H31">
        <v>197</v>
      </c>
      <c r="I31" t="s">
        <v>287</v>
      </c>
      <c r="J31">
        <v>19851</v>
      </c>
      <c r="K31" t="s">
        <v>5257</v>
      </c>
      <c r="L31" t="s">
        <v>4943</v>
      </c>
      <c r="M31" t="s">
        <v>291</v>
      </c>
      <c r="N31" t="s">
        <v>292</v>
      </c>
      <c r="O31" t="s">
        <v>293</v>
      </c>
      <c r="R31">
        <f>1</f>
        <v>1</v>
      </c>
      <c r="S31">
        <f>11.5</f>
        <v>11.5</v>
      </c>
      <c r="T31">
        <f>7.7</f>
        <v>7.7</v>
      </c>
      <c r="U31">
        <f>285</f>
        <v>285</v>
      </c>
      <c r="V31">
        <f>0.21</f>
        <v>0.21</v>
      </c>
      <c r="X31">
        <f>0</f>
        <v>0</v>
      </c>
      <c r="Y31" t="s">
        <v>157</v>
      </c>
      <c r="Z31">
        <f>0</f>
        <v>0</v>
      </c>
      <c r="AA31">
        <f>4</f>
        <v>4</v>
      </c>
      <c r="AB31">
        <f>2</f>
        <v>2</v>
      </c>
      <c r="AC31">
        <f>0</f>
        <v>0</v>
      </c>
      <c r="AD31">
        <f>0</f>
        <v>0</v>
      </c>
      <c r="AE31">
        <f>0</f>
        <v>0</v>
      </c>
      <c r="AH31" t="s">
        <v>157</v>
      </c>
      <c r="BB31">
        <f>16</f>
        <v>16</v>
      </c>
    </row>
    <row r="32" spans="1:148" x14ac:dyDescent="0.25">
      <c r="A32" t="s">
        <v>294</v>
      </c>
      <c r="B32" t="s">
        <v>148</v>
      </c>
      <c r="C32" s="1">
        <v>45719</v>
      </c>
      <c r="D32" t="s">
        <v>242</v>
      </c>
      <c r="E32" t="s">
        <v>295</v>
      </c>
      <c r="F32" t="s">
        <v>4944</v>
      </c>
      <c r="G32" t="s">
        <v>5092</v>
      </c>
      <c r="H32">
        <v>316</v>
      </c>
      <c r="I32" t="s">
        <v>5092</v>
      </c>
      <c r="J32">
        <v>18031</v>
      </c>
      <c r="K32" t="s">
        <v>5254</v>
      </c>
      <c r="L32" t="s">
        <v>154</v>
      </c>
      <c r="M32" t="s">
        <v>5782</v>
      </c>
      <c r="N32" t="s">
        <v>4945</v>
      </c>
      <c r="O32" t="s">
        <v>296</v>
      </c>
      <c r="R32">
        <f>1</f>
        <v>1</v>
      </c>
      <c r="S32">
        <f>9.7</f>
        <v>9.6999999999999993</v>
      </c>
      <c r="T32">
        <f>7.5</f>
        <v>7.5</v>
      </c>
      <c r="U32">
        <f>332</f>
        <v>332</v>
      </c>
      <c r="V32" t="s">
        <v>207</v>
      </c>
      <c r="X32">
        <f>0</f>
        <v>0</v>
      </c>
      <c r="Y32" t="s">
        <v>207</v>
      </c>
      <c r="Z32">
        <f>0</f>
        <v>0</v>
      </c>
      <c r="AA32" t="s">
        <v>158</v>
      </c>
      <c r="AB32" t="s">
        <v>158</v>
      </c>
      <c r="AD32">
        <f>0</f>
        <v>0</v>
      </c>
      <c r="AE32">
        <f>0</f>
        <v>0</v>
      </c>
    </row>
    <row r="33" spans="1:148" x14ac:dyDescent="0.25">
      <c r="A33" t="s">
        <v>297</v>
      </c>
      <c r="B33" t="s">
        <v>268</v>
      </c>
      <c r="C33" s="1">
        <v>45800</v>
      </c>
      <c r="D33" t="s">
        <v>242</v>
      </c>
      <c r="E33" t="s">
        <v>295</v>
      </c>
      <c r="F33" t="s">
        <v>4944</v>
      </c>
      <c r="G33" t="s">
        <v>5092</v>
      </c>
      <c r="H33">
        <v>316</v>
      </c>
      <c r="I33" t="s">
        <v>5092</v>
      </c>
      <c r="J33">
        <v>18031</v>
      </c>
      <c r="K33" t="s">
        <v>5254</v>
      </c>
      <c r="L33" t="s">
        <v>154</v>
      </c>
      <c r="M33" t="s">
        <v>5264</v>
      </c>
      <c r="N33" t="s">
        <v>298</v>
      </c>
      <c r="O33" t="s">
        <v>299</v>
      </c>
      <c r="R33">
        <f>1</f>
        <v>1</v>
      </c>
      <c r="S33">
        <f>17.5</f>
        <v>17.5</v>
      </c>
      <c r="T33">
        <f>7.8</f>
        <v>7.8</v>
      </c>
      <c r="U33">
        <f>342</f>
        <v>342</v>
      </c>
      <c r="X33">
        <f>0</f>
        <v>0</v>
      </c>
      <c r="Y33" t="s">
        <v>207</v>
      </c>
      <c r="Z33">
        <f>0</f>
        <v>0</v>
      </c>
      <c r="AA33">
        <f>27</f>
        <v>27</v>
      </c>
      <c r="AB33" t="s">
        <v>158</v>
      </c>
      <c r="AD33">
        <f>3</f>
        <v>3</v>
      </c>
      <c r="AE33">
        <f>25</f>
        <v>25</v>
      </c>
      <c r="AH33" t="s">
        <v>166</v>
      </c>
      <c r="AI33" t="s">
        <v>300</v>
      </c>
      <c r="AL33" t="s">
        <v>216</v>
      </c>
      <c r="AM33">
        <f>0.0026</f>
        <v>2.5999999999999999E-3</v>
      </c>
      <c r="AN33">
        <f>2.14</f>
        <v>2.14</v>
      </c>
      <c r="AO33">
        <f>0.044</f>
        <v>4.3999999999999997E-2</v>
      </c>
      <c r="AP33">
        <f>2.48</f>
        <v>2.48</v>
      </c>
      <c r="AQ33">
        <f>2.34</f>
        <v>2.34</v>
      </c>
      <c r="AR33">
        <f>0.067</f>
        <v>6.7000000000000004E-2</v>
      </c>
      <c r="AS33">
        <f>8.1</f>
        <v>8.1</v>
      </c>
      <c r="AY33">
        <f>0.88</f>
        <v>0.88</v>
      </c>
      <c r="AZ33" t="s">
        <v>208</v>
      </c>
      <c r="BA33">
        <f>0.0035</f>
        <v>3.5000000000000001E-3</v>
      </c>
      <c r="BB33">
        <f>1.9</f>
        <v>1.9</v>
      </c>
      <c r="BC33" t="s">
        <v>209</v>
      </c>
      <c r="BD33">
        <f>0.18</f>
        <v>0.18</v>
      </c>
      <c r="BE33">
        <f>0.0011</f>
        <v>1.1000000000000001E-3</v>
      </c>
      <c r="BF33" t="s">
        <v>168</v>
      </c>
      <c r="BG33" t="s">
        <v>237</v>
      </c>
      <c r="BH33" t="s">
        <v>157</v>
      </c>
      <c r="BK33">
        <f>0.52</f>
        <v>0.52</v>
      </c>
    </row>
    <row r="34" spans="1:148" x14ac:dyDescent="0.25">
      <c r="A34" t="s">
        <v>301</v>
      </c>
      <c r="B34" t="s">
        <v>148</v>
      </c>
      <c r="C34" s="1">
        <v>45722</v>
      </c>
      <c r="D34" t="s">
        <v>269</v>
      </c>
      <c r="E34" t="s">
        <v>270</v>
      </c>
      <c r="F34" t="s">
        <v>6531</v>
      </c>
      <c r="G34" t="s">
        <v>6532</v>
      </c>
      <c r="H34">
        <v>796</v>
      </c>
      <c r="I34" t="s">
        <v>6533</v>
      </c>
      <c r="J34">
        <v>12713</v>
      </c>
      <c r="K34" t="s">
        <v>5257</v>
      </c>
      <c r="L34" t="s">
        <v>302</v>
      </c>
      <c r="M34" t="s">
        <v>6534</v>
      </c>
      <c r="N34" t="s">
        <v>6535</v>
      </c>
      <c r="O34" t="s">
        <v>303</v>
      </c>
      <c r="R34">
        <f>1</f>
        <v>1</v>
      </c>
      <c r="S34">
        <f>10.7</f>
        <v>10.7</v>
      </c>
      <c r="T34">
        <f>7.8</f>
        <v>7.8</v>
      </c>
      <c r="U34">
        <f>336</f>
        <v>336</v>
      </c>
      <c r="W34">
        <f>0.18</f>
        <v>0.18</v>
      </c>
      <c r="X34">
        <f>0</f>
        <v>0</v>
      </c>
      <c r="Y34">
        <f>0.11</f>
        <v>0.11</v>
      </c>
      <c r="Z34">
        <f>0</f>
        <v>0</v>
      </c>
      <c r="AA34" t="s">
        <v>158</v>
      </c>
      <c r="AB34" t="s">
        <v>158</v>
      </c>
      <c r="AC34">
        <f>0</f>
        <v>0</v>
      </c>
      <c r="AD34">
        <f>0</f>
        <v>0</v>
      </c>
      <c r="AE34">
        <f>0</f>
        <v>0</v>
      </c>
      <c r="AH34" t="s">
        <v>166</v>
      </c>
      <c r="AI34">
        <f>0.68</f>
        <v>0.68</v>
      </c>
      <c r="AL34" t="s">
        <v>216</v>
      </c>
      <c r="AM34" t="s">
        <v>266</v>
      </c>
      <c r="AN34">
        <f>4.83</f>
        <v>4.83</v>
      </c>
      <c r="AO34">
        <f>0.097</f>
        <v>9.7000000000000003E-2</v>
      </c>
      <c r="AP34">
        <f>3.13</f>
        <v>3.13</v>
      </c>
      <c r="AQ34">
        <f>3.23</f>
        <v>3.23</v>
      </c>
      <c r="AR34" t="s">
        <v>209</v>
      </c>
      <c r="AS34">
        <f>1.4</f>
        <v>1.4</v>
      </c>
      <c r="AY34" t="s">
        <v>157</v>
      </c>
      <c r="AZ34" t="s">
        <v>208</v>
      </c>
      <c r="BA34">
        <f>0.0019</f>
        <v>1.9E-3</v>
      </c>
      <c r="BB34">
        <f>36</f>
        <v>36</v>
      </c>
      <c r="BC34" t="s">
        <v>209</v>
      </c>
      <c r="BD34" t="s">
        <v>157</v>
      </c>
      <c r="BE34">
        <f>0.00079</f>
        <v>7.9000000000000001E-4</v>
      </c>
      <c r="BF34" t="s">
        <v>168</v>
      </c>
      <c r="BG34" t="s">
        <v>237</v>
      </c>
      <c r="BH34" t="s">
        <v>157</v>
      </c>
      <c r="BK34">
        <f>0.45</f>
        <v>0.45</v>
      </c>
      <c r="EL34" t="s">
        <v>237</v>
      </c>
      <c r="EM34" t="s">
        <v>238</v>
      </c>
      <c r="EN34" t="s">
        <v>300</v>
      </c>
      <c r="EO34" t="s">
        <v>300</v>
      </c>
      <c r="ER34" t="s">
        <v>238</v>
      </c>
    </row>
    <row r="35" spans="1:148" x14ac:dyDescent="0.25">
      <c r="A35" t="s">
        <v>304</v>
      </c>
      <c r="B35" t="s">
        <v>148</v>
      </c>
      <c r="C35" s="1">
        <v>45722</v>
      </c>
      <c r="D35" t="s">
        <v>269</v>
      </c>
      <c r="E35" t="s">
        <v>270</v>
      </c>
      <c r="F35" t="s">
        <v>6531</v>
      </c>
      <c r="G35" t="s">
        <v>6532</v>
      </c>
      <c r="H35">
        <v>796</v>
      </c>
      <c r="I35" t="s">
        <v>6533</v>
      </c>
      <c r="J35">
        <v>12713</v>
      </c>
      <c r="K35" t="s">
        <v>5257</v>
      </c>
      <c r="L35" t="s">
        <v>302</v>
      </c>
      <c r="M35" t="s">
        <v>6536</v>
      </c>
      <c r="N35" t="s">
        <v>6537</v>
      </c>
      <c r="O35" t="s">
        <v>305</v>
      </c>
      <c r="R35">
        <f>1</f>
        <v>1</v>
      </c>
      <c r="S35">
        <f>9.4</f>
        <v>9.4</v>
      </c>
      <c r="T35">
        <f>7.8</f>
        <v>7.8</v>
      </c>
      <c r="U35">
        <f>332</f>
        <v>332</v>
      </c>
      <c r="W35">
        <f>0.21</f>
        <v>0.21</v>
      </c>
      <c r="X35">
        <f>0</f>
        <v>0</v>
      </c>
      <c r="Y35">
        <f>0.11</f>
        <v>0.11</v>
      </c>
      <c r="Z35">
        <f>0</f>
        <v>0</v>
      </c>
      <c r="AA35" t="s">
        <v>158</v>
      </c>
      <c r="AB35" t="s">
        <v>158</v>
      </c>
      <c r="AC35">
        <f>0</f>
        <v>0</v>
      </c>
      <c r="AD35">
        <f>0</f>
        <v>0</v>
      </c>
      <c r="AE35">
        <f>0</f>
        <v>0</v>
      </c>
    </row>
    <row r="36" spans="1:148" x14ac:dyDescent="0.25">
      <c r="A36" t="s">
        <v>306</v>
      </c>
      <c r="B36" t="s">
        <v>148</v>
      </c>
      <c r="C36" s="1">
        <v>45722</v>
      </c>
      <c r="D36" t="s">
        <v>269</v>
      </c>
      <c r="E36" t="s">
        <v>270</v>
      </c>
      <c r="F36" t="s">
        <v>6531</v>
      </c>
      <c r="G36" t="s">
        <v>6532</v>
      </c>
      <c r="H36">
        <v>796</v>
      </c>
      <c r="I36" t="s">
        <v>6533</v>
      </c>
      <c r="J36">
        <v>12713</v>
      </c>
      <c r="K36" t="s">
        <v>5257</v>
      </c>
      <c r="L36" t="s">
        <v>302</v>
      </c>
      <c r="M36" t="s">
        <v>307</v>
      </c>
      <c r="N36" t="s">
        <v>308</v>
      </c>
      <c r="O36" t="s">
        <v>309</v>
      </c>
      <c r="R36">
        <f>1</f>
        <v>1</v>
      </c>
      <c r="S36">
        <f>8.6</f>
        <v>8.6</v>
      </c>
      <c r="T36">
        <f>7.9</f>
        <v>7.9</v>
      </c>
      <c r="U36">
        <f>344</f>
        <v>344</v>
      </c>
      <c r="V36">
        <f>0.18</f>
        <v>0.18</v>
      </c>
      <c r="X36">
        <f>0</f>
        <v>0</v>
      </c>
      <c r="Y36">
        <f>0.09</f>
        <v>0.09</v>
      </c>
      <c r="Z36">
        <f>0</f>
        <v>0</v>
      </c>
      <c r="AA36" t="s">
        <v>158</v>
      </c>
      <c r="AB36" t="s">
        <v>158</v>
      </c>
      <c r="AC36">
        <f>0</f>
        <v>0</v>
      </c>
      <c r="AD36">
        <f>0</f>
        <v>0</v>
      </c>
      <c r="AE36">
        <f>0</f>
        <v>0</v>
      </c>
    </row>
    <row r="37" spans="1:148" x14ac:dyDescent="0.25">
      <c r="A37" t="s">
        <v>310</v>
      </c>
      <c r="B37" t="s">
        <v>148</v>
      </c>
      <c r="C37" s="1">
        <v>45714</v>
      </c>
      <c r="D37" t="s">
        <v>311</v>
      </c>
      <c r="E37" t="s">
        <v>312</v>
      </c>
      <c r="F37" t="s">
        <v>4946</v>
      </c>
      <c r="G37" t="s">
        <v>5093</v>
      </c>
      <c r="H37">
        <v>798</v>
      </c>
      <c r="I37" t="s">
        <v>313</v>
      </c>
      <c r="J37">
        <v>18000</v>
      </c>
      <c r="K37" t="s">
        <v>5257</v>
      </c>
      <c r="L37" t="s">
        <v>314</v>
      </c>
      <c r="M37" t="s">
        <v>5783</v>
      </c>
      <c r="N37" t="s">
        <v>5094</v>
      </c>
      <c r="O37" t="s">
        <v>315</v>
      </c>
      <c r="R37">
        <f>1</f>
        <v>1</v>
      </c>
      <c r="S37">
        <f>8.4</f>
        <v>8.4</v>
      </c>
      <c r="T37">
        <f>7.9</f>
        <v>7.9</v>
      </c>
      <c r="U37">
        <f>564</f>
        <v>564</v>
      </c>
      <c r="V37" t="s">
        <v>157</v>
      </c>
      <c r="X37">
        <f>0</f>
        <v>0</v>
      </c>
      <c r="Y37" t="s">
        <v>157</v>
      </c>
      <c r="Z37">
        <f>0</f>
        <v>0</v>
      </c>
      <c r="AA37" t="s">
        <v>158</v>
      </c>
      <c r="AB37" t="s">
        <v>158</v>
      </c>
      <c r="AC37">
        <f>0</f>
        <v>0</v>
      </c>
      <c r="AD37">
        <f>0</f>
        <v>0</v>
      </c>
      <c r="AE37">
        <f>0</f>
        <v>0</v>
      </c>
      <c r="AH37" t="s">
        <v>157</v>
      </c>
    </row>
    <row r="38" spans="1:148" x14ac:dyDescent="0.25">
      <c r="A38" t="s">
        <v>316</v>
      </c>
      <c r="B38" t="s">
        <v>148</v>
      </c>
      <c r="C38" s="1">
        <v>45799</v>
      </c>
      <c r="D38" t="s">
        <v>317</v>
      </c>
      <c r="E38" t="s">
        <v>318</v>
      </c>
      <c r="F38" t="s">
        <v>319</v>
      </c>
      <c r="G38" t="s">
        <v>320</v>
      </c>
      <c r="H38">
        <v>821</v>
      </c>
      <c r="I38" t="s">
        <v>321</v>
      </c>
      <c r="J38">
        <v>9564</v>
      </c>
      <c r="K38" t="s">
        <v>5254</v>
      </c>
      <c r="L38" t="s">
        <v>180</v>
      </c>
      <c r="M38" t="s">
        <v>322</v>
      </c>
      <c r="N38" t="s">
        <v>5265</v>
      </c>
      <c r="O38" t="s">
        <v>323</v>
      </c>
      <c r="Q38" t="s">
        <v>6301</v>
      </c>
      <c r="R38">
        <f>1</f>
        <v>1</v>
      </c>
      <c r="S38">
        <f>13.7</f>
        <v>13.7</v>
      </c>
      <c r="T38">
        <f>7.9</f>
        <v>7.9</v>
      </c>
      <c r="U38">
        <f>235</f>
        <v>235</v>
      </c>
      <c r="X38">
        <f>0</f>
        <v>0</v>
      </c>
      <c r="Y38" t="s">
        <v>157</v>
      </c>
      <c r="Z38">
        <f>0</f>
        <v>0</v>
      </c>
      <c r="AA38">
        <f>1</f>
        <v>1</v>
      </c>
      <c r="AB38">
        <f>0</f>
        <v>0</v>
      </c>
      <c r="AD38">
        <f>0</f>
        <v>0</v>
      </c>
      <c r="AE38">
        <f>0</f>
        <v>0</v>
      </c>
      <c r="AH38" t="s">
        <v>157</v>
      </c>
      <c r="AI38" t="s">
        <v>167</v>
      </c>
      <c r="AL38" t="s">
        <v>168</v>
      </c>
      <c r="AM38" t="s">
        <v>216</v>
      </c>
      <c r="AN38">
        <f>2.1</f>
        <v>2.1</v>
      </c>
      <c r="AO38">
        <f>0.042</f>
        <v>4.2000000000000003E-2</v>
      </c>
      <c r="AP38">
        <f>1.4</f>
        <v>1.4</v>
      </c>
      <c r="AQ38">
        <f>1.5</f>
        <v>1.5</v>
      </c>
      <c r="AR38" t="s">
        <v>167</v>
      </c>
      <c r="AS38">
        <f>0.83</f>
        <v>0.83</v>
      </c>
      <c r="AY38" t="s">
        <v>158</v>
      </c>
      <c r="AZ38" t="s">
        <v>158</v>
      </c>
      <c r="BA38" t="s">
        <v>216</v>
      </c>
      <c r="BB38" t="s">
        <v>158</v>
      </c>
      <c r="BC38" t="s">
        <v>167</v>
      </c>
      <c r="BD38" t="s">
        <v>167</v>
      </c>
      <c r="BE38" t="s">
        <v>216</v>
      </c>
      <c r="BF38" t="s">
        <v>167</v>
      </c>
      <c r="BG38" t="s">
        <v>158</v>
      </c>
      <c r="BH38" t="s">
        <v>167</v>
      </c>
      <c r="BK38" t="s">
        <v>158</v>
      </c>
    </row>
    <row r="39" spans="1:148" x14ac:dyDescent="0.25">
      <c r="A39" t="s">
        <v>324</v>
      </c>
      <c r="B39" t="s">
        <v>148</v>
      </c>
      <c r="C39" s="1">
        <v>45707</v>
      </c>
      <c r="D39" t="s">
        <v>317</v>
      </c>
      <c r="E39" t="s">
        <v>318</v>
      </c>
      <c r="F39" t="s">
        <v>325</v>
      </c>
      <c r="G39" t="s">
        <v>326</v>
      </c>
      <c r="H39">
        <v>76</v>
      </c>
      <c r="I39" t="s">
        <v>326</v>
      </c>
      <c r="J39">
        <v>11982</v>
      </c>
      <c r="K39" t="s">
        <v>5254</v>
      </c>
      <c r="L39" t="s">
        <v>4947</v>
      </c>
      <c r="M39" t="s">
        <v>5266</v>
      </c>
      <c r="N39" t="s">
        <v>327</v>
      </c>
      <c r="O39" t="s">
        <v>328</v>
      </c>
      <c r="Q39" t="s">
        <v>329</v>
      </c>
      <c r="R39">
        <f>1</f>
        <v>1</v>
      </c>
      <c r="S39">
        <f>7.8</f>
        <v>7.8</v>
      </c>
      <c r="T39">
        <f>7.9</f>
        <v>7.9</v>
      </c>
      <c r="U39">
        <f>232</f>
        <v>232</v>
      </c>
      <c r="V39">
        <f>0.04</f>
        <v>0.04</v>
      </c>
      <c r="X39">
        <f>0</f>
        <v>0</v>
      </c>
      <c r="Y39" t="s">
        <v>157</v>
      </c>
      <c r="Z39">
        <f>0</f>
        <v>0</v>
      </c>
      <c r="AA39">
        <f>0</f>
        <v>0</v>
      </c>
      <c r="AB39">
        <f>0</f>
        <v>0</v>
      </c>
      <c r="AD39">
        <f>0</f>
        <v>0</v>
      </c>
      <c r="AE39">
        <f>0</f>
        <v>0</v>
      </c>
      <c r="AH39" t="s">
        <v>157</v>
      </c>
    </row>
    <row r="40" spans="1:148" x14ac:dyDescent="0.25">
      <c r="A40" t="s">
        <v>330</v>
      </c>
      <c r="B40" t="s">
        <v>148</v>
      </c>
      <c r="C40" s="1">
        <v>45719</v>
      </c>
      <c r="D40" t="s">
        <v>269</v>
      </c>
      <c r="E40" t="s">
        <v>295</v>
      </c>
      <c r="F40" t="s">
        <v>331</v>
      </c>
      <c r="G40" t="s">
        <v>5784</v>
      </c>
      <c r="H40">
        <v>145</v>
      </c>
      <c r="I40" t="s">
        <v>5784</v>
      </c>
      <c r="J40">
        <v>14477</v>
      </c>
      <c r="K40" t="s">
        <v>5254</v>
      </c>
      <c r="L40" t="s">
        <v>332</v>
      </c>
      <c r="M40" t="s">
        <v>333</v>
      </c>
      <c r="N40" t="s">
        <v>5267</v>
      </c>
      <c r="O40" t="s">
        <v>334</v>
      </c>
      <c r="R40">
        <f>1</f>
        <v>1</v>
      </c>
      <c r="S40">
        <f>9</f>
        <v>9</v>
      </c>
      <c r="T40">
        <f>7.5</f>
        <v>7.5</v>
      </c>
      <c r="U40">
        <f>521</f>
        <v>521</v>
      </c>
      <c r="V40">
        <f>0.04</f>
        <v>0.04</v>
      </c>
      <c r="X40">
        <f>0</f>
        <v>0</v>
      </c>
      <c r="Y40">
        <f>0.16</f>
        <v>0.16</v>
      </c>
      <c r="Z40">
        <f>0</f>
        <v>0</v>
      </c>
      <c r="AA40" t="s">
        <v>158</v>
      </c>
      <c r="AB40" t="s">
        <v>158</v>
      </c>
      <c r="AD40">
        <f>0</f>
        <v>0</v>
      </c>
      <c r="AE40">
        <f>0</f>
        <v>0</v>
      </c>
    </row>
    <row r="41" spans="1:148" x14ac:dyDescent="0.25">
      <c r="A41" t="s">
        <v>335</v>
      </c>
      <c r="B41" t="s">
        <v>148</v>
      </c>
      <c r="C41" s="1">
        <v>45719</v>
      </c>
      <c r="D41" t="s">
        <v>269</v>
      </c>
      <c r="E41" t="s">
        <v>295</v>
      </c>
      <c r="F41" t="s">
        <v>331</v>
      </c>
      <c r="G41" t="s">
        <v>5784</v>
      </c>
      <c r="H41">
        <v>145</v>
      </c>
      <c r="I41" t="s">
        <v>5784</v>
      </c>
      <c r="J41">
        <v>14477</v>
      </c>
      <c r="K41" t="s">
        <v>5254</v>
      </c>
      <c r="L41" t="s">
        <v>332</v>
      </c>
      <c r="M41" t="s">
        <v>5785</v>
      </c>
      <c r="N41" t="s">
        <v>5268</v>
      </c>
      <c r="O41" t="s">
        <v>336</v>
      </c>
      <c r="R41">
        <f>1</f>
        <v>1</v>
      </c>
      <c r="S41">
        <f>14.1</f>
        <v>14.1</v>
      </c>
      <c r="T41">
        <f>7.6</f>
        <v>7.6</v>
      </c>
      <c r="U41">
        <f>442</f>
        <v>442</v>
      </c>
      <c r="V41">
        <f>0.15</f>
        <v>0.15</v>
      </c>
      <c r="X41">
        <f>0</f>
        <v>0</v>
      </c>
      <c r="Y41">
        <f>0.22</f>
        <v>0.22</v>
      </c>
      <c r="Z41">
        <f>0</f>
        <v>0</v>
      </c>
      <c r="AA41" t="s">
        <v>158</v>
      </c>
      <c r="AB41" t="s">
        <v>158</v>
      </c>
      <c r="AD41">
        <f>0</f>
        <v>0</v>
      </c>
      <c r="AE41">
        <f>0</f>
        <v>0</v>
      </c>
    </row>
    <row r="42" spans="1:148" x14ac:dyDescent="0.25">
      <c r="A42" t="s">
        <v>337</v>
      </c>
      <c r="B42" t="s">
        <v>148</v>
      </c>
      <c r="C42" s="1">
        <v>45796</v>
      </c>
      <c r="D42" t="s">
        <v>317</v>
      </c>
      <c r="E42" t="s">
        <v>318</v>
      </c>
      <c r="F42" t="s">
        <v>338</v>
      </c>
      <c r="G42" t="s">
        <v>6538</v>
      </c>
      <c r="H42">
        <v>854</v>
      </c>
      <c r="I42" t="s">
        <v>6538</v>
      </c>
      <c r="J42">
        <v>16473</v>
      </c>
      <c r="K42" t="s">
        <v>5254</v>
      </c>
      <c r="L42" t="s">
        <v>4948</v>
      </c>
      <c r="M42" t="s">
        <v>5269</v>
      </c>
      <c r="N42" t="s">
        <v>5270</v>
      </c>
      <c r="O42" t="s">
        <v>339</v>
      </c>
      <c r="Q42" t="s">
        <v>329</v>
      </c>
      <c r="R42">
        <f>1</f>
        <v>1</v>
      </c>
      <c r="S42">
        <f>9.2</f>
        <v>9.1999999999999993</v>
      </c>
      <c r="T42">
        <f>8.1</f>
        <v>8.1</v>
      </c>
      <c r="U42">
        <f>184</f>
        <v>184</v>
      </c>
      <c r="X42">
        <f>0</f>
        <v>0</v>
      </c>
      <c r="Y42" t="s">
        <v>157</v>
      </c>
      <c r="Z42">
        <f>0</f>
        <v>0</v>
      </c>
      <c r="AA42">
        <f>0</f>
        <v>0</v>
      </c>
      <c r="AB42">
        <f>0</f>
        <v>0</v>
      </c>
      <c r="AD42">
        <f>0</f>
        <v>0</v>
      </c>
      <c r="AE42">
        <f>0</f>
        <v>0</v>
      </c>
      <c r="AH42" t="s">
        <v>157</v>
      </c>
      <c r="AI42" t="s">
        <v>167</v>
      </c>
      <c r="AL42" t="s">
        <v>168</v>
      </c>
      <c r="AM42" t="s">
        <v>216</v>
      </c>
      <c r="AN42">
        <f>2.1</f>
        <v>2.1</v>
      </c>
      <c r="AO42">
        <f>0.042</f>
        <v>4.2000000000000003E-2</v>
      </c>
      <c r="AP42">
        <f>1.4</f>
        <v>1.4</v>
      </c>
      <c r="AQ42" t="s">
        <v>167</v>
      </c>
      <c r="AR42" t="s">
        <v>167</v>
      </c>
      <c r="AS42">
        <f>0.17</f>
        <v>0.17</v>
      </c>
      <c r="AY42" t="s">
        <v>158</v>
      </c>
      <c r="AZ42" t="s">
        <v>158</v>
      </c>
      <c r="BA42" t="s">
        <v>216</v>
      </c>
      <c r="BB42" t="s">
        <v>158</v>
      </c>
      <c r="BC42" t="s">
        <v>167</v>
      </c>
      <c r="BD42" t="s">
        <v>167</v>
      </c>
      <c r="BE42" t="s">
        <v>216</v>
      </c>
      <c r="BF42" t="s">
        <v>167</v>
      </c>
      <c r="BG42" t="s">
        <v>158</v>
      </c>
      <c r="BH42" t="s">
        <v>167</v>
      </c>
      <c r="BK42" t="s">
        <v>158</v>
      </c>
    </row>
    <row r="43" spans="1:148" x14ac:dyDescent="0.25">
      <c r="A43" t="s">
        <v>340</v>
      </c>
      <c r="B43" t="s">
        <v>148</v>
      </c>
      <c r="C43" s="1">
        <v>45721</v>
      </c>
      <c r="D43" t="s">
        <v>317</v>
      </c>
      <c r="E43" t="s">
        <v>318</v>
      </c>
      <c r="F43" t="s">
        <v>338</v>
      </c>
      <c r="G43" t="s">
        <v>5786</v>
      </c>
      <c r="H43">
        <v>889</v>
      </c>
      <c r="I43" t="s">
        <v>5787</v>
      </c>
      <c r="J43">
        <v>10332</v>
      </c>
      <c r="K43" t="s">
        <v>5254</v>
      </c>
      <c r="L43" t="s">
        <v>180</v>
      </c>
      <c r="M43" t="s">
        <v>5271</v>
      </c>
      <c r="N43" t="s">
        <v>5095</v>
      </c>
      <c r="O43" t="s">
        <v>341</v>
      </c>
      <c r="Q43" t="s">
        <v>329</v>
      </c>
      <c r="R43">
        <f>1</f>
        <v>1</v>
      </c>
      <c r="S43">
        <f>7.3</f>
        <v>7.3</v>
      </c>
      <c r="T43">
        <f>8.1</f>
        <v>8.1</v>
      </c>
      <c r="U43">
        <f>166</f>
        <v>166</v>
      </c>
      <c r="X43">
        <f>0</f>
        <v>0</v>
      </c>
      <c r="Y43" t="s">
        <v>157</v>
      </c>
      <c r="Z43">
        <f>0</f>
        <v>0</v>
      </c>
      <c r="AA43">
        <f>2</f>
        <v>2</v>
      </c>
      <c r="AB43">
        <f>0</f>
        <v>0</v>
      </c>
      <c r="AD43">
        <f>0</f>
        <v>0</v>
      </c>
      <c r="AE43">
        <f>0</f>
        <v>0</v>
      </c>
      <c r="AH43" t="s">
        <v>157</v>
      </c>
    </row>
    <row r="44" spans="1:148" x14ac:dyDescent="0.25">
      <c r="A44" t="s">
        <v>342</v>
      </c>
      <c r="B44" t="s">
        <v>148</v>
      </c>
      <c r="C44" s="1">
        <v>45728</v>
      </c>
      <c r="D44" t="s">
        <v>175</v>
      </c>
      <c r="E44" t="s">
        <v>176</v>
      </c>
      <c r="F44" t="s">
        <v>343</v>
      </c>
      <c r="G44" t="s">
        <v>344</v>
      </c>
      <c r="H44">
        <v>346</v>
      </c>
      <c r="I44" t="s">
        <v>344</v>
      </c>
      <c r="J44">
        <v>21617</v>
      </c>
      <c r="K44" t="s">
        <v>5254</v>
      </c>
      <c r="L44" t="s">
        <v>180</v>
      </c>
      <c r="M44" t="s">
        <v>5272</v>
      </c>
      <c r="N44" t="s">
        <v>345</v>
      </c>
      <c r="O44" t="s">
        <v>346</v>
      </c>
      <c r="Q44" t="s">
        <v>347</v>
      </c>
      <c r="R44">
        <f>1</f>
        <v>1</v>
      </c>
      <c r="S44">
        <f>10.6</f>
        <v>10.6</v>
      </c>
      <c r="T44">
        <f>7.6</f>
        <v>7.6</v>
      </c>
      <c r="U44">
        <f>405</f>
        <v>405</v>
      </c>
      <c r="X44">
        <f>0</f>
        <v>0</v>
      </c>
      <c r="Y44" t="s">
        <v>157</v>
      </c>
      <c r="Z44">
        <f>0</f>
        <v>0</v>
      </c>
      <c r="AA44">
        <f>1</f>
        <v>1</v>
      </c>
      <c r="AB44">
        <f>1</f>
        <v>1</v>
      </c>
      <c r="AD44">
        <f>0</f>
        <v>0</v>
      </c>
      <c r="AE44">
        <f>0</f>
        <v>0</v>
      </c>
      <c r="AH44" t="s">
        <v>157</v>
      </c>
    </row>
    <row r="45" spans="1:148" x14ac:dyDescent="0.25">
      <c r="A45" t="s">
        <v>348</v>
      </c>
      <c r="B45" t="s">
        <v>148</v>
      </c>
      <c r="C45" s="1">
        <v>45722</v>
      </c>
      <c r="D45" t="s">
        <v>311</v>
      </c>
      <c r="E45" t="s">
        <v>312</v>
      </c>
      <c r="F45" t="s">
        <v>349</v>
      </c>
      <c r="G45" t="s">
        <v>5788</v>
      </c>
      <c r="H45">
        <v>895</v>
      </c>
      <c r="I45" t="s">
        <v>6539</v>
      </c>
      <c r="J45">
        <v>17000</v>
      </c>
      <c r="K45" t="s">
        <v>5257</v>
      </c>
      <c r="L45" t="s">
        <v>350</v>
      </c>
      <c r="M45" t="s">
        <v>5096</v>
      </c>
      <c r="N45" t="s">
        <v>351</v>
      </c>
      <c r="O45" t="s">
        <v>352</v>
      </c>
      <c r="R45">
        <f>1</f>
        <v>1</v>
      </c>
      <c r="S45">
        <f>9.5</f>
        <v>9.5</v>
      </c>
      <c r="T45">
        <f>7.6</f>
        <v>7.6</v>
      </c>
      <c r="U45">
        <f>330</f>
        <v>330</v>
      </c>
      <c r="V45" t="s">
        <v>157</v>
      </c>
      <c r="X45">
        <f>0</f>
        <v>0</v>
      </c>
      <c r="Y45" t="s">
        <v>157</v>
      </c>
      <c r="Z45">
        <f>0</f>
        <v>0</v>
      </c>
      <c r="AA45" t="s">
        <v>158</v>
      </c>
      <c r="AB45" t="s">
        <v>158</v>
      </c>
      <c r="AC45">
        <f>0</f>
        <v>0</v>
      </c>
      <c r="AD45">
        <f>0</f>
        <v>0</v>
      </c>
      <c r="AE45">
        <f>0</f>
        <v>0</v>
      </c>
      <c r="AH45" t="s">
        <v>157</v>
      </c>
    </row>
    <row r="46" spans="1:148" x14ac:dyDescent="0.25">
      <c r="A46" t="s">
        <v>353</v>
      </c>
      <c r="B46" t="s">
        <v>148</v>
      </c>
      <c r="C46" s="1">
        <v>45770</v>
      </c>
      <c r="D46" t="s">
        <v>175</v>
      </c>
      <c r="E46" t="s">
        <v>270</v>
      </c>
      <c r="F46" t="s">
        <v>354</v>
      </c>
      <c r="G46" t="s">
        <v>6540</v>
      </c>
      <c r="H46">
        <v>691</v>
      </c>
      <c r="I46" t="s">
        <v>6541</v>
      </c>
      <c r="J46">
        <v>20462</v>
      </c>
      <c r="K46" t="s">
        <v>5257</v>
      </c>
      <c r="L46" t="s">
        <v>355</v>
      </c>
      <c r="M46" t="s">
        <v>5789</v>
      </c>
      <c r="N46" t="s">
        <v>5273</v>
      </c>
      <c r="O46" t="s">
        <v>356</v>
      </c>
      <c r="R46">
        <f>1</f>
        <v>1</v>
      </c>
      <c r="S46">
        <f>13.9</f>
        <v>13.9</v>
      </c>
      <c r="T46">
        <f>7.8</f>
        <v>7.8</v>
      </c>
      <c r="U46">
        <f>309</f>
        <v>309</v>
      </c>
      <c r="X46">
        <f>0</f>
        <v>0</v>
      </c>
      <c r="Y46">
        <f>0.04</f>
        <v>0.04</v>
      </c>
      <c r="Z46">
        <f>0</f>
        <v>0</v>
      </c>
      <c r="AA46" t="s">
        <v>158</v>
      </c>
      <c r="AB46" t="s">
        <v>158</v>
      </c>
      <c r="AC46">
        <f>0</f>
        <v>0</v>
      </c>
      <c r="AD46">
        <f>0</f>
        <v>0</v>
      </c>
      <c r="AE46">
        <f>0</f>
        <v>0</v>
      </c>
    </row>
    <row r="47" spans="1:148" x14ac:dyDescent="0.25">
      <c r="A47" t="s">
        <v>357</v>
      </c>
      <c r="B47" t="s">
        <v>148</v>
      </c>
      <c r="C47" s="1">
        <v>45727</v>
      </c>
      <c r="D47" t="s">
        <v>175</v>
      </c>
      <c r="E47" t="s">
        <v>270</v>
      </c>
      <c r="F47" t="s">
        <v>354</v>
      </c>
      <c r="G47" t="s">
        <v>6540</v>
      </c>
      <c r="H47">
        <v>691</v>
      </c>
      <c r="I47" t="s">
        <v>6541</v>
      </c>
      <c r="J47">
        <v>20462</v>
      </c>
      <c r="K47" t="s">
        <v>5257</v>
      </c>
      <c r="L47" t="s">
        <v>355</v>
      </c>
      <c r="M47" t="s">
        <v>5790</v>
      </c>
      <c r="N47" t="s">
        <v>5791</v>
      </c>
      <c r="O47" t="s">
        <v>358</v>
      </c>
      <c r="R47">
        <f>1</f>
        <v>1</v>
      </c>
      <c r="S47">
        <f>13.6</f>
        <v>13.6</v>
      </c>
      <c r="T47">
        <f>7.6</f>
        <v>7.6</v>
      </c>
      <c r="U47">
        <f>510</f>
        <v>510</v>
      </c>
      <c r="V47">
        <f>0.11</f>
        <v>0.11</v>
      </c>
      <c r="X47">
        <f>0</f>
        <v>0</v>
      </c>
      <c r="Y47" t="s">
        <v>207</v>
      </c>
      <c r="Z47">
        <f>0</f>
        <v>0</v>
      </c>
      <c r="AA47" t="s">
        <v>158</v>
      </c>
      <c r="AB47" t="s">
        <v>158</v>
      </c>
      <c r="AC47">
        <f>0</f>
        <v>0</v>
      </c>
      <c r="AD47">
        <f>0</f>
        <v>0</v>
      </c>
      <c r="AE47">
        <f>0</f>
        <v>0</v>
      </c>
    </row>
    <row r="48" spans="1:148" x14ac:dyDescent="0.25">
      <c r="A48" t="s">
        <v>359</v>
      </c>
      <c r="B48" t="s">
        <v>148</v>
      </c>
      <c r="C48" s="1">
        <v>45723</v>
      </c>
      <c r="D48" t="s">
        <v>317</v>
      </c>
      <c r="E48" t="s">
        <v>318</v>
      </c>
      <c r="F48" t="s">
        <v>360</v>
      </c>
      <c r="G48" t="s">
        <v>361</v>
      </c>
      <c r="H48">
        <v>104</v>
      </c>
      <c r="I48" t="s">
        <v>361</v>
      </c>
      <c r="J48">
        <v>61876</v>
      </c>
      <c r="K48" t="s">
        <v>5257</v>
      </c>
      <c r="L48" t="s">
        <v>4949</v>
      </c>
      <c r="M48" t="s">
        <v>5274</v>
      </c>
      <c r="N48" t="s">
        <v>362</v>
      </c>
      <c r="O48" t="s">
        <v>363</v>
      </c>
      <c r="Q48" t="s">
        <v>329</v>
      </c>
      <c r="R48">
        <f>1</f>
        <v>1</v>
      </c>
      <c r="S48">
        <f>9.3</f>
        <v>9.3000000000000007</v>
      </c>
      <c r="T48">
        <f>8</f>
        <v>8</v>
      </c>
      <c r="U48">
        <f>225</f>
        <v>225</v>
      </c>
      <c r="X48">
        <f>0</f>
        <v>0</v>
      </c>
      <c r="Y48" t="s">
        <v>157</v>
      </c>
      <c r="Z48">
        <f>0</f>
        <v>0</v>
      </c>
      <c r="AA48">
        <f>0</f>
        <v>0</v>
      </c>
      <c r="AB48">
        <f>0</f>
        <v>0</v>
      </c>
      <c r="AC48">
        <f>0</f>
        <v>0</v>
      </c>
      <c r="AD48">
        <f>0</f>
        <v>0</v>
      </c>
      <c r="AE48">
        <f>0</f>
        <v>0</v>
      </c>
      <c r="AH48" t="s">
        <v>157</v>
      </c>
    </row>
    <row r="49" spans="1:149" x14ac:dyDescent="0.25">
      <c r="A49" t="s">
        <v>364</v>
      </c>
      <c r="B49" t="s">
        <v>148</v>
      </c>
      <c r="C49" s="1">
        <v>45723</v>
      </c>
      <c r="D49" t="s">
        <v>317</v>
      </c>
      <c r="E49" t="s">
        <v>318</v>
      </c>
      <c r="F49" t="s">
        <v>360</v>
      </c>
      <c r="G49" t="s">
        <v>361</v>
      </c>
      <c r="H49">
        <v>104</v>
      </c>
      <c r="I49" t="s">
        <v>361</v>
      </c>
      <c r="J49">
        <v>61876</v>
      </c>
      <c r="K49" t="s">
        <v>5257</v>
      </c>
      <c r="L49" t="s">
        <v>4949</v>
      </c>
      <c r="M49" t="s">
        <v>5275</v>
      </c>
      <c r="N49" t="s">
        <v>5097</v>
      </c>
      <c r="O49" t="s">
        <v>365</v>
      </c>
      <c r="Q49" t="s">
        <v>329</v>
      </c>
      <c r="R49">
        <f>1</f>
        <v>1</v>
      </c>
      <c r="S49">
        <f>8.5</f>
        <v>8.5</v>
      </c>
      <c r="T49">
        <f>8</f>
        <v>8</v>
      </c>
      <c r="U49">
        <f>240</f>
        <v>240</v>
      </c>
      <c r="X49">
        <f>0</f>
        <v>0</v>
      </c>
      <c r="Y49" t="s">
        <v>157</v>
      </c>
      <c r="Z49">
        <f>0</f>
        <v>0</v>
      </c>
      <c r="AA49">
        <f>0</f>
        <v>0</v>
      </c>
      <c r="AB49">
        <f>0</f>
        <v>0</v>
      </c>
      <c r="AC49">
        <f>0</f>
        <v>0</v>
      </c>
      <c r="AD49">
        <f>0</f>
        <v>0</v>
      </c>
      <c r="AE49">
        <f>0</f>
        <v>0</v>
      </c>
      <c r="AH49" t="s">
        <v>157</v>
      </c>
    </row>
    <row r="50" spans="1:149" x14ac:dyDescent="0.25">
      <c r="A50" t="s">
        <v>366</v>
      </c>
      <c r="B50" t="s">
        <v>148</v>
      </c>
      <c r="C50" s="1">
        <v>45723</v>
      </c>
      <c r="D50" t="s">
        <v>317</v>
      </c>
      <c r="E50" t="s">
        <v>318</v>
      </c>
      <c r="F50" t="s">
        <v>360</v>
      </c>
      <c r="G50" t="s">
        <v>361</v>
      </c>
      <c r="H50">
        <v>104</v>
      </c>
      <c r="I50" t="s">
        <v>361</v>
      </c>
      <c r="J50">
        <v>61876</v>
      </c>
      <c r="K50" t="s">
        <v>5257</v>
      </c>
      <c r="L50" t="s">
        <v>4949</v>
      </c>
      <c r="M50" t="s">
        <v>5276</v>
      </c>
      <c r="N50" t="s">
        <v>367</v>
      </c>
      <c r="O50" t="s">
        <v>368</v>
      </c>
      <c r="Q50" t="s">
        <v>329</v>
      </c>
      <c r="R50">
        <f>1</f>
        <v>1</v>
      </c>
      <c r="S50">
        <f>9.3</f>
        <v>9.3000000000000007</v>
      </c>
      <c r="T50">
        <f>8</f>
        <v>8</v>
      </c>
      <c r="U50">
        <f>240</f>
        <v>240</v>
      </c>
      <c r="X50">
        <f>0</f>
        <v>0</v>
      </c>
      <c r="Y50">
        <f>0.13</f>
        <v>0.13</v>
      </c>
      <c r="Z50">
        <f>0</f>
        <v>0</v>
      </c>
      <c r="AA50">
        <f>0</f>
        <v>0</v>
      </c>
      <c r="AB50">
        <f>0</f>
        <v>0</v>
      </c>
      <c r="AC50">
        <f>0</f>
        <v>0</v>
      </c>
      <c r="AD50">
        <f>0</f>
        <v>0</v>
      </c>
      <c r="AE50">
        <f>0</f>
        <v>0</v>
      </c>
      <c r="AH50" t="s">
        <v>157</v>
      </c>
    </row>
    <row r="51" spans="1:149" x14ac:dyDescent="0.25">
      <c r="A51" t="s">
        <v>369</v>
      </c>
      <c r="B51" t="s">
        <v>148</v>
      </c>
      <c r="C51" s="1">
        <v>45783</v>
      </c>
      <c r="D51" t="s">
        <v>175</v>
      </c>
      <c r="E51" t="s">
        <v>176</v>
      </c>
      <c r="F51" t="s">
        <v>370</v>
      </c>
      <c r="G51" t="s">
        <v>5792</v>
      </c>
      <c r="H51">
        <v>334</v>
      </c>
      <c r="I51" t="s">
        <v>5793</v>
      </c>
      <c r="J51">
        <v>36614</v>
      </c>
      <c r="K51" t="s">
        <v>5254</v>
      </c>
      <c r="L51" t="s">
        <v>4697</v>
      </c>
      <c r="M51" t="s">
        <v>5277</v>
      </c>
      <c r="N51" t="s">
        <v>5794</v>
      </c>
      <c r="O51" t="s">
        <v>371</v>
      </c>
      <c r="Q51" t="s">
        <v>6302</v>
      </c>
      <c r="R51">
        <f>1</f>
        <v>1</v>
      </c>
      <c r="S51">
        <f>14.3</f>
        <v>14.3</v>
      </c>
      <c r="T51">
        <f>7.4</f>
        <v>7.4</v>
      </c>
      <c r="U51">
        <f>510</f>
        <v>510</v>
      </c>
      <c r="X51">
        <f>0</f>
        <v>0</v>
      </c>
      <c r="Y51" t="s">
        <v>157</v>
      </c>
      <c r="Z51">
        <f>0</f>
        <v>0</v>
      </c>
      <c r="AA51">
        <f>2</f>
        <v>2</v>
      </c>
      <c r="AB51">
        <f>0</f>
        <v>0</v>
      </c>
      <c r="AD51">
        <f>0</f>
        <v>0</v>
      </c>
      <c r="AE51">
        <f>0</f>
        <v>0</v>
      </c>
      <c r="AH51" t="s">
        <v>157</v>
      </c>
      <c r="AI51" t="s">
        <v>167</v>
      </c>
      <c r="AL51" t="s">
        <v>168</v>
      </c>
      <c r="AM51" t="s">
        <v>216</v>
      </c>
      <c r="AN51">
        <f>20</f>
        <v>20</v>
      </c>
      <c r="AO51">
        <f>0.4</f>
        <v>0.4</v>
      </c>
      <c r="AP51">
        <f>7.8</f>
        <v>7.8</v>
      </c>
      <c r="AQ51">
        <f>8.8</f>
        <v>8.8000000000000007</v>
      </c>
      <c r="AR51" t="s">
        <v>167</v>
      </c>
      <c r="AS51">
        <f>4.2</f>
        <v>4.2</v>
      </c>
      <c r="AY51" t="s">
        <v>158</v>
      </c>
      <c r="AZ51" t="s">
        <v>158</v>
      </c>
      <c r="BA51">
        <f>0.013</f>
        <v>1.2999999999999999E-2</v>
      </c>
      <c r="BB51" t="s">
        <v>158</v>
      </c>
      <c r="BC51" t="s">
        <v>167</v>
      </c>
      <c r="BD51" t="s">
        <v>167</v>
      </c>
      <c r="BE51" t="s">
        <v>216</v>
      </c>
      <c r="BF51" t="s">
        <v>167</v>
      </c>
      <c r="BG51" t="s">
        <v>158</v>
      </c>
      <c r="BH51" t="s">
        <v>167</v>
      </c>
      <c r="BK51" t="s">
        <v>158</v>
      </c>
    </row>
    <row r="52" spans="1:149" x14ac:dyDescent="0.25">
      <c r="A52" t="s">
        <v>372</v>
      </c>
      <c r="B52" t="s">
        <v>148</v>
      </c>
      <c r="C52" s="1">
        <v>45722</v>
      </c>
      <c r="D52" t="s">
        <v>175</v>
      </c>
      <c r="E52" t="s">
        <v>176</v>
      </c>
      <c r="F52" t="s">
        <v>370</v>
      </c>
      <c r="G52" t="s">
        <v>5792</v>
      </c>
      <c r="H52">
        <v>334</v>
      </c>
      <c r="I52" t="s">
        <v>5793</v>
      </c>
      <c r="J52">
        <v>36614</v>
      </c>
      <c r="K52" t="s">
        <v>5254</v>
      </c>
      <c r="L52" t="s">
        <v>4697</v>
      </c>
      <c r="M52" t="s">
        <v>4950</v>
      </c>
      <c r="N52" t="s">
        <v>4951</v>
      </c>
      <c r="O52" t="s">
        <v>373</v>
      </c>
      <c r="Q52" t="s">
        <v>374</v>
      </c>
      <c r="R52">
        <f>1</f>
        <v>1</v>
      </c>
      <c r="S52">
        <f>12.2</f>
        <v>12.2</v>
      </c>
      <c r="T52">
        <f>7.4</f>
        <v>7.4</v>
      </c>
      <c r="U52">
        <f>568</f>
        <v>568</v>
      </c>
      <c r="X52">
        <f>0</f>
        <v>0</v>
      </c>
      <c r="Y52" t="s">
        <v>157</v>
      </c>
      <c r="Z52">
        <f>0</f>
        <v>0</v>
      </c>
      <c r="AA52">
        <f>12</f>
        <v>12</v>
      </c>
      <c r="AB52">
        <f>11</f>
        <v>11</v>
      </c>
      <c r="AD52">
        <f>0</f>
        <v>0</v>
      </c>
      <c r="AE52">
        <f>0</f>
        <v>0</v>
      </c>
      <c r="AH52" t="s">
        <v>157</v>
      </c>
    </row>
    <row r="53" spans="1:149" x14ac:dyDescent="0.25">
      <c r="A53" t="s">
        <v>375</v>
      </c>
      <c r="B53" t="s">
        <v>148</v>
      </c>
      <c r="C53" s="1">
        <v>45749</v>
      </c>
      <c r="D53" t="s">
        <v>175</v>
      </c>
      <c r="E53" t="s">
        <v>176</v>
      </c>
      <c r="F53" t="s">
        <v>370</v>
      </c>
      <c r="G53" t="s">
        <v>5792</v>
      </c>
      <c r="H53">
        <v>334</v>
      </c>
      <c r="I53" t="s">
        <v>5793</v>
      </c>
      <c r="J53">
        <v>36614</v>
      </c>
      <c r="K53" t="s">
        <v>5254</v>
      </c>
      <c r="L53" t="s">
        <v>4697</v>
      </c>
      <c r="M53" t="s">
        <v>5278</v>
      </c>
      <c r="N53" t="s">
        <v>4952</v>
      </c>
      <c r="O53" t="s">
        <v>376</v>
      </c>
      <c r="Q53" t="s">
        <v>329</v>
      </c>
      <c r="R53">
        <f>1</f>
        <v>1</v>
      </c>
      <c r="S53">
        <f>17.3</f>
        <v>17.3</v>
      </c>
      <c r="T53">
        <f>7.3</f>
        <v>7.3</v>
      </c>
      <c r="U53">
        <f>571</f>
        <v>571</v>
      </c>
      <c r="X53">
        <f>0</f>
        <v>0</v>
      </c>
      <c r="Y53" t="s">
        <v>157</v>
      </c>
      <c r="Z53">
        <f>0</f>
        <v>0</v>
      </c>
      <c r="AA53">
        <f>5</f>
        <v>5</v>
      </c>
      <c r="AB53">
        <f>0</f>
        <v>0</v>
      </c>
      <c r="AD53">
        <f>0</f>
        <v>0</v>
      </c>
      <c r="AE53">
        <f>0</f>
        <v>0</v>
      </c>
      <c r="AH53" t="s">
        <v>157</v>
      </c>
    </row>
    <row r="54" spans="1:149" x14ac:dyDescent="0.25">
      <c r="A54" t="s">
        <v>377</v>
      </c>
      <c r="B54" t="s">
        <v>148</v>
      </c>
      <c r="C54" s="1">
        <v>45722</v>
      </c>
      <c r="D54" t="s">
        <v>175</v>
      </c>
      <c r="E54" t="s">
        <v>176</v>
      </c>
      <c r="F54" t="s">
        <v>370</v>
      </c>
      <c r="G54" t="s">
        <v>5792</v>
      </c>
      <c r="H54">
        <v>334</v>
      </c>
      <c r="I54" t="s">
        <v>5793</v>
      </c>
      <c r="J54">
        <v>36614</v>
      </c>
      <c r="K54" t="s">
        <v>5254</v>
      </c>
      <c r="L54" t="s">
        <v>4697</v>
      </c>
      <c r="M54" t="s">
        <v>5279</v>
      </c>
      <c r="N54" t="s">
        <v>5795</v>
      </c>
      <c r="O54" t="s">
        <v>378</v>
      </c>
      <c r="Q54" t="s">
        <v>329</v>
      </c>
      <c r="R54">
        <f>1</f>
        <v>1</v>
      </c>
      <c r="S54">
        <f>8.5</f>
        <v>8.5</v>
      </c>
      <c r="T54">
        <f>7.4</f>
        <v>7.4</v>
      </c>
      <c r="U54">
        <f>572</f>
        <v>572</v>
      </c>
      <c r="X54">
        <f>0</f>
        <v>0</v>
      </c>
      <c r="Y54" t="s">
        <v>157</v>
      </c>
      <c r="Z54">
        <f>0</f>
        <v>0</v>
      </c>
      <c r="AA54">
        <f>1</f>
        <v>1</v>
      </c>
      <c r="AB54">
        <f>0</f>
        <v>0</v>
      </c>
      <c r="AD54">
        <f>0</f>
        <v>0</v>
      </c>
      <c r="AE54">
        <f>0</f>
        <v>0</v>
      </c>
      <c r="AH54" t="s">
        <v>157</v>
      </c>
    </row>
    <row r="55" spans="1:149" x14ac:dyDescent="0.25">
      <c r="A55" t="s">
        <v>379</v>
      </c>
      <c r="B55" t="s">
        <v>148</v>
      </c>
      <c r="C55" s="1">
        <v>45708</v>
      </c>
      <c r="D55" t="s">
        <v>317</v>
      </c>
      <c r="E55" t="s">
        <v>318</v>
      </c>
      <c r="F55" t="s">
        <v>5796</v>
      </c>
      <c r="G55" t="s">
        <v>5280</v>
      </c>
      <c r="H55">
        <v>68</v>
      </c>
      <c r="I55" t="s">
        <v>5797</v>
      </c>
      <c r="J55">
        <v>19626</v>
      </c>
      <c r="K55" t="s">
        <v>5254</v>
      </c>
      <c r="L55" t="s">
        <v>4953</v>
      </c>
      <c r="M55" t="s">
        <v>4698</v>
      </c>
      <c r="N55" t="s">
        <v>5798</v>
      </c>
      <c r="O55" t="s">
        <v>380</v>
      </c>
      <c r="Q55" t="s">
        <v>6301</v>
      </c>
      <c r="R55">
        <f>1</f>
        <v>1</v>
      </c>
      <c r="S55">
        <f>8.1</f>
        <v>8.1</v>
      </c>
      <c r="T55">
        <f>7.8</f>
        <v>7.8</v>
      </c>
      <c r="U55">
        <f>254</f>
        <v>254</v>
      </c>
      <c r="V55">
        <f>0.16</f>
        <v>0.16</v>
      </c>
      <c r="X55">
        <f>0</f>
        <v>0</v>
      </c>
      <c r="Y55">
        <f>0.52</f>
        <v>0.52</v>
      </c>
      <c r="Z55">
        <f>0</f>
        <v>0</v>
      </c>
      <c r="AA55">
        <f>0</f>
        <v>0</v>
      </c>
      <c r="AB55">
        <f>0</f>
        <v>0</v>
      </c>
      <c r="AD55">
        <f>0</f>
        <v>0</v>
      </c>
      <c r="AE55">
        <f>0</f>
        <v>0</v>
      </c>
      <c r="AH55" t="s">
        <v>157</v>
      </c>
    </row>
    <row r="56" spans="1:149" x14ac:dyDescent="0.25">
      <c r="A56" t="s">
        <v>381</v>
      </c>
      <c r="B56" t="s">
        <v>148</v>
      </c>
      <c r="C56" s="1">
        <v>45804</v>
      </c>
      <c r="D56" t="s">
        <v>317</v>
      </c>
      <c r="E56" t="s">
        <v>318</v>
      </c>
      <c r="F56" t="s">
        <v>5796</v>
      </c>
      <c r="G56" t="s">
        <v>5280</v>
      </c>
      <c r="H56">
        <v>68</v>
      </c>
      <c r="I56" t="s">
        <v>5797</v>
      </c>
      <c r="J56">
        <v>19626</v>
      </c>
      <c r="K56" t="s">
        <v>5254</v>
      </c>
      <c r="L56" t="s">
        <v>4953</v>
      </c>
      <c r="M56" t="s">
        <v>382</v>
      </c>
      <c r="N56" t="s">
        <v>5799</v>
      </c>
      <c r="O56" t="s">
        <v>383</v>
      </c>
      <c r="Q56" t="s">
        <v>329</v>
      </c>
      <c r="R56">
        <f>1</f>
        <v>1</v>
      </c>
      <c r="S56">
        <f>17.2</f>
        <v>17.2</v>
      </c>
      <c r="T56">
        <f>7.7</f>
        <v>7.7</v>
      </c>
      <c r="U56">
        <f>261</f>
        <v>261</v>
      </c>
      <c r="X56">
        <f>0</f>
        <v>0</v>
      </c>
      <c r="Y56">
        <f>0.95</f>
        <v>0.95</v>
      </c>
      <c r="Z56">
        <f>0</f>
        <v>0</v>
      </c>
      <c r="AA56">
        <f>1</f>
        <v>1</v>
      </c>
      <c r="AB56">
        <f>1</f>
        <v>1</v>
      </c>
      <c r="AD56">
        <f>0</f>
        <v>0</v>
      </c>
      <c r="AE56">
        <f>0</f>
        <v>0</v>
      </c>
      <c r="AH56" t="s">
        <v>157</v>
      </c>
      <c r="AI56" t="s">
        <v>167</v>
      </c>
      <c r="AL56" t="s">
        <v>168</v>
      </c>
      <c r="AM56" t="s">
        <v>216</v>
      </c>
      <c r="AN56">
        <f>2.9</f>
        <v>2.9</v>
      </c>
      <c r="AO56">
        <f>0.058</f>
        <v>5.8000000000000003E-2</v>
      </c>
      <c r="AP56">
        <f>4.5</f>
        <v>4.5</v>
      </c>
      <c r="AQ56">
        <f>1.8</f>
        <v>1.8</v>
      </c>
      <c r="AR56" t="s">
        <v>167</v>
      </c>
      <c r="AS56">
        <f>6.2</f>
        <v>6.2</v>
      </c>
      <c r="AY56" t="s">
        <v>158</v>
      </c>
      <c r="AZ56">
        <f>17</f>
        <v>17</v>
      </c>
      <c r="BA56" t="s">
        <v>216</v>
      </c>
      <c r="BB56">
        <f>39</f>
        <v>39</v>
      </c>
      <c r="BC56" t="s">
        <v>167</v>
      </c>
      <c r="BD56" t="s">
        <v>167</v>
      </c>
      <c r="BE56" t="s">
        <v>216</v>
      </c>
      <c r="BF56" t="s">
        <v>167</v>
      </c>
      <c r="BG56" t="s">
        <v>158</v>
      </c>
      <c r="BH56" t="s">
        <v>167</v>
      </c>
      <c r="BK56" t="s">
        <v>158</v>
      </c>
      <c r="EP56" t="s">
        <v>251</v>
      </c>
      <c r="EQ56" t="s">
        <v>251</v>
      </c>
      <c r="ES56" t="s">
        <v>251</v>
      </c>
    </row>
    <row r="57" spans="1:149" x14ac:dyDescent="0.25">
      <c r="A57" t="s">
        <v>384</v>
      </c>
      <c r="B57" t="s">
        <v>148</v>
      </c>
      <c r="C57" s="1">
        <v>45723</v>
      </c>
      <c r="D57" t="s">
        <v>317</v>
      </c>
      <c r="E57" t="s">
        <v>318</v>
      </c>
      <c r="F57" t="s">
        <v>360</v>
      </c>
      <c r="G57" t="s">
        <v>361</v>
      </c>
      <c r="H57">
        <v>104</v>
      </c>
      <c r="I57" t="s">
        <v>361</v>
      </c>
      <c r="J57">
        <v>61876</v>
      </c>
      <c r="K57" t="s">
        <v>5257</v>
      </c>
      <c r="L57" t="s">
        <v>4949</v>
      </c>
      <c r="M57" t="s">
        <v>5800</v>
      </c>
      <c r="N57" t="s">
        <v>5801</v>
      </c>
      <c r="O57" t="s">
        <v>385</v>
      </c>
      <c r="Q57" t="s">
        <v>329</v>
      </c>
      <c r="R57">
        <f>1</f>
        <v>1</v>
      </c>
      <c r="S57">
        <f>7.8</f>
        <v>7.8</v>
      </c>
      <c r="T57">
        <f>8</f>
        <v>8</v>
      </c>
      <c r="U57">
        <f>280</f>
        <v>280</v>
      </c>
      <c r="X57">
        <f>0</f>
        <v>0</v>
      </c>
      <c r="Y57" t="s">
        <v>157</v>
      </c>
      <c r="Z57">
        <f>0</f>
        <v>0</v>
      </c>
      <c r="AA57">
        <f>0</f>
        <v>0</v>
      </c>
      <c r="AB57">
        <f>0</f>
        <v>0</v>
      </c>
      <c r="AC57">
        <f>0</f>
        <v>0</v>
      </c>
      <c r="AD57">
        <f>0</f>
        <v>0</v>
      </c>
      <c r="AE57">
        <f>0</f>
        <v>0</v>
      </c>
      <c r="AH57" t="s">
        <v>157</v>
      </c>
    </row>
    <row r="58" spans="1:149" x14ac:dyDescent="0.25">
      <c r="A58" t="s">
        <v>386</v>
      </c>
      <c r="B58" t="s">
        <v>148</v>
      </c>
      <c r="C58" s="1">
        <v>45721</v>
      </c>
      <c r="D58" t="s">
        <v>242</v>
      </c>
      <c r="E58" t="s">
        <v>243</v>
      </c>
      <c r="F58" t="s">
        <v>5802</v>
      </c>
      <c r="G58" t="s">
        <v>5803</v>
      </c>
      <c r="H58">
        <v>1121</v>
      </c>
      <c r="I58" t="s">
        <v>5803</v>
      </c>
      <c r="J58">
        <v>14612</v>
      </c>
      <c r="K58" t="s">
        <v>5254</v>
      </c>
      <c r="L58" t="s">
        <v>387</v>
      </c>
      <c r="M58" t="s">
        <v>388</v>
      </c>
      <c r="N58" t="s">
        <v>389</v>
      </c>
      <c r="R58">
        <f>1</f>
        <v>1</v>
      </c>
      <c r="S58">
        <f>9.9</f>
        <v>9.9</v>
      </c>
      <c r="T58">
        <f>7.8</f>
        <v>7.8</v>
      </c>
      <c r="U58">
        <f>531</f>
        <v>531</v>
      </c>
      <c r="V58">
        <f>0.27</f>
        <v>0.27</v>
      </c>
      <c r="X58">
        <f>0</f>
        <v>0</v>
      </c>
      <c r="Y58" t="s">
        <v>157</v>
      </c>
      <c r="Z58">
        <f>0</f>
        <v>0</v>
      </c>
      <c r="AA58" t="s">
        <v>158</v>
      </c>
      <c r="AB58" t="s">
        <v>158</v>
      </c>
      <c r="AD58">
        <f>0</f>
        <v>0</v>
      </c>
      <c r="AE58">
        <f>0</f>
        <v>0</v>
      </c>
      <c r="AH58" t="s">
        <v>157</v>
      </c>
    </row>
    <row r="59" spans="1:149" x14ac:dyDescent="0.25">
      <c r="A59" t="s">
        <v>390</v>
      </c>
      <c r="B59" t="s">
        <v>148</v>
      </c>
      <c r="C59" s="1">
        <v>45728</v>
      </c>
      <c r="D59" t="s">
        <v>242</v>
      </c>
      <c r="E59" t="s">
        <v>243</v>
      </c>
      <c r="F59" t="s">
        <v>391</v>
      </c>
      <c r="G59" t="s">
        <v>392</v>
      </c>
      <c r="H59">
        <v>1124</v>
      </c>
      <c r="I59" t="s">
        <v>392</v>
      </c>
      <c r="J59">
        <v>11300</v>
      </c>
      <c r="K59" t="s">
        <v>5254</v>
      </c>
      <c r="L59" t="s">
        <v>393</v>
      </c>
      <c r="M59" t="s">
        <v>5281</v>
      </c>
      <c r="N59" t="s">
        <v>5804</v>
      </c>
      <c r="O59" t="s">
        <v>394</v>
      </c>
      <c r="R59">
        <f>1</f>
        <v>1</v>
      </c>
      <c r="S59">
        <f>12.3</f>
        <v>12.3</v>
      </c>
      <c r="T59">
        <f>7.7</f>
        <v>7.7</v>
      </c>
      <c r="U59">
        <f>368</f>
        <v>368</v>
      </c>
      <c r="X59">
        <f>1</f>
        <v>1</v>
      </c>
      <c r="Y59" t="s">
        <v>157</v>
      </c>
      <c r="Z59">
        <f>0</f>
        <v>0</v>
      </c>
      <c r="AA59" t="s">
        <v>158</v>
      </c>
      <c r="AB59" t="s">
        <v>158</v>
      </c>
      <c r="AD59">
        <f>0</f>
        <v>0</v>
      </c>
      <c r="AE59">
        <f>0</f>
        <v>0</v>
      </c>
      <c r="AH59" t="s">
        <v>157</v>
      </c>
    </row>
    <row r="60" spans="1:149" x14ac:dyDescent="0.25">
      <c r="A60" t="s">
        <v>395</v>
      </c>
      <c r="B60" t="s">
        <v>148</v>
      </c>
      <c r="C60" s="1">
        <v>45728</v>
      </c>
      <c r="D60" t="s">
        <v>242</v>
      </c>
      <c r="E60" t="s">
        <v>243</v>
      </c>
      <c r="F60" t="s">
        <v>5098</v>
      </c>
      <c r="G60" t="s">
        <v>5099</v>
      </c>
      <c r="H60">
        <v>1127</v>
      </c>
      <c r="I60" t="s">
        <v>5099</v>
      </c>
      <c r="J60">
        <v>13130</v>
      </c>
      <c r="K60" t="s">
        <v>5254</v>
      </c>
      <c r="L60" t="s">
        <v>387</v>
      </c>
      <c r="M60" t="s">
        <v>5282</v>
      </c>
      <c r="N60" t="s">
        <v>5805</v>
      </c>
      <c r="O60" t="s">
        <v>396</v>
      </c>
      <c r="R60">
        <f>1</f>
        <v>1</v>
      </c>
      <c r="S60">
        <f>13.2</f>
        <v>13.2</v>
      </c>
      <c r="T60">
        <f>7.2</f>
        <v>7.2</v>
      </c>
      <c r="U60">
        <f>528</f>
        <v>528</v>
      </c>
      <c r="X60">
        <f>1</f>
        <v>1</v>
      </c>
      <c r="Y60" t="s">
        <v>157</v>
      </c>
      <c r="Z60">
        <f>0</f>
        <v>0</v>
      </c>
      <c r="AA60" t="s">
        <v>158</v>
      </c>
      <c r="AB60" t="s">
        <v>158</v>
      </c>
      <c r="AD60">
        <f>0</f>
        <v>0</v>
      </c>
      <c r="AE60">
        <f>0</f>
        <v>0</v>
      </c>
      <c r="AH60" t="s">
        <v>157</v>
      </c>
    </row>
    <row r="61" spans="1:149" x14ac:dyDescent="0.25">
      <c r="A61" t="s">
        <v>397</v>
      </c>
      <c r="B61" t="s">
        <v>148</v>
      </c>
      <c r="C61" s="1">
        <v>45728</v>
      </c>
      <c r="D61" t="s">
        <v>242</v>
      </c>
      <c r="E61" t="s">
        <v>243</v>
      </c>
      <c r="F61" t="s">
        <v>5098</v>
      </c>
      <c r="G61" t="s">
        <v>5099</v>
      </c>
      <c r="H61">
        <v>1127</v>
      </c>
      <c r="I61" t="s">
        <v>5099</v>
      </c>
      <c r="J61">
        <v>13130</v>
      </c>
      <c r="K61" t="s">
        <v>5254</v>
      </c>
      <c r="L61" t="s">
        <v>387</v>
      </c>
      <c r="M61" t="s">
        <v>5100</v>
      </c>
      <c r="N61" t="s">
        <v>4699</v>
      </c>
      <c r="O61" t="s">
        <v>398</v>
      </c>
      <c r="R61">
        <f>1</f>
        <v>1</v>
      </c>
      <c r="S61">
        <f>12.3</f>
        <v>12.3</v>
      </c>
      <c r="T61">
        <f>7.9</f>
        <v>7.9</v>
      </c>
      <c r="U61">
        <f>280</f>
        <v>280</v>
      </c>
      <c r="V61">
        <f>0.27</f>
        <v>0.27</v>
      </c>
      <c r="X61">
        <f>1</f>
        <v>1</v>
      </c>
      <c r="Y61" t="s">
        <v>157</v>
      </c>
      <c r="Z61">
        <f>0</f>
        <v>0</v>
      </c>
      <c r="AA61" t="s">
        <v>158</v>
      </c>
      <c r="AB61" t="s">
        <v>158</v>
      </c>
      <c r="AD61">
        <f>0</f>
        <v>0</v>
      </c>
      <c r="AE61">
        <f>0</f>
        <v>0</v>
      </c>
      <c r="AH61" t="s">
        <v>157</v>
      </c>
    </row>
    <row r="62" spans="1:149" x14ac:dyDescent="0.25">
      <c r="A62" t="s">
        <v>399</v>
      </c>
      <c r="B62" t="s">
        <v>148</v>
      </c>
      <c r="C62" s="1">
        <v>45824</v>
      </c>
      <c r="D62" t="s">
        <v>242</v>
      </c>
      <c r="E62" t="s">
        <v>243</v>
      </c>
      <c r="F62" t="s">
        <v>5098</v>
      </c>
      <c r="G62" t="s">
        <v>5099</v>
      </c>
      <c r="H62">
        <v>1127</v>
      </c>
      <c r="I62" t="s">
        <v>5099</v>
      </c>
      <c r="J62">
        <v>13130</v>
      </c>
      <c r="K62" t="s">
        <v>5254</v>
      </c>
      <c r="L62" t="s">
        <v>387</v>
      </c>
      <c r="M62" t="s">
        <v>5283</v>
      </c>
      <c r="N62" t="s">
        <v>5101</v>
      </c>
      <c r="O62" t="s">
        <v>400</v>
      </c>
      <c r="R62">
        <f>1</f>
        <v>1</v>
      </c>
      <c r="S62">
        <f>19.3</f>
        <v>19.3</v>
      </c>
      <c r="T62">
        <f>7.6</f>
        <v>7.6</v>
      </c>
      <c r="U62">
        <f>468</f>
        <v>468</v>
      </c>
      <c r="V62">
        <f>0.25</f>
        <v>0.25</v>
      </c>
      <c r="X62">
        <f>1</f>
        <v>1</v>
      </c>
      <c r="Y62" t="s">
        <v>157</v>
      </c>
      <c r="Z62">
        <f>0</f>
        <v>0</v>
      </c>
      <c r="AA62" t="s">
        <v>158</v>
      </c>
      <c r="AB62" t="s">
        <v>158</v>
      </c>
      <c r="AD62">
        <f>0</f>
        <v>0</v>
      </c>
      <c r="AE62">
        <f>0</f>
        <v>0</v>
      </c>
      <c r="AG62" t="s">
        <v>249</v>
      </c>
      <c r="AH62" t="s">
        <v>157</v>
      </c>
      <c r="AI62" t="s">
        <v>238</v>
      </c>
      <c r="AL62" t="s">
        <v>164</v>
      </c>
      <c r="AM62" t="s">
        <v>165</v>
      </c>
      <c r="AN62">
        <f>23</f>
        <v>23</v>
      </c>
      <c r="AO62">
        <f>0.46</f>
        <v>0.46</v>
      </c>
      <c r="AP62">
        <f>18</f>
        <v>18</v>
      </c>
      <c r="AQ62">
        <f>9.5</f>
        <v>9.5</v>
      </c>
      <c r="AR62" t="s">
        <v>157</v>
      </c>
      <c r="AS62">
        <f>5.4</f>
        <v>5.4</v>
      </c>
      <c r="AT62" t="s">
        <v>250</v>
      </c>
      <c r="AY62" t="s">
        <v>167</v>
      </c>
      <c r="AZ62" t="s">
        <v>158</v>
      </c>
      <c r="BA62">
        <f>0.017</f>
        <v>1.7000000000000001E-2</v>
      </c>
      <c r="BB62" t="s">
        <v>158</v>
      </c>
      <c r="BC62" t="s">
        <v>166</v>
      </c>
      <c r="BD62" t="s">
        <v>167</v>
      </c>
      <c r="BE62">
        <f>0.0012</f>
        <v>1.1999999999999999E-3</v>
      </c>
      <c r="BF62" t="s">
        <v>168</v>
      </c>
      <c r="BG62" t="s">
        <v>167</v>
      </c>
      <c r="BH62" t="s">
        <v>167</v>
      </c>
      <c r="BK62">
        <f>0.93</f>
        <v>0.93</v>
      </c>
      <c r="BL62" t="s">
        <v>168</v>
      </c>
      <c r="BM62" t="s">
        <v>168</v>
      </c>
      <c r="BN62" t="s">
        <v>168</v>
      </c>
      <c r="BO62" t="s">
        <v>168</v>
      </c>
      <c r="BP62" t="s">
        <v>168</v>
      </c>
      <c r="BQ62" t="s">
        <v>168</v>
      </c>
      <c r="BR62" t="s">
        <v>168</v>
      </c>
      <c r="BS62" t="s">
        <v>168</v>
      </c>
      <c r="BT62" t="s">
        <v>216</v>
      </c>
      <c r="BU62" t="s">
        <v>168</v>
      </c>
      <c r="BV62" t="s">
        <v>209</v>
      </c>
      <c r="BW62" t="s">
        <v>209</v>
      </c>
      <c r="BX62" t="s">
        <v>209</v>
      </c>
      <c r="BY62" t="s">
        <v>209</v>
      </c>
      <c r="BZ62" t="s">
        <v>216</v>
      </c>
      <c r="CA62" t="s">
        <v>216</v>
      </c>
      <c r="CB62" t="s">
        <v>168</v>
      </c>
      <c r="CC62" t="s">
        <v>168</v>
      </c>
      <c r="CD62" t="s">
        <v>216</v>
      </c>
      <c r="CE62" t="s">
        <v>209</v>
      </c>
      <c r="CF62" t="s">
        <v>168</v>
      </c>
      <c r="CG62" t="s">
        <v>168</v>
      </c>
      <c r="CH62" t="s">
        <v>165</v>
      </c>
      <c r="CI62" t="s">
        <v>216</v>
      </c>
      <c r="CJ62" t="s">
        <v>216</v>
      </c>
      <c r="CK62" t="s">
        <v>216</v>
      </c>
      <c r="CL62" t="s">
        <v>216</v>
      </c>
      <c r="CM62" t="s">
        <v>216</v>
      </c>
      <c r="CN62" t="s">
        <v>216</v>
      </c>
      <c r="CQ62" t="s">
        <v>216</v>
      </c>
      <c r="CR62">
        <f>0.019</f>
        <v>1.9E-2</v>
      </c>
      <c r="CS62" t="s">
        <v>216</v>
      </c>
      <c r="CT62" t="s">
        <v>216</v>
      </c>
      <c r="CU62" t="s">
        <v>216</v>
      </c>
      <c r="CV62" t="s">
        <v>216</v>
      </c>
      <c r="CW62" t="s">
        <v>216</v>
      </c>
      <c r="CX62" t="s">
        <v>216</v>
      </c>
      <c r="CY62" t="s">
        <v>216</v>
      </c>
      <c r="CZ62" t="s">
        <v>216</v>
      </c>
      <c r="DA62" t="s">
        <v>168</v>
      </c>
      <c r="DB62" t="s">
        <v>216</v>
      </c>
      <c r="DC62" t="s">
        <v>216</v>
      </c>
      <c r="DD62" t="s">
        <v>216</v>
      </c>
      <c r="DE62" t="s">
        <v>168</v>
      </c>
      <c r="DF62" t="s">
        <v>168</v>
      </c>
      <c r="DG62" t="s">
        <v>216</v>
      </c>
      <c r="DH62" t="s">
        <v>216</v>
      </c>
      <c r="DI62" t="s">
        <v>216</v>
      </c>
      <c r="DJ62" t="s">
        <v>216</v>
      </c>
      <c r="DK62" t="s">
        <v>168</v>
      </c>
      <c r="DL62" t="s">
        <v>216</v>
      </c>
      <c r="DM62" t="s">
        <v>216</v>
      </c>
      <c r="DN62" t="s">
        <v>216</v>
      </c>
      <c r="DO62" t="s">
        <v>216</v>
      </c>
      <c r="DP62" t="s">
        <v>168</v>
      </c>
      <c r="DQ62" t="s">
        <v>216</v>
      </c>
      <c r="DR62" t="s">
        <v>168</v>
      </c>
      <c r="DS62" t="s">
        <v>168</v>
      </c>
      <c r="DT62" t="s">
        <v>168</v>
      </c>
      <c r="DU62" t="s">
        <v>168</v>
      </c>
      <c r="DV62" t="s">
        <v>168</v>
      </c>
      <c r="DW62" t="s">
        <v>168</v>
      </c>
      <c r="DX62" t="s">
        <v>168</v>
      </c>
      <c r="DY62" t="s">
        <v>168</v>
      </c>
      <c r="DZ62" t="s">
        <v>209</v>
      </c>
      <c r="EA62" t="s">
        <v>216</v>
      </c>
      <c r="EB62" t="s">
        <v>168</v>
      </c>
      <c r="EC62" t="s">
        <v>168</v>
      </c>
      <c r="ED62" t="s">
        <v>209</v>
      </c>
      <c r="EE62" t="s">
        <v>168</v>
      </c>
      <c r="EL62">
        <f>0.37</f>
        <v>0.37</v>
      </c>
      <c r="EM62">
        <f>0.61</f>
        <v>0.61</v>
      </c>
      <c r="EN62">
        <f>0.55</f>
        <v>0.55000000000000004</v>
      </c>
      <c r="EO62">
        <f>1.2</f>
        <v>1.2</v>
      </c>
      <c r="ER62">
        <f>2.7</f>
        <v>2.7</v>
      </c>
    </row>
    <row r="63" spans="1:149" x14ac:dyDescent="0.25">
      <c r="A63" t="s">
        <v>401</v>
      </c>
      <c r="B63" t="s">
        <v>148</v>
      </c>
      <c r="C63" s="1">
        <v>45817</v>
      </c>
      <c r="D63" t="s">
        <v>242</v>
      </c>
      <c r="E63" t="s">
        <v>243</v>
      </c>
      <c r="F63" t="s">
        <v>5284</v>
      </c>
      <c r="G63" t="s">
        <v>6542</v>
      </c>
      <c r="H63">
        <v>1523</v>
      </c>
      <c r="I63" t="s">
        <v>6543</v>
      </c>
      <c r="J63">
        <v>15615</v>
      </c>
      <c r="K63" t="s">
        <v>5254</v>
      </c>
      <c r="L63" t="s">
        <v>387</v>
      </c>
      <c r="M63" t="s">
        <v>5285</v>
      </c>
      <c r="N63" t="s">
        <v>5286</v>
      </c>
      <c r="O63" t="s">
        <v>402</v>
      </c>
      <c r="R63">
        <f>1</f>
        <v>1</v>
      </c>
      <c r="S63">
        <f>15.2</f>
        <v>15.2</v>
      </c>
      <c r="T63">
        <f>7.5</f>
        <v>7.5</v>
      </c>
      <c r="U63">
        <f>456</f>
        <v>456</v>
      </c>
      <c r="V63">
        <f>0.18</f>
        <v>0.18</v>
      </c>
      <c r="X63">
        <f>1</f>
        <v>1</v>
      </c>
      <c r="Y63">
        <f>0.24</f>
        <v>0.24</v>
      </c>
      <c r="Z63">
        <f>0</f>
        <v>0</v>
      </c>
      <c r="AA63" t="s">
        <v>158</v>
      </c>
      <c r="AB63" t="s">
        <v>158</v>
      </c>
      <c r="AD63">
        <f>0</f>
        <v>0</v>
      </c>
      <c r="AE63">
        <f>0</f>
        <v>0</v>
      </c>
      <c r="AH63" t="s">
        <v>157</v>
      </c>
      <c r="AI63" t="s">
        <v>238</v>
      </c>
      <c r="AL63" t="s">
        <v>164</v>
      </c>
      <c r="AM63" t="s">
        <v>165</v>
      </c>
      <c r="AN63">
        <f>6.2</f>
        <v>6.2</v>
      </c>
      <c r="AO63">
        <f>0.12</f>
        <v>0.12</v>
      </c>
      <c r="AP63">
        <f>11</f>
        <v>11</v>
      </c>
      <c r="AQ63">
        <f>2.9</f>
        <v>2.9</v>
      </c>
      <c r="AR63" t="s">
        <v>157</v>
      </c>
      <c r="AS63">
        <f>1.4</f>
        <v>1.4</v>
      </c>
      <c r="AY63" t="s">
        <v>167</v>
      </c>
      <c r="AZ63" t="s">
        <v>158</v>
      </c>
      <c r="BA63" t="s">
        <v>216</v>
      </c>
      <c r="BB63" t="s">
        <v>158</v>
      </c>
      <c r="BC63" t="s">
        <v>166</v>
      </c>
      <c r="BD63" t="s">
        <v>167</v>
      </c>
      <c r="BE63">
        <f>0.0056</f>
        <v>5.5999999999999999E-3</v>
      </c>
      <c r="BF63" t="s">
        <v>168</v>
      </c>
      <c r="BG63" t="s">
        <v>167</v>
      </c>
      <c r="BH63">
        <f>1.5</f>
        <v>1.5</v>
      </c>
      <c r="BK63">
        <f>0.25</f>
        <v>0.25</v>
      </c>
    </row>
    <row r="64" spans="1:149" x14ac:dyDescent="0.25">
      <c r="A64" t="s">
        <v>403</v>
      </c>
      <c r="B64" t="s">
        <v>148</v>
      </c>
      <c r="C64" s="1">
        <v>45726</v>
      </c>
      <c r="D64" t="s">
        <v>242</v>
      </c>
      <c r="E64" t="s">
        <v>243</v>
      </c>
      <c r="F64" t="s">
        <v>5284</v>
      </c>
      <c r="G64" t="s">
        <v>5806</v>
      </c>
      <c r="H64">
        <v>1133</v>
      </c>
      <c r="I64" t="s">
        <v>5807</v>
      </c>
      <c r="J64">
        <v>12771</v>
      </c>
      <c r="K64" t="s">
        <v>5254</v>
      </c>
      <c r="L64" t="s">
        <v>387</v>
      </c>
      <c r="M64" t="s">
        <v>5808</v>
      </c>
      <c r="N64" t="s">
        <v>5809</v>
      </c>
      <c r="O64" t="s">
        <v>404</v>
      </c>
      <c r="R64">
        <f>1</f>
        <v>1</v>
      </c>
      <c r="S64">
        <f>9.9</f>
        <v>9.9</v>
      </c>
      <c r="T64">
        <f>7.4</f>
        <v>7.4</v>
      </c>
      <c r="U64">
        <f>521</f>
        <v>521</v>
      </c>
      <c r="V64">
        <f>0.07</f>
        <v>7.0000000000000007E-2</v>
      </c>
      <c r="X64">
        <f>0</f>
        <v>0</v>
      </c>
      <c r="Y64" t="s">
        <v>157</v>
      </c>
      <c r="Z64">
        <f>0</f>
        <v>0</v>
      </c>
      <c r="AA64" t="s">
        <v>158</v>
      </c>
      <c r="AB64" t="s">
        <v>158</v>
      </c>
      <c r="AD64">
        <f>0</f>
        <v>0</v>
      </c>
      <c r="AE64">
        <f>0</f>
        <v>0</v>
      </c>
      <c r="AH64" t="s">
        <v>157</v>
      </c>
    </row>
    <row r="65" spans="1:148" x14ac:dyDescent="0.25">
      <c r="A65" t="s">
        <v>405</v>
      </c>
      <c r="B65" t="s">
        <v>148</v>
      </c>
      <c r="C65" s="1">
        <v>45726</v>
      </c>
      <c r="D65" t="s">
        <v>242</v>
      </c>
      <c r="E65" t="s">
        <v>243</v>
      </c>
      <c r="F65" t="s">
        <v>5284</v>
      </c>
      <c r="G65" t="s">
        <v>5806</v>
      </c>
      <c r="H65">
        <v>1133</v>
      </c>
      <c r="I65" t="s">
        <v>5807</v>
      </c>
      <c r="J65">
        <v>12771</v>
      </c>
      <c r="K65" t="s">
        <v>5254</v>
      </c>
      <c r="L65" t="s">
        <v>387</v>
      </c>
      <c r="M65" t="s">
        <v>5810</v>
      </c>
      <c r="N65" t="s">
        <v>5811</v>
      </c>
      <c r="O65" t="s">
        <v>406</v>
      </c>
      <c r="R65">
        <f>1</f>
        <v>1</v>
      </c>
      <c r="S65">
        <f>10.3</f>
        <v>10.3</v>
      </c>
      <c r="T65">
        <f>7.5</f>
        <v>7.5</v>
      </c>
      <c r="U65">
        <f>521</f>
        <v>521</v>
      </c>
      <c r="V65">
        <f>0.05</f>
        <v>0.05</v>
      </c>
      <c r="X65">
        <f>0</f>
        <v>0</v>
      </c>
      <c r="Y65" t="s">
        <v>157</v>
      </c>
      <c r="Z65">
        <f>0</f>
        <v>0</v>
      </c>
      <c r="AA65" t="s">
        <v>158</v>
      </c>
      <c r="AB65" t="s">
        <v>158</v>
      </c>
      <c r="AD65">
        <f>0</f>
        <v>0</v>
      </c>
      <c r="AE65">
        <f>0</f>
        <v>0</v>
      </c>
      <c r="AH65" t="s">
        <v>157</v>
      </c>
    </row>
    <row r="66" spans="1:148" x14ac:dyDescent="0.25">
      <c r="A66" t="s">
        <v>407</v>
      </c>
      <c r="B66" t="s">
        <v>148</v>
      </c>
      <c r="C66" s="1">
        <v>45719</v>
      </c>
      <c r="D66" t="s">
        <v>242</v>
      </c>
      <c r="E66" t="s">
        <v>295</v>
      </c>
      <c r="F66" t="s">
        <v>4944</v>
      </c>
      <c r="G66" t="s">
        <v>5092</v>
      </c>
      <c r="H66">
        <v>316</v>
      </c>
      <c r="I66" t="s">
        <v>5092</v>
      </c>
      <c r="J66">
        <v>18031</v>
      </c>
      <c r="K66" t="s">
        <v>5254</v>
      </c>
      <c r="L66" t="s">
        <v>154</v>
      </c>
      <c r="M66" t="s">
        <v>5287</v>
      </c>
      <c r="N66" t="s">
        <v>5288</v>
      </c>
      <c r="O66" t="s">
        <v>408</v>
      </c>
      <c r="R66">
        <f>1</f>
        <v>1</v>
      </c>
      <c r="S66">
        <f>9.6</f>
        <v>9.6</v>
      </c>
      <c r="T66">
        <f>7.6</f>
        <v>7.6</v>
      </c>
      <c r="U66">
        <f>539</f>
        <v>539</v>
      </c>
      <c r="V66">
        <f>0.23</f>
        <v>0.23</v>
      </c>
      <c r="X66">
        <f>0</f>
        <v>0</v>
      </c>
      <c r="Y66">
        <f>0.18</f>
        <v>0.18</v>
      </c>
      <c r="Z66">
        <f>0</f>
        <v>0</v>
      </c>
      <c r="AA66" t="s">
        <v>158</v>
      </c>
      <c r="AB66" t="s">
        <v>158</v>
      </c>
      <c r="AD66">
        <f>0</f>
        <v>0</v>
      </c>
      <c r="AE66">
        <f>0</f>
        <v>0</v>
      </c>
    </row>
    <row r="67" spans="1:148" x14ac:dyDescent="0.25">
      <c r="A67" t="s">
        <v>409</v>
      </c>
      <c r="B67" t="s">
        <v>148</v>
      </c>
      <c r="C67" s="1">
        <v>45749</v>
      </c>
      <c r="D67" t="s">
        <v>269</v>
      </c>
      <c r="E67" t="s">
        <v>270</v>
      </c>
      <c r="F67" t="s">
        <v>271</v>
      </c>
      <c r="G67" t="s">
        <v>6529</v>
      </c>
      <c r="H67">
        <v>592</v>
      </c>
      <c r="I67" t="s">
        <v>6529</v>
      </c>
      <c r="J67">
        <v>13513</v>
      </c>
      <c r="K67" t="s">
        <v>5257</v>
      </c>
      <c r="L67" t="s">
        <v>4940</v>
      </c>
      <c r="M67" t="s">
        <v>410</v>
      </c>
      <c r="N67" t="s">
        <v>411</v>
      </c>
      <c r="O67" t="s">
        <v>412</v>
      </c>
      <c r="R67">
        <f>1</f>
        <v>1</v>
      </c>
      <c r="S67">
        <f>11.4</f>
        <v>11.4</v>
      </c>
      <c r="T67">
        <f>7.9</f>
        <v>7.9</v>
      </c>
      <c r="U67">
        <f>402</f>
        <v>402</v>
      </c>
      <c r="V67">
        <f>0.2</f>
        <v>0.2</v>
      </c>
      <c r="X67">
        <f>0</f>
        <v>0</v>
      </c>
      <c r="Y67">
        <f>0.22</f>
        <v>0.22</v>
      </c>
      <c r="Z67">
        <f>0</f>
        <v>0</v>
      </c>
      <c r="AA67" t="s">
        <v>158</v>
      </c>
      <c r="AB67" t="s">
        <v>158</v>
      </c>
      <c r="AC67">
        <f>0</f>
        <v>0</v>
      </c>
      <c r="AD67">
        <f>0</f>
        <v>0</v>
      </c>
      <c r="AE67">
        <f>0</f>
        <v>0</v>
      </c>
      <c r="AH67" t="s">
        <v>166</v>
      </c>
      <c r="AI67">
        <f>0.46</f>
        <v>0.46</v>
      </c>
      <c r="AL67" t="s">
        <v>216</v>
      </c>
      <c r="AM67" t="s">
        <v>266</v>
      </c>
      <c r="AN67">
        <f>5.11</f>
        <v>5.1100000000000003</v>
      </c>
      <c r="AO67">
        <f>0.102</f>
        <v>0.10199999999999999</v>
      </c>
      <c r="AP67">
        <f>3.11</f>
        <v>3.11</v>
      </c>
      <c r="AQ67">
        <f>3.66</f>
        <v>3.66</v>
      </c>
      <c r="AR67" t="s">
        <v>209</v>
      </c>
      <c r="AS67">
        <f>2.6</f>
        <v>2.6</v>
      </c>
      <c r="AY67" t="s">
        <v>157</v>
      </c>
      <c r="AZ67" t="s">
        <v>208</v>
      </c>
      <c r="BA67">
        <f>0.0043</f>
        <v>4.3E-3</v>
      </c>
      <c r="BB67">
        <f>3.4</f>
        <v>3.4</v>
      </c>
      <c r="BC67" t="s">
        <v>209</v>
      </c>
      <c r="BD67">
        <f>0.1</f>
        <v>0.1</v>
      </c>
      <c r="BE67">
        <f>0.0047</f>
        <v>4.7000000000000002E-3</v>
      </c>
      <c r="BF67" t="s">
        <v>168</v>
      </c>
      <c r="BG67">
        <f>0.5</f>
        <v>0.5</v>
      </c>
      <c r="BH67" t="s">
        <v>157</v>
      </c>
      <c r="BK67">
        <f>0.31</f>
        <v>0.31</v>
      </c>
      <c r="EL67">
        <f>3.5</f>
        <v>3.5</v>
      </c>
      <c r="EM67" t="s">
        <v>238</v>
      </c>
      <c r="EN67">
        <f>1.8</f>
        <v>1.8</v>
      </c>
      <c r="EO67">
        <f>0.6</f>
        <v>0.6</v>
      </c>
      <c r="ER67">
        <f>5.9</f>
        <v>5.9</v>
      </c>
    </row>
    <row r="68" spans="1:148" x14ac:dyDescent="0.25">
      <c r="A68" t="s">
        <v>413</v>
      </c>
      <c r="B68" t="s">
        <v>148</v>
      </c>
      <c r="C68" s="1">
        <v>45716</v>
      </c>
      <c r="D68" t="s">
        <v>242</v>
      </c>
      <c r="E68" t="s">
        <v>243</v>
      </c>
      <c r="F68" t="s">
        <v>244</v>
      </c>
      <c r="G68" t="s">
        <v>245</v>
      </c>
      <c r="H68">
        <v>154</v>
      </c>
      <c r="I68" t="s">
        <v>4695</v>
      </c>
      <c r="J68">
        <v>54400</v>
      </c>
      <c r="K68" t="s">
        <v>5257</v>
      </c>
      <c r="L68" t="s">
        <v>246</v>
      </c>
      <c r="M68" t="s">
        <v>414</v>
      </c>
      <c r="N68" t="s">
        <v>415</v>
      </c>
      <c r="O68" t="s">
        <v>416</v>
      </c>
      <c r="R68">
        <f>1</f>
        <v>1</v>
      </c>
      <c r="S68">
        <f>9.6</f>
        <v>9.6</v>
      </c>
      <c r="T68">
        <f>7.4</f>
        <v>7.4</v>
      </c>
      <c r="U68">
        <f>567</f>
        <v>567</v>
      </c>
      <c r="V68">
        <f>0.2</f>
        <v>0.2</v>
      </c>
      <c r="X68">
        <f>0</f>
        <v>0</v>
      </c>
      <c r="Y68" t="s">
        <v>157</v>
      </c>
      <c r="Z68">
        <f>0</f>
        <v>0</v>
      </c>
      <c r="AA68" t="s">
        <v>158</v>
      </c>
      <c r="AB68" t="s">
        <v>158</v>
      </c>
      <c r="AC68">
        <f>0</f>
        <v>0</v>
      </c>
      <c r="AD68">
        <f>0</f>
        <v>0</v>
      </c>
      <c r="AE68">
        <f>0</f>
        <v>0</v>
      </c>
      <c r="AH68" t="s">
        <v>157</v>
      </c>
    </row>
    <row r="69" spans="1:148" x14ac:dyDescent="0.25">
      <c r="A69" t="s">
        <v>417</v>
      </c>
      <c r="B69" t="s">
        <v>148</v>
      </c>
      <c r="C69" s="1">
        <v>45722</v>
      </c>
      <c r="D69" t="s">
        <v>311</v>
      </c>
      <c r="E69" t="s">
        <v>312</v>
      </c>
      <c r="F69" t="s">
        <v>418</v>
      </c>
      <c r="G69" t="s">
        <v>419</v>
      </c>
      <c r="H69">
        <v>782</v>
      </c>
      <c r="I69" t="s">
        <v>420</v>
      </c>
      <c r="J69">
        <v>28100</v>
      </c>
      <c r="K69" t="s">
        <v>5254</v>
      </c>
      <c r="L69" t="s">
        <v>180</v>
      </c>
      <c r="M69" t="s">
        <v>421</v>
      </c>
      <c r="N69" t="s">
        <v>6544</v>
      </c>
      <c r="O69" t="s">
        <v>422</v>
      </c>
      <c r="R69">
        <f>1</f>
        <v>1</v>
      </c>
      <c r="S69">
        <f>10.3</f>
        <v>10.3</v>
      </c>
      <c r="T69">
        <f>7.5</f>
        <v>7.5</v>
      </c>
      <c r="U69">
        <f>435</f>
        <v>435</v>
      </c>
      <c r="X69">
        <f>0</f>
        <v>0</v>
      </c>
      <c r="Y69" t="s">
        <v>157</v>
      </c>
      <c r="Z69">
        <f>0</f>
        <v>0</v>
      </c>
      <c r="AA69" t="s">
        <v>158</v>
      </c>
      <c r="AB69" t="s">
        <v>158</v>
      </c>
      <c r="AD69">
        <f>0</f>
        <v>0</v>
      </c>
      <c r="AE69">
        <f>0</f>
        <v>0</v>
      </c>
      <c r="AH69" t="s">
        <v>157</v>
      </c>
    </row>
    <row r="70" spans="1:148" x14ac:dyDescent="0.25">
      <c r="A70" t="s">
        <v>423</v>
      </c>
      <c r="B70" t="s">
        <v>148</v>
      </c>
      <c r="C70" s="1">
        <v>45727</v>
      </c>
      <c r="D70" t="s">
        <v>311</v>
      </c>
      <c r="E70" t="s">
        <v>312</v>
      </c>
      <c r="F70" t="s">
        <v>424</v>
      </c>
      <c r="G70" t="s">
        <v>425</v>
      </c>
      <c r="H70">
        <v>799</v>
      </c>
      <c r="I70" t="s">
        <v>4700</v>
      </c>
      <c r="J70">
        <v>84503</v>
      </c>
      <c r="K70" t="s">
        <v>5254</v>
      </c>
      <c r="L70" t="s">
        <v>180</v>
      </c>
      <c r="M70" t="s">
        <v>426</v>
      </c>
      <c r="N70" t="s">
        <v>5812</v>
      </c>
      <c r="O70" t="s">
        <v>427</v>
      </c>
      <c r="R70">
        <f>1</f>
        <v>1</v>
      </c>
      <c r="S70">
        <f>9</f>
        <v>9</v>
      </c>
      <c r="T70">
        <f>7.7</f>
        <v>7.7</v>
      </c>
      <c r="U70">
        <f>483</f>
        <v>483</v>
      </c>
      <c r="X70">
        <f>0</f>
        <v>0</v>
      </c>
      <c r="Y70" t="s">
        <v>157</v>
      </c>
      <c r="Z70">
        <f>0</f>
        <v>0</v>
      </c>
      <c r="AA70">
        <f>13</f>
        <v>13</v>
      </c>
      <c r="AB70">
        <f>16</f>
        <v>16</v>
      </c>
      <c r="AD70">
        <f>0</f>
        <v>0</v>
      </c>
      <c r="AE70">
        <f>0</f>
        <v>0</v>
      </c>
      <c r="AH70" t="s">
        <v>157</v>
      </c>
    </row>
    <row r="71" spans="1:148" x14ac:dyDescent="0.25">
      <c r="A71" t="s">
        <v>428</v>
      </c>
      <c r="B71" t="s">
        <v>148</v>
      </c>
      <c r="C71" s="1">
        <v>45831</v>
      </c>
      <c r="D71" t="s">
        <v>222</v>
      </c>
      <c r="E71" t="s">
        <v>223</v>
      </c>
      <c r="F71" t="s">
        <v>429</v>
      </c>
      <c r="G71" t="s">
        <v>430</v>
      </c>
      <c r="H71">
        <v>1281</v>
      </c>
      <c r="I71" t="s">
        <v>430</v>
      </c>
      <c r="J71">
        <v>5254</v>
      </c>
      <c r="K71" t="s">
        <v>5254</v>
      </c>
      <c r="L71" t="s">
        <v>431</v>
      </c>
      <c r="M71" t="s">
        <v>5289</v>
      </c>
      <c r="N71" t="s">
        <v>4701</v>
      </c>
      <c r="O71" t="s">
        <v>432</v>
      </c>
      <c r="Q71" t="s">
        <v>6303</v>
      </c>
      <c r="R71">
        <f>1</f>
        <v>1</v>
      </c>
      <c r="S71">
        <f>16.6</f>
        <v>16.600000000000001</v>
      </c>
      <c r="T71">
        <f>8</f>
        <v>8</v>
      </c>
      <c r="U71">
        <f>323</f>
        <v>323</v>
      </c>
      <c r="X71">
        <f>1</f>
        <v>1</v>
      </c>
      <c r="Y71">
        <f>0.06</f>
        <v>0.06</v>
      </c>
      <c r="Z71">
        <f>0</f>
        <v>0</v>
      </c>
      <c r="AA71">
        <f>0</f>
        <v>0</v>
      </c>
      <c r="AB71">
        <f>0</f>
        <v>0</v>
      </c>
      <c r="AD71">
        <f>0</f>
        <v>0</v>
      </c>
      <c r="AE71">
        <f>0</f>
        <v>0</v>
      </c>
      <c r="AH71" t="s">
        <v>166</v>
      </c>
    </row>
    <row r="72" spans="1:148" x14ac:dyDescent="0.25">
      <c r="A72" t="s">
        <v>433</v>
      </c>
      <c r="B72" t="s">
        <v>148</v>
      </c>
      <c r="C72" s="1">
        <v>45727</v>
      </c>
      <c r="D72" t="s">
        <v>175</v>
      </c>
      <c r="E72" t="s">
        <v>270</v>
      </c>
      <c r="F72" t="s">
        <v>354</v>
      </c>
      <c r="G72" t="s">
        <v>6540</v>
      </c>
      <c r="H72">
        <v>691</v>
      </c>
      <c r="I72" t="s">
        <v>6541</v>
      </c>
      <c r="J72">
        <v>20462</v>
      </c>
      <c r="K72" t="s">
        <v>5257</v>
      </c>
      <c r="L72" t="s">
        <v>355</v>
      </c>
      <c r="M72" t="s">
        <v>5290</v>
      </c>
      <c r="N72" t="s">
        <v>434</v>
      </c>
      <c r="O72" t="s">
        <v>435</v>
      </c>
      <c r="R72">
        <f>1</f>
        <v>1</v>
      </c>
      <c r="S72">
        <f>13.2</f>
        <v>13.2</v>
      </c>
      <c r="T72">
        <f>7.9</f>
        <v>7.9</v>
      </c>
      <c r="U72">
        <f>302</f>
        <v>302</v>
      </c>
      <c r="V72">
        <f>0.2</f>
        <v>0.2</v>
      </c>
      <c r="X72">
        <f>0</f>
        <v>0</v>
      </c>
      <c r="Y72" t="s">
        <v>207</v>
      </c>
      <c r="Z72">
        <f>0</f>
        <v>0</v>
      </c>
      <c r="AA72">
        <f>11</f>
        <v>11</v>
      </c>
      <c r="AB72">
        <f>11</f>
        <v>11</v>
      </c>
      <c r="AC72">
        <f>0</f>
        <v>0</v>
      </c>
      <c r="AD72">
        <f>0</f>
        <v>0</v>
      </c>
      <c r="AE72">
        <f>0</f>
        <v>0</v>
      </c>
      <c r="AH72" t="s">
        <v>166</v>
      </c>
      <c r="AI72">
        <f>1.47</f>
        <v>1.47</v>
      </c>
      <c r="AL72" t="s">
        <v>216</v>
      </c>
      <c r="AM72" t="s">
        <v>266</v>
      </c>
      <c r="AN72">
        <f>5.71</f>
        <v>5.71</v>
      </c>
      <c r="AO72">
        <f>0.114</f>
        <v>0.114</v>
      </c>
      <c r="AP72">
        <f>2.6</f>
        <v>2.6</v>
      </c>
      <c r="AQ72">
        <f>2.35</f>
        <v>2.35</v>
      </c>
      <c r="AR72" t="s">
        <v>209</v>
      </c>
      <c r="AS72">
        <f>1</f>
        <v>1</v>
      </c>
      <c r="AY72" t="s">
        <v>157</v>
      </c>
      <c r="AZ72" t="s">
        <v>208</v>
      </c>
      <c r="BA72">
        <f>0.0016</f>
        <v>1.6000000000000001E-3</v>
      </c>
      <c r="BB72">
        <f>8.2</f>
        <v>8.1999999999999993</v>
      </c>
      <c r="BC72" t="s">
        <v>209</v>
      </c>
      <c r="BD72">
        <f>0.1</f>
        <v>0.1</v>
      </c>
      <c r="BE72">
        <f>0.0037</f>
        <v>3.7000000000000002E-3</v>
      </c>
      <c r="BF72">
        <f>0.059</f>
        <v>5.8999999999999997E-2</v>
      </c>
      <c r="BG72" t="s">
        <v>237</v>
      </c>
      <c r="BH72" t="s">
        <v>157</v>
      </c>
      <c r="BK72">
        <f>0.4</f>
        <v>0.4</v>
      </c>
      <c r="EL72">
        <f>19</f>
        <v>19</v>
      </c>
      <c r="EM72" t="s">
        <v>238</v>
      </c>
      <c r="EN72">
        <f>1.9</f>
        <v>1.9</v>
      </c>
      <c r="EO72" t="s">
        <v>300</v>
      </c>
      <c r="ER72">
        <f>21</f>
        <v>21</v>
      </c>
    </row>
    <row r="73" spans="1:148" x14ac:dyDescent="0.25">
      <c r="A73" t="s">
        <v>436</v>
      </c>
      <c r="B73" t="s">
        <v>148</v>
      </c>
      <c r="C73" s="1">
        <v>45721</v>
      </c>
      <c r="D73" t="s">
        <v>311</v>
      </c>
      <c r="E73" t="s">
        <v>312</v>
      </c>
      <c r="F73" t="s">
        <v>349</v>
      </c>
      <c r="G73" t="s">
        <v>5788</v>
      </c>
      <c r="H73">
        <v>895</v>
      </c>
      <c r="I73" t="s">
        <v>6539</v>
      </c>
      <c r="J73">
        <v>17000</v>
      </c>
      <c r="K73" t="s">
        <v>5257</v>
      </c>
      <c r="L73" t="s">
        <v>350</v>
      </c>
      <c r="M73" t="s">
        <v>6545</v>
      </c>
      <c r="N73" t="s">
        <v>5813</v>
      </c>
      <c r="O73" t="s">
        <v>437</v>
      </c>
      <c r="R73">
        <f>1</f>
        <v>1</v>
      </c>
      <c r="S73">
        <f>9.5</f>
        <v>9.5</v>
      </c>
      <c r="T73">
        <f>7.7</f>
        <v>7.7</v>
      </c>
      <c r="U73">
        <f>112</f>
        <v>112</v>
      </c>
      <c r="V73" t="s">
        <v>157</v>
      </c>
      <c r="X73">
        <f>0</f>
        <v>0</v>
      </c>
      <c r="Y73" t="s">
        <v>157</v>
      </c>
      <c r="Z73">
        <f>0</f>
        <v>0</v>
      </c>
      <c r="AA73" t="s">
        <v>158</v>
      </c>
      <c r="AB73" t="s">
        <v>158</v>
      </c>
      <c r="AC73">
        <f>0</f>
        <v>0</v>
      </c>
      <c r="AD73">
        <f>0</f>
        <v>0</v>
      </c>
      <c r="AE73">
        <f>0</f>
        <v>0</v>
      </c>
      <c r="AH73" t="s">
        <v>157</v>
      </c>
    </row>
    <row r="74" spans="1:148" x14ac:dyDescent="0.25">
      <c r="A74" t="s">
        <v>438</v>
      </c>
      <c r="B74" t="s">
        <v>148</v>
      </c>
      <c r="C74" s="1">
        <v>45714</v>
      </c>
      <c r="D74" t="s">
        <v>311</v>
      </c>
      <c r="E74" t="s">
        <v>312</v>
      </c>
      <c r="F74" t="s">
        <v>424</v>
      </c>
      <c r="G74" t="s">
        <v>425</v>
      </c>
      <c r="H74">
        <v>800</v>
      </c>
      <c r="I74" t="s">
        <v>6546</v>
      </c>
      <c r="J74">
        <v>26904</v>
      </c>
      <c r="K74" t="s">
        <v>5254</v>
      </c>
      <c r="L74" t="s">
        <v>439</v>
      </c>
      <c r="M74" t="s">
        <v>6547</v>
      </c>
      <c r="N74" t="s">
        <v>6548</v>
      </c>
      <c r="O74" t="s">
        <v>440</v>
      </c>
      <c r="R74">
        <f>1</f>
        <v>1</v>
      </c>
      <c r="S74">
        <f>10.5</f>
        <v>10.5</v>
      </c>
      <c r="T74">
        <f>7.4</f>
        <v>7.4</v>
      </c>
      <c r="U74">
        <f>502</f>
        <v>502</v>
      </c>
      <c r="X74">
        <f>0</f>
        <v>0</v>
      </c>
      <c r="Y74" t="s">
        <v>157</v>
      </c>
      <c r="Z74">
        <f>0</f>
        <v>0</v>
      </c>
      <c r="AA74" t="s">
        <v>158</v>
      </c>
      <c r="AB74" t="s">
        <v>158</v>
      </c>
      <c r="AD74">
        <f>0</f>
        <v>0</v>
      </c>
      <c r="AE74">
        <f>0</f>
        <v>0</v>
      </c>
      <c r="AH74" t="s">
        <v>157</v>
      </c>
    </row>
    <row r="75" spans="1:148" x14ac:dyDescent="0.25">
      <c r="A75" t="s">
        <v>441</v>
      </c>
      <c r="B75" t="s">
        <v>148</v>
      </c>
      <c r="C75" s="1">
        <v>45714</v>
      </c>
      <c r="D75" t="s">
        <v>311</v>
      </c>
      <c r="E75" t="s">
        <v>312</v>
      </c>
      <c r="F75" t="s">
        <v>424</v>
      </c>
      <c r="G75" t="s">
        <v>425</v>
      </c>
      <c r="H75">
        <v>799</v>
      </c>
      <c r="I75" t="s">
        <v>4700</v>
      </c>
      <c r="J75">
        <v>84503</v>
      </c>
      <c r="K75" t="s">
        <v>5254</v>
      </c>
      <c r="L75" t="s">
        <v>180</v>
      </c>
      <c r="M75" t="s">
        <v>6549</v>
      </c>
      <c r="N75" t="s">
        <v>442</v>
      </c>
      <c r="O75" t="s">
        <v>443</v>
      </c>
      <c r="R75">
        <f>1</f>
        <v>1</v>
      </c>
      <c r="S75">
        <f>9.4</f>
        <v>9.4</v>
      </c>
      <c r="T75">
        <f>7.7</f>
        <v>7.7</v>
      </c>
      <c r="U75">
        <f>490</f>
        <v>490</v>
      </c>
      <c r="X75">
        <f>0</f>
        <v>0</v>
      </c>
      <c r="Y75" t="s">
        <v>157</v>
      </c>
      <c r="Z75">
        <f>0</f>
        <v>0</v>
      </c>
      <c r="AA75" t="s">
        <v>158</v>
      </c>
      <c r="AB75" t="s">
        <v>158</v>
      </c>
      <c r="AD75">
        <f>0</f>
        <v>0</v>
      </c>
      <c r="AE75">
        <f>0</f>
        <v>0</v>
      </c>
      <c r="AH75" t="s">
        <v>157</v>
      </c>
    </row>
    <row r="76" spans="1:148" x14ac:dyDescent="0.25">
      <c r="A76" t="s">
        <v>444</v>
      </c>
      <c r="B76" t="s">
        <v>148</v>
      </c>
      <c r="C76" s="1">
        <v>45721</v>
      </c>
      <c r="D76" t="s">
        <v>311</v>
      </c>
      <c r="E76" t="s">
        <v>312</v>
      </c>
      <c r="F76" t="s">
        <v>424</v>
      </c>
      <c r="G76" t="s">
        <v>425</v>
      </c>
      <c r="H76">
        <v>799</v>
      </c>
      <c r="I76" t="s">
        <v>4700</v>
      </c>
      <c r="J76">
        <v>84503</v>
      </c>
      <c r="K76" t="s">
        <v>5254</v>
      </c>
      <c r="L76" t="s">
        <v>180</v>
      </c>
      <c r="M76" t="s">
        <v>5102</v>
      </c>
      <c r="N76" t="s">
        <v>445</v>
      </c>
      <c r="O76" t="s">
        <v>446</v>
      </c>
      <c r="R76">
        <f>1</f>
        <v>1</v>
      </c>
      <c r="S76">
        <f>11.1</f>
        <v>11.1</v>
      </c>
      <c r="T76">
        <f>7.6</f>
        <v>7.6</v>
      </c>
      <c r="U76">
        <f>485</f>
        <v>485</v>
      </c>
      <c r="X76">
        <f>0</f>
        <v>0</v>
      </c>
      <c r="Y76" t="s">
        <v>157</v>
      </c>
      <c r="Z76">
        <f>0</f>
        <v>0</v>
      </c>
      <c r="AA76" t="s">
        <v>158</v>
      </c>
      <c r="AB76" t="s">
        <v>158</v>
      </c>
      <c r="AD76">
        <f>0</f>
        <v>0</v>
      </c>
      <c r="AE76">
        <f>0</f>
        <v>0</v>
      </c>
      <c r="AH76" t="s">
        <v>157</v>
      </c>
    </row>
    <row r="77" spans="1:148" x14ac:dyDescent="0.25">
      <c r="A77" t="s">
        <v>447</v>
      </c>
      <c r="B77" t="s">
        <v>148</v>
      </c>
      <c r="C77" s="1">
        <v>45714</v>
      </c>
      <c r="D77" t="s">
        <v>311</v>
      </c>
      <c r="E77" t="s">
        <v>312</v>
      </c>
      <c r="F77" t="s">
        <v>424</v>
      </c>
      <c r="G77" t="s">
        <v>425</v>
      </c>
      <c r="H77">
        <v>799</v>
      </c>
      <c r="I77" t="s">
        <v>4700</v>
      </c>
      <c r="J77">
        <v>84503</v>
      </c>
      <c r="K77" t="s">
        <v>5254</v>
      </c>
      <c r="L77" t="s">
        <v>180</v>
      </c>
      <c r="M77" t="s">
        <v>448</v>
      </c>
      <c r="N77" t="s">
        <v>449</v>
      </c>
      <c r="O77" t="s">
        <v>450</v>
      </c>
      <c r="R77">
        <f>1</f>
        <v>1</v>
      </c>
      <c r="S77">
        <f>11</f>
        <v>11</v>
      </c>
      <c r="T77">
        <f>7.5</f>
        <v>7.5</v>
      </c>
      <c r="U77">
        <f>498</f>
        <v>498</v>
      </c>
      <c r="X77">
        <f>0</f>
        <v>0</v>
      </c>
      <c r="Y77" t="s">
        <v>157</v>
      </c>
      <c r="Z77">
        <f>0</f>
        <v>0</v>
      </c>
      <c r="AA77" t="s">
        <v>158</v>
      </c>
      <c r="AB77" t="s">
        <v>158</v>
      </c>
      <c r="AD77">
        <f>0</f>
        <v>0</v>
      </c>
      <c r="AE77">
        <f>0</f>
        <v>0</v>
      </c>
      <c r="AH77" t="s">
        <v>157</v>
      </c>
    </row>
    <row r="78" spans="1:148" x14ac:dyDescent="0.25">
      <c r="A78" t="s">
        <v>451</v>
      </c>
      <c r="B78" t="s">
        <v>148</v>
      </c>
      <c r="C78" s="1">
        <v>45720</v>
      </c>
      <c r="D78" t="s">
        <v>311</v>
      </c>
      <c r="E78" t="s">
        <v>312</v>
      </c>
      <c r="F78" t="s">
        <v>424</v>
      </c>
      <c r="G78" t="s">
        <v>425</v>
      </c>
      <c r="H78">
        <v>799</v>
      </c>
      <c r="I78" t="s">
        <v>4700</v>
      </c>
      <c r="J78">
        <v>84503</v>
      </c>
      <c r="K78" t="s">
        <v>5254</v>
      </c>
      <c r="L78" t="s">
        <v>180</v>
      </c>
      <c r="M78" t="s">
        <v>5814</v>
      </c>
      <c r="N78" t="s">
        <v>5815</v>
      </c>
      <c r="O78" t="s">
        <v>452</v>
      </c>
      <c r="R78">
        <f>1</f>
        <v>1</v>
      </c>
      <c r="S78">
        <f>13.2</f>
        <v>13.2</v>
      </c>
      <c r="T78">
        <f>7.6</f>
        <v>7.6</v>
      </c>
      <c r="U78">
        <f>491</f>
        <v>491</v>
      </c>
      <c r="X78">
        <f>0</f>
        <v>0</v>
      </c>
      <c r="Y78" t="s">
        <v>157</v>
      </c>
      <c r="Z78">
        <f>0</f>
        <v>0</v>
      </c>
      <c r="AA78" t="s">
        <v>158</v>
      </c>
      <c r="AB78" t="s">
        <v>158</v>
      </c>
      <c r="AD78">
        <f>0</f>
        <v>0</v>
      </c>
      <c r="AE78">
        <f>0</f>
        <v>0</v>
      </c>
      <c r="AH78" t="s">
        <v>157</v>
      </c>
    </row>
    <row r="79" spans="1:148" x14ac:dyDescent="0.25">
      <c r="A79" t="s">
        <v>453</v>
      </c>
      <c r="B79" t="s">
        <v>148</v>
      </c>
      <c r="C79" s="1">
        <v>45770</v>
      </c>
      <c r="D79" t="s">
        <v>311</v>
      </c>
      <c r="E79" t="s">
        <v>312</v>
      </c>
      <c r="F79" t="s">
        <v>424</v>
      </c>
      <c r="G79" t="s">
        <v>425</v>
      </c>
      <c r="H79">
        <v>800</v>
      </c>
      <c r="I79" t="s">
        <v>6546</v>
      </c>
      <c r="J79">
        <v>26904</v>
      </c>
      <c r="K79" t="s">
        <v>5254</v>
      </c>
      <c r="L79" t="s">
        <v>439</v>
      </c>
      <c r="M79" t="s">
        <v>5816</v>
      </c>
      <c r="N79" t="s">
        <v>5817</v>
      </c>
      <c r="O79" t="s">
        <v>454</v>
      </c>
      <c r="R79">
        <f>1</f>
        <v>1</v>
      </c>
      <c r="S79">
        <f>15.8</f>
        <v>15.8</v>
      </c>
      <c r="T79">
        <f>7.4</f>
        <v>7.4</v>
      </c>
      <c r="U79">
        <f>501</f>
        <v>501</v>
      </c>
      <c r="X79">
        <f>0</f>
        <v>0</v>
      </c>
      <c r="Y79" t="s">
        <v>157</v>
      </c>
      <c r="Z79">
        <f>0</f>
        <v>0</v>
      </c>
      <c r="AA79" t="s">
        <v>158</v>
      </c>
      <c r="AB79" t="s">
        <v>158</v>
      </c>
      <c r="AD79">
        <f>0</f>
        <v>0</v>
      </c>
      <c r="AE79">
        <f>0</f>
        <v>0</v>
      </c>
      <c r="AH79" t="s">
        <v>157</v>
      </c>
    </row>
    <row r="80" spans="1:148" x14ac:dyDescent="0.25">
      <c r="A80" t="s">
        <v>455</v>
      </c>
      <c r="B80" t="s">
        <v>148</v>
      </c>
      <c r="C80" s="1">
        <v>45714</v>
      </c>
      <c r="D80" t="s">
        <v>311</v>
      </c>
      <c r="E80" t="s">
        <v>312</v>
      </c>
      <c r="F80" t="s">
        <v>424</v>
      </c>
      <c r="G80" t="s">
        <v>425</v>
      </c>
      <c r="H80">
        <v>800</v>
      </c>
      <c r="I80" t="s">
        <v>6546</v>
      </c>
      <c r="J80">
        <v>26904</v>
      </c>
      <c r="K80" t="s">
        <v>5254</v>
      </c>
      <c r="L80" t="s">
        <v>439</v>
      </c>
      <c r="M80" t="s">
        <v>456</v>
      </c>
      <c r="N80" t="s">
        <v>4954</v>
      </c>
      <c r="O80" t="s">
        <v>457</v>
      </c>
      <c r="R80">
        <f>1</f>
        <v>1</v>
      </c>
      <c r="S80">
        <f>9.5</f>
        <v>9.5</v>
      </c>
      <c r="T80">
        <f>7.4</f>
        <v>7.4</v>
      </c>
      <c r="U80">
        <f>578</f>
        <v>578</v>
      </c>
      <c r="V80">
        <f>0.18</f>
        <v>0.18</v>
      </c>
      <c r="X80">
        <f>0</f>
        <v>0</v>
      </c>
      <c r="Y80" t="s">
        <v>157</v>
      </c>
      <c r="Z80">
        <f>0</f>
        <v>0</v>
      </c>
      <c r="AA80" t="s">
        <v>158</v>
      </c>
      <c r="AB80" t="s">
        <v>158</v>
      </c>
      <c r="AD80">
        <f>0</f>
        <v>0</v>
      </c>
      <c r="AE80">
        <f>0</f>
        <v>0</v>
      </c>
      <c r="AH80" t="s">
        <v>157</v>
      </c>
    </row>
    <row r="81" spans="1:148" x14ac:dyDescent="0.25">
      <c r="A81" t="s">
        <v>458</v>
      </c>
      <c r="B81" t="s">
        <v>148</v>
      </c>
      <c r="C81" s="1">
        <v>45790</v>
      </c>
      <c r="D81" t="s">
        <v>311</v>
      </c>
      <c r="E81" t="s">
        <v>312</v>
      </c>
      <c r="F81" t="s">
        <v>424</v>
      </c>
      <c r="G81" t="s">
        <v>425</v>
      </c>
      <c r="H81">
        <v>800</v>
      </c>
      <c r="I81" t="s">
        <v>6546</v>
      </c>
      <c r="J81">
        <v>26904</v>
      </c>
      <c r="K81" t="s">
        <v>5254</v>
      </c>
      <c r="L81" t="s">
        <v>439</v>
      </c>
      <c r="M81" t="s">
        <v>6550</v>
      </c>
      <c r="N81" t="s">
        <v>5818</v>
      </c>
      <c r="O81" t="s">
        <v>459</v>
      </c>
      <c r="R81">
        <f>1</f>
        <v>1</v>
      </c>
      <c r="S81">
        <f>15.9</f>
        <v>15.9</v>
      </c>
      <c r="T81">
        <f>7.2</f>
        <v>7.2</v>
      </c>
      <c r="U81">
        <f>587</f>
        <v>587</v>
      </c>
      <c r="X81">
        <f>0</f>
        <v>0</v>
      </c>
      <c r="Y81" t="s">
        <v>157</v>
      </c>
      <c r="Z81">
        <f>0</f>
        <v>0</v>
      </c>
      <c r="AA81" t="s">
        <v>158</v>
      </c>
      <c r="AB81" t="s">
        <v>158</v>
      </c>
      <c r="AD81">
        <f>0</f>
        <v>0</v>
      </c>
      <c r="AE81">
        <f>0</f>
        <v>0</v>
      </c>
      <c r="AH81" t="s">
        <v>157</v>
      </c>
      <c r="AI81" t="s">
        <v>238</v>
      </c>
      <c r="AL81" t="s">
        <v>164</v>
      </c>
      <c r="AM81" t="s">
        <v>165</v>
      </c>
      <c r="AN81">
        <f>25</f>
        <v>25</v>
      </c>
      <c r="AO81">
        <f>0.5</f>
        <v>0.5</v>
      </c>
      <c r="AP81">
        <f>17</f>
        <v>17</v>
      </c>
      <c r="AQ81">
        <f>26</f>
        <v>26</v>
      </c>
      <c r="AR81" t="s">
        <v>157</v>
      </c>
      <c r="AS81">
        <f>13</f>
        <v>13</v>
      </c>
      <c r="AY81" t="s">
        <v>167</v>
      </c>
      <c r="AZ81" t="s">
        <v>158</v>
      </c>
      <c r="BA81">
        <f>0.038</f>
        <v>3.7999999999999999E-2</v>
      </c>
      <c r="BB81" t="s">
        <v>158</v>
      </c>
      <c r="BC81" t="s">
        <v>166</v>
      </c>
      <c r="BD81" t="s">
        <v>167</v>
      </c>
      <c r="BE81">
        <f>0.0067</f>
        <v>6.7000000000000002E-3</v>
      </c>
      <c r="BF81" t="s">
        <v>168</v>
      </c>
      <c r="BG81" t="s">
        <v>167</v>
      </c>
      <c r="BH81" t="s">
        <v>167</v>
      </c>
      <c r="BK81">
        <f>0.43</f>
        <v>0.43</v>
      </c>
      <c r="BL81" t="s">
        <v>168</v>
      </c>
      <c r="BM81" t="s">
        <v>168</v>
      </c>
      <c r="BN81" t="s">
        <v>168</v>
      </c>
      <c r="BO81" t="s">
        <v>168</v>
      </c>
      <c r="BP81" t="s">
        <v>168</v>
      </c>
      <c r="BQ81" t="s">
        <v>168</v>
      </c>
      <c r="BR81" t="s">
        <v>168</v>
      </c>
      <c r="BS81" t="s">
        <v>168</v>
      </c>
      <c r="BT81" t="s">
        <v>209</v>
      </c>
      <c r="BU81" t="s">
        <v>168</v>
      </c>
      <c r="BV81" t="s">
        <v>209</v>
      </c>
      <c r="BW81" t="s">
        <v>209</v>
      </c>
      <c r="BX81" t="s">
        <v>209</v>
      </c>
      <c r="BY81" t="s">
        <v>209</v>
      </c>
      <c r="BZ81" t="s">
        <v>216</v>
      </c>
      <c r="CA81" t="s">
        <v>216</v>
      </c>
      <c r="CB81" t="s">
        <v>168</v>
      </c>
      <c r="CC81" t="s">
        <v>168</v>
      </c>
      <c r="CD81" t="s">
        <v>216</v>
      </c>
      <c r="CE81" t="s">
        <v>209</v>
      </c>
      <c r="CF81" t="s">
        <v>168</v>
      </c>
      <c r="CG81" t="s">
        <v>168</v>
      </c>
      <c r="CH81" t="s">
        <v>165</v>
      </c>
      <c r="CI81">
        <f>0.014</f>
        <v>1.4E-2</v>
      </c>
      <c r="CJ81" t="s">
        <v>216</v>
      </c>
      <c r="CK81" t="s">
        <v>216</v>
      </c>
      <c r="CL81" t="s">
        <v>216</v>
      </c>
      <c r="CM81" t="s">
        <v>216</v>
      </c>
      <c r="CN81" t="s">
        <v>216</v>
      </c>
      <c r="CO81" t="s">
        <v>216</v>
      </c>
      <c r="CP81" t="s">
        <v>216</v>
      </c>
      <c r="CQ81" t="s">
        <v>216</v>
      </c>
      <c r="CR81" t="s">
        <v>216</v>
      </c>
      <c r="CS81" t="s">
        <v>216</v>
      </c>
      <c r="CT81" t="s">
        <v>216</v>
      </c>
      <c r="CU81" t="s">
        <v>216</v>
      </c>
      <c r="CV81" t="s">
        <v>216</v>
      </c>
      <c r="CW81" t="s">
        <v>216</v>
      </c>
      <c r="CX81" t="s">
        <v>216</v>
      </c>
      <c r="CY81" t="s">
        <v>216</v>
      </c>
      <c r="CZ81" t="s">
        <v>216</v>
      </c>
      <c r="DA81" t="s">
        <v>168</v>
      </c>
      <c r="DB81" t="s">
        <v>216</v>
      </c>
      <c r="DC81" t="s">
        <v>216</v>
      </c>
      <c r="DD81" t="s">
        <v>216</v>
      </c>
      <c r="DE81" t="s">
        <v>168</v>
      </c>
      <c r="DF81" t="s">
        <v>168</v>
      </c>
      <c r="DG81" t="s">
        <v>216</v>
      </c>
      <c r="DH81" t="s">
        <v>216</v>
      </c>
      <c r="DI81" t="s">
        <v>216</v>
      </c>
      <c r="DJ81" t="s">
        <v>216</v>
      </c>
      <c r="DK81" t="s">
        <v>168</v>
      </c>
      <c r="DL81" t="s">
        <v>216</v>
      </c>
      <c r="DM81" t="s">
        <v>216</v>
      </c>
      <c r="DN81" t="s">
        <v>216</v>
      </c>
      <c r="DO81" t="s">
        <v>216</v>
      </c>
      <c r="DP81" t="s">
        <v>168</v>
      </c>
      <c r="DQ81" t="s">
        <v>216</v>
      </c>
      <c r="DR81" t="s">
        <v>168</v>
      </c>
      <c r="DS81" t="s">
        <v>168</v>
      </c>
      <c r="DT81" t="s">
        <v>168</v>
      </c>
      <c r="DU81" t="s">
        <v>168</v>
      </c>
      <c r="DV81" t="s">
        <v>168</v>
      </c>
      <c r="DW81" t="s">
        <v>168</v>
      </c>
      <c r="DX81" t="s">
        <v>168</v>
      </c>
      <c r="DY81" t="s">
        <v>168</v>
      </c>
      <c r="DZ81" t="s">
        <v>209</v>
      </c>
      <c r="EA81" t="s">
        <v>216</v>
      </c>
      <c r="EB81" t="s">
        <v>168</v>
      </c>
      <c r="EC81" t="s">
        <v>168</v>
      </c>
      <c r="ED81" t="s">
        <v>209</v>
      </c>
      <c r="EE81" t="s">
        <v>168</v>
      </c>
      <c r="EL81">
        <f>0.21</f>
        <v>0.21</v>
      </c>
      <c r="EM81">
        <f>0.57</f>
        <v>0.56999999999999995</v>
      </c>
      <c r="EN81">
        <f>0.34</f>
        <v>0.34</v>
      </c>
      <c r="EO81">
        <f>0.6</f>
        <v>0.6</v>
      </c>
      <c r="ER81">
        <f>1.7</f>
        <v>1.7</v>
      </c>
    </row>
    <row r="82" spans="1:148" x14ac:dyDescent="0.25">
      <c r="A82" t="s">
        <v>460</v>
      </c>
      <c r="B82" t="s">
        <v>148</v>
      </c>
      <c r="C82" s="1">
        <v>45712</v>
      </c>
      <c r="D82" t="s">
        <v>311</v>
      </c>
      <c r="E82" t="s">
        <v>312</v>
      </c>
      <c r="F82" t="s">
        <v>424</v>
      </c>
      <c r="G82" t="s">
        <v>425</v>
      </c>
      <c r="H82">
        <v>803</v>
      </c>
      <c r="I82" t="s">
        <v>4702</v>
      </c>
      <c r="J82">
        <v>31048</v>
      </c>
      <c r="K82" t="s">
        <v>5254</v>
      </c>
      <c r="L82" t="s">
        <v>387</v>
      </c>
      <c r="M82" t="s">
        <v>461</v>
      </c>
      <c r="N82" t="s">
        <v>462</v>
      </c>
      <c r="O82" t="s">
        <v>463</v>
      </c>
      <c r="R82">
        <f>1</f>
        <v>1</v>
      </c>
      <c r="S82">
        <f>7.4</f>
        <v>7.4</v>
      </c>
      <c r="T82">
        <f>7.6</f>
        <v>7.6</v>
      </c>
      <c r="U82">
        <f>502</f>
        <v>502</v>
      </c>
      <c r="V82">
        <f>0.2</f>
        <v>0.2</v>
      </c>
      <c r="X82">
        <f>0</f>
        <v>0</v>
      </c>
      <c r="Y82" t="s">
        <v>157</v>
      </c>
      <c r="Z82">
        <f>0</f>
        <v>0</v>
      </c>
      <c r="AA82" t="s">
        <v>158</v>
      </c>
      <c r="AB82" t="s">
        <v>158</v>
      </c>
      <c r="AD82">
        <f>0</f>
        <v>0</v>
      </c>
      <c r="AE82">
        <f>0</f>
        <v>0</v>
      </c>
      <c r="AH82" t="s">
        <v>157</v>
      </c>
    </row>
    <row r="83" spans="1:148" x14ac:dyDescent="0.25">
      <c r="A83" t="s">
        <v>464</v>
      </c>
      <c r="B83" t="s">
        <v>148</v>
      </c>
      <c r="C83" s="1">
        <v>45810</v>
      </c>
      <c r="D83" t="s">
        <v>311</v>
      </c>
      <c r="E83" t="s">
        <v>312</v>
      </c>
      <c r="F83" t="s">
        <v>424</v>
      </c>
      <c r="G83" t="s">
        <v>425</v>
      </c>
      <c r="H83">
        <v>803</v>
      </c>
      <c r="I83" t="s">
        <v>4702</v>
      </c>
      <c r="J83">
        <v>31048</v>
      </c>
      <c r="K83" t="s">
        <v>5254</v>
      </c>
      <c r="L83" t="s">
        <v>387</v>
      </c>
      <c r="M83" t="s">
        <v>465</v>
      </c>
      <c r="N83" t="s">
        <v>466</v>
      </c>
      <c r="O83" t="s">
        <v>467</v>
      </c>
      <c r="R83">
        <f>1</f>
        <v>1</v>
      </c>
      <c r="S83">
        <f>17.6</f>
        <v>17.600000000000001</v>
      </c>
      <c r="T83">
        <f>7.5</f>
        <v>7.5</v>
      </c>
      <c r="U83">
        <f>493</f>
        <v>493</v>
      </c>
      <c r="V83">
        <f>0.21</f>
        <v>0.21</v>
      </c>
      <c r="X83">
        <f>0</f>
        <v>0</v>
      </c>
      <c r="Y83" t="s">
        <v>157</v>
      </c>
      <c r="Z83">
        <f>0</f>
        <v>0</v>
      </c>
      <c r="AA83" t="s">
        <v>158</v>
      </c>
      <c r="AB83" t="s">
        <v>158</v>
      </c>
      <c r="AD83">
        <f>0</f>
        <v>0</v>
      </c>
      <c r="AE83">
        <f>0</f>
        <v>0</v>
      </c>
      <c r="AH83" t="s">
        <v>157</v>
      </c>
      <c r="AI83" t="s">
        <v>238</v>
      </c>
      <c r="AL83" t="s">
        <v>164</v>
      </c>
      <c r="AM83" t="s">
        <v>165</v>
      </c>
      <c r="AN83">
        <f>12</f>
        <v>12</v>
      </c>
      <c r="AO83">
        <f>0.24</f>
        <v>0.24</v>
      </c>
      <c r="AP83">
        <f>25</f>
        <v>25</v>
      </c>
      <c r="AQ83">
        <f>19</f>
        <v>19</v>
      </c>
      <c r="AR83">
        <f>0.11</f>
        <v>0.11</v>
      </c>
      <c r="AS83">
        <f>16</f>
        <v>16</v>
      </c>
      <c r="AY83" t="s">
        <v>167</v>
      </c>
      <c r="AZ83" t="s">
        <v>158</v>
      </c>
      <c r="BA83">
        <f>0.047</f>
        <v>4.7E-2</v>
      </c>
      <c r="BB83" t="s">
        <v>158</v>
      </c>
      <c r="BC83" t="s">
        <v>166</v>
      </c>
      <c r="BD83" t="s">
        <v>167</v>
      </c>
      <c r="BE83">
        <f>0.022</f>
        <v>2.1999999999999999E-2</v>
      </c>
      <c r="BF83" t="s">
        <v>168</v>
      </c>
      <c r="BG83">
        <f>1.5</f>
        <v>1.5</v>
      </c>
      <c r="BH83">
        <f>1.8</f>
        <v>1.8</v>
      </c>
      <c r="BK83">
        <f>1.2</f>
        <v>1.2</v>
      </c>
      <c r="BL83" t="s">
        <v>168</v>
      </c>
      <c r="BM83" t="s">
        <v>168</v>
      </c>
      <c r="BN83" t="s">
        <v>168</v>
      </c>
      <c r="BO83" t="s">
        <v>168</v>
      </c>
      <c r="BP83" t="s">
        <v>168</v>
      </c>
      <c r="BQ83" t="s">
        <v>168</v>
      </c>
      <c r="BR83" t="s">
        <v>168</v>
      </c>
      <c r="BS83" t="s">
        <v>168</v>
      </c>
      <c r="BT83" t="s">
        <v>216</v>
      </c>
      <c r="BU83" t="s">
        <v>168</v>
      </c>
      <c r="BV83" t="s">
        <v>209</v>
      </c>
      <c r="BW83" t="s">
        <v>209</v>
      </c>
      <c r="BX83" t="s">
        <v>209</v>
      </c>
      <c r="BY83" t="s">
        <v>209</v>
      </c>
      <c r="BZ83" t="s">
        <v>216</v>
      </c>
      <c r="CA83" t="s">
        <v>216</v>
      </c>
      <c r="CB83" t="s">
        <v>168</v>
      </c>
      <c r="CC83" t="s">
        <v>168</v>
      </c>
      <c r="CD83" t="s">
        <v>216</v>
      </c>
      <c r="CE83" t="s">
        <v>209</v>
      </c>
      <c r="CF83" t="s">
        <v>168</v>
      </c>
      <c r="CG83" t="s">
        <v>168</v>
      </c>
      <c r="CH83" t="s">
        <v>165</v>
      </c>
      <c r="CI83" t="s">
        <v>216</v>
      </c>
      <c r="CJ83" t="s">
        <v>216</v>
      </c>
      <c r="CK83" t="s">
        <v>216</v>
      </c>
      <c r="CL83" t="s">
        <v>216</v>
      </c>
      <c r="CM83" t="s">
        <v>216</v>
      </c>
      <c r="CN83" t="s">
        <v>216</v>
      </c>
      <c r="CO83" t="s">
        <v>216</v>
      </c>
      <c r="CP83" t="s">
        <v>216</v>
      </c>
      <c r="CQ83" t="s">
        <v>216</v>
      </c>
      <c r="CR83" t="s">
        <v>216</v>
      </c>
      <c r="CS83" t="s">
        <v>216</v>
      </c>
      <c r="CT83" t="s">
        <v>216</v>
      </c>
      <c r="CU83" t="s">
        <v>216</v>
      </c>
      <c r="CV83" t="s">
        <v>216</v>
      </c>
      <c r="CW83" t="s">
        <v>216</v>
      </c>
      <c r="CX83" t="s">
        <v>216</v>
      </c>
      <c r="CY83" t="s">
        <v>216</v>
      </c>
      <c r="CZ83" t="s">
        <v>216</v>
      </c>
      <c r="DA83" t="s">
        <v>168</v>
      </c>
      <c r="DB83" t="s">
        <v>216</v>
      </c>
      <c r="DC83" t="s">
        <v>216</v>
      </c>
      <c r="DD83" t="s">
        <v>216</v>
      </c>
      <c r="DE83" t="s">
        <v>168</v>
      </c>
      <c r="DF83" t="s">
        <v>168</v>
      </c>
      <c r="DG83" t="s">
        <v>216</v>
      </c>
      <c r="DH83" t="s">
        <v>216</v>
      </c>
      <c r="DI83" t="s">
        <v>216</v>
      </c>
      <c r="DJ83" t="s">
        <v>216</v>
      </c>
      <c r="DK83" t="s">
        <v>168</v>
      </c>
      <c r="DL83" t="s">
        <v>216</v>
      </c>
      <c r="DM83" t="s">
        <v>216</v>
      </c>
      <c r="DN83" t="s">
        <v>216</v>
      </c>
      <c r="DO83" t="s">
        <v>216</v>
      </c>
      <c r="DP83" t="s">
        <v>168</v>
      </c>
      <c r="DQ83" t="s">
        <v>216</v>
      </c>
      <c r="DR83" t="s">
        <v>168</v>
      </c>
      <c r="DS83" t="s">
        <v>168</v>
      </c>
      <c r="DT83" t="s">
        <v>168</v>
      </c>
      <c r="DU83" t="s">
        <v>168</v>
      </c>
      <c r="DV83" t="s">
        <v>168</v>
      </c>
      <c r="DW83" t="s">
        <v>168</v>
      </c>
      <c r="DX83" t="s">
        <v>168</v>
      </c>
      <c r="DY83" t="s">
        <v>168</v>
      </c>
      <c r="DZ83" t="s">
        <v>209</v>
      </c>
      <c r="EA83" t="s">
        <v>216</v>
      </c>
      <c r="EB83" t="s">
        <v>168</v>
      </c>
      <c r="EC83" t="s">
        <v>168</v>
      </c>
      <c r="ED83" t="s">
        <v>209</v>
      </c>
      <c r="EE83" t="s">
        <v>168</v>
      </c>
      <c r="EL83">
        <f>0.21</f>
        <v>0.21</v>
      </c>
      <c r="EM83">
        <f>0.23</f>
        <v>0.23</v>
      </c>
      <c r="EN83">
        <f>0.44</f>
        <v>0.44</v>
      </c>
      <c r="EO83">
        <f>0.6</f>
        <v>0.6</v>
      </c>
      <c r="ER83">
        <f>1.5</f>
        <v>1.5</v>
      </c>
    </row>
    <row r="84" spans="1:148" x14ac:dyDescent="0.25">
      <c r="A84" t="s">
        <v>468</v>
      </c>
      <c r="B84" t="s">
        <v>148</v>
      </c>
      <c r="C84" s="1">
        <v>45810</v>
      </c>
      <c r="D84" t="s">
        <v>222</v>
      </c>
      <c r="E84" t="s">
        <v>223</v>
      </c>
      <c r="F84" t="s">
        <v>469</v>
      </c>
      <c r="G84" t="s">
        <v>6551</v>
      </c>
      <c r="H84">
        <v>242</v>
      </c>
      <c r="I84" t="s">
        <v>6551</v>
      </c>
      <c r="J84">
        <v>5429</v>
      </c>
      <c r="K84" t="s">
        <v>5257</v>
      </c>
      <c r="L84" t="s">
        <v>393</v>
      </c>
      <c r="M84" t="s">
        <v>470</v>
      </c>
      <c r="N84" t="s">
        <v>471</v>
      </c>
      <c r="O84" t="s">
        <v>472</v>
      </c>
      <c r="Q84" t="s">
        <v>6298</v>
      </c>
      <c r="R84">
        <f>1</f>
        <v>1</v>
      </c>
      <c r="S84">
        <f>15.8</f>
        <v>15.8</v>
      </c>
      <c r="T84">
        <f>8.1</f>
        <v>8.1</v>
      </c>
      <c r="U84">
        <f>150</f>
        <v>150</v>
      </c>
      <c r="V84">
        <f>0.07</f>
        <v>7.0000000000000007E-2</v>
      </c>
      <c r="X84">
        <f>1</f>
        <v>1</v>
      </c>
      <c r="Y84">
        <f>0.08</f>
        <v>0.08</v>
      </c>
      <c r="Z84">
        <f>0</f>
        <v>0</v>
      </c>
      <c r="AA84">
        <f>0</f>
        <v>0</v>
      </c>
      <c r="AB84">
        <f>0</f>
        <v>0</v>
      </c>
      <c r="AC84">
        <f>0</f>
        <v>0</v>
      </c>
      <c r="AD84">
        <f>0</f>
        <v>0</v>
      </c>
      <c r="AE84">
        <f>0</f>
        <v>0</v>
      </c>
      <c r="AH84" t="s">
        <v>166</v>
      </c>
      <c r="AI84" t="s">
        <v>300</v>
      </c>
      <c r="AL84" t="s">
        <v>168</v>
      </c>
      <c r="AM84" t="s">
        <v>164</v>
      </c>
      <c r="AN84">
        <f>1.5</f>
        <v>1.5</v>
      </c>
      <c r="AO84">
        <f>0.03</f>
        <v>0.03</v>
      </c>
      <c r="AP84" t="s">
        <v>167</v>
      </c>
      <c r="AQ84" t="s">
        <v>167</v>
      </c>
      <c r="AR84" t="s">
        <v>167</v>
      </c>
      <c r="AS84">
        <f>0.36</f>
        <v>0.36</v>
      </c>
      <c r="AY84" t="s">
        <v>157</v>
      </c>
      <c r="AZ84" t="s">
        <v>208</v>
      </c>
      <c r="BA84" t="s">
        <v>473</v>
      </c>
      <c r="BB84">
        <f>10</f>
        <v>10</v>
      </c>
      <c r="BC84">
        <f>0.19</f>
        <v>0.19</v>
      </c>
      <c r="BD84" t="s">
        <v>157</v>
      </c>
      <c r="BE84">
        <f>0.0011</f>
        <v>1.1000000000000001E-3</v>
      </c>
      <c r="BF84" t="s">
        <v>168</v>
      </c>
      <c r="BG84" t="s">
        <v>237</v>
      </c>
      <c r="BH84" t="s">
        <v>157</v>
      </c>
      <c r="BK84" t="s">
        <v>157</v>
      </c>
      <c r="EL84">
        <f>1.9</f>
        <v>1.9</v>
      </c>
      <c r="EM84" t="s">
        <v>238</v>
      </c>
      <c r="EN84" t="s">
        <v>238</v>
      </c>
      <c r="EO84" t="s">
        <v>238</v>
      </c>
      <c r="ER84">
        <f>1.9</f>
        <v>1.9</v>
      </c>
    </row>
    <row r="85" spans="1:148" x14ac:dyDescent="0.25">
      <c r="A85" t="s">
        <v>474</v>
      </c>
      <c r="B85" t="s">
        <v>148</v>
      </c>
      <c r="C85" s="1">
        <v>45712</v>
      </c>
      <c r="D85" t="s">
        <v>222</v>
      </c>
      <c r="E85" t="s">
        <v>223</v>
      </c>
      <c r="F85" t="s">
        <v>4938</v>
      </c>
      <c r="G85" t="s">
        <v>5291</v>
      </c>
      <c r="H85">
        <v>1471</v>
      </c>
      <c r="I85" t="s">
        <v>5291</v>
      </c>
      <c r="J85">
        <v>14988</v>
      </c>
      <c r="K85" t="s">
        <v>5257</v>
      </c>
      <c r="L85" t="s">
        <v>191</v>
      </c>
      <c r="M85" t="s">
        <v>5292</v>
      </c>
      <c r="N85" t="s">
        <v>5293</v>
      </c>
      <c r="O85" t="s">
        <v>475</v>
      </c>
      <c r="Q85" t="s">
        <v>6299</v>
      </c>
      <c r="R85">
        <f>1</f>
        <v>1</v>
      </c>
      <c r="S85">
        <f>8.9</f>
        <v>8.9</v>
      </c>
      <c r="T85">
        <f>8.2</f>
        <v>8.1999999999999993</v>
      </c>
      <c r="U85">
        <f>225</f>
        <v>225</v>
      </c>
      <c r="V85">
        <f>0.22</f>
        <v>0.22</v>
      </c>
      <c r="X85">
        <f>1</f>
        <v>1</v>
      </c>
      <c r="Y85">
        <f>0.13</f>
        <v>0.13</v>
      </c>
      <c r="Z85">
        <f>0</f>
        <v>0</v>
      </c>
      <c r="AA85">
        <f>0</f>
        <v>0</v>
      </c>
      <c r="AB85">
        <f>0</f>
        <v>0</v>
      </c>
      <c r="AC85">
        <f>0</f>
        <v>0</v>
      </c>
      <c r="AD85">
        <f>0</f>
        <v>0</v>
      </c>
      <c r="AE85">
        <f>0</f>
        <v>0</v>
      </c>
      <c r="AH85" t="s">
        <v>166</v>
      </c>
    </row>
    <row r="86" spans="1:148" x14ac:dyDescent="0.25">
      <c r="A86" t="s">
        <v>476</v>
      </c>
      <c r="B86" t="s">
        <v>148</v>
      </c>
      <c r="C86" s="1">
        <v>45721</v>
      </c>
      <c r="D86" t="s">
        <v>311</v>
      </c>
      <c r="E86" t="s">
        <v>312</v>
      </c>
      <c r="F86" t="s">
        <v>424</v>
      </c>
      <c r="G86" t="s">
        <v>425</v>
      </c>
      <c r="H86">
        <v>799</v>
      </c>
      <c r="I86" t="s">
        <v>4700</v>
      </c>
      <c r="J86">
        <v>84503</v>
      </c>
      <c r="K86" t="s">
        <v>5254</v>
      </c>
      <c r="L86" t="s">
        <v>180</v>
      </c>
      <c r="M86" t="s">
        <v>6552</v>
      </c>
      <c r="N86" t="s">
        <v>5294</v>
      </c>
      <c r="O86" t="s">
        <v>477</v>
      </c>
      <c r="R86">
        <f>1</f>
        <v>1</v>
      </c>
      <c r="S86">
        <f>12.5</f>
        <v>12.5</v>
      </c>
      <c r="T86">
        <f>7.5</f>
        <v>7.5</v>
      </c>
      <c r="U86">
        <f>499</f>
        <v>499</v>
      </c>
      <c r="X86">
        <f>0</f>
        <v>0</v>
      </c>
      <c r="Y86" t="s">
        <v>157</v>
      </c>
      <c r="Z86">
        <f>0</f>
        <v>0</v>
      </c>
      <c r="AA86" t="s">
        <v>158</v>
      </c>
      <c r="AB86" t="s">
        <v>158</v>
      </c>
      <c r="AD86">
        <f>0</f>
        <v>0</v>
      </c>
      <c r="AE86">
        <f>0</f>
        <v>0</v>
      </c>
      <c r="AH86" t="s">
        <v>157</v>
      </c>
    </row>
    <row r="87" spans="1:148" x14ac:dyDescent="0.25">
      <c r="A87" t="s">
        <v>478</v>
      </c>
      <c r="B87" t="s">
        <v>148</v>
      </c>
      <c r="C87" s="1">
        <v>45785</v>
      </c>
      <c r="D87" t="s">
        <v>311</v>
      </c>
      <c r="E87" t="s">
        <v>312</v>
      </c>
      <c r="F87" t="s">
        <v>424</v>
      </c>
      <c r="G87" t="s">
        <v>425</v>
      </c>
      <c r="H87">
        <v>799</v>
      </c>
      <c r="I87" t="s">
        <v>4700</v>
      </c>
      <c r="J87">
        <v>84503</v>
      </c>
      <c r="K87" t="s">
        <v>5254</v>
      </c>
      <c r="L87" t="s">
        <v>180</v>
      </c>
      <c r="M87" t="s">
        <v>479</v>
      </c>
      <c r="N87" t="s">
        <v>5295</v>
      </c>
      <c r="O87" t="s">
        <v>480</v>
      </c>
      <c r="R87">
        <f>1</f>
        <v>1</v>
      </c>
      <c r="S87">
        <f>18</f>
        <v>18</v>
      </c>
      <c r="T87">
        <f>7.4</f>
        <v>7.4</v>
      </c>
      <c r="U87">
        <f>492</f>
        <v>492</v>
      </c>
      <c r="X87">
        <f>0</f>
        <v>0</v>
      </c>
      <c r="Y87" t="s">
        <v>157</v>
      </c>
      <c r="Z87">
        <f>0</f>
        <v>0</v>
      </c>
      <c r="AA87" t="s">
        <v>158</v>
      </c>
      <c r="AB87" t="s">
        <v>158</v>
      </c>
      <c r="AD87">
        <f>0</f>
        <v>0</v>
      </c>
      <c r="AE87">
        <f>0</f>
        <v>0</v>
      </c>
      <c r="AH87" t="s">
        <v>157</v>
      </c>
    </row>
    <row r="88" spans="1:148" x14ac:dyDescent="0.25">
      <c r="A88" t="s">
        <v>481</v>
      </c>
      <c r="B88" t="s">
        <v>148</v>
      </c>
      <c r="C88" s="1">
        <v>45721</v>
      </c>
      <c r="D88" t="s">
        <v>311</v>
      </c>
      <c r="E88" t="s">
        <v>312</v>
      </c>
      <c r="F88" t="s">
        <v>424</v>
      </c>
      <c r="G88" t="s">
        <v>425</v>
      </c>
      <c r="H88">
        <v>799</v>
      </c>
      <c r="I88" t="s">
        <v>4700</v>
      </c>
      <c r="J88">
        <v>84503</v>
      </c>
      <c r="K88" t="s">
        <v>5254</v>
      </c>
      <c r="L88" t="s">
        <v>180</v>
      </c>
      <c r="M88" t="s">
        <v>482</v>
      </c>
      <c r="N88" t="s">
        <v>4703</v>
      </c>
      <c r="O88" t="s">
        <v>483</v>
      </c>
      <c r="R88">
        <f>1</f>
        <v>1</v>
      </c>
      <c r="S88">
        <f>12.2</f>
        <v>12.2</v>
      </c>
      <c r="T88">
        <f>7.6</f>
        <v>7.6</v>
      </c>
      <c r="U88">
        <f>488</f>
        <v>488</v>
      </c>
      <c r="X88">
        <f>0</f>
        <v>0</v>
      </c>
      <c r="Y88" t="s">
        <v>157</v>
      </c>
      <c r="Z88">
        <f>0</f>
        <v>0</v>
      </c>
      <c r="AA88" t="s">
        <v>158</v>
      </c>
      <c r="AB88" t="s">
        <v>158</v>
      </c>
      <c r="AD88">
        <f>0</f>
        <v>0</v>
      </c>
      <c r="AE88">
        <f>0</f>
        <v>0</v>
      </c>
      <c r="AH88" t="s">
        <v>157</v>
      </c>
    </row>
    <row r="89" spans="1:148" x14ac:dyDescent="0.25">
      <c r="A89" t="s">
        <v>484</v>
      </c>
      <c r="B89" t="s">
        <v>148</v>
      </c>
      <c r="C89" s="1">
        <v>45714</v>
      </c>
      <c r="D89" t="s">
        <v>311</v>
      </c>
      <c r="E89" t="s">
        <v>312</v>
      </c>
      <c r="F89" t="s">
        <v>424</v>
      </c>
      <c r="G89" t="s">
        <v>425</v>
      </c>
      <c r="H89">
        <v>800</v>
      </c>
      <c r="I89" t="s">
        <v>6546</v>
      </c>
      <c r="J89">
        <v>26904</v>
      </c>
      <c r="K89" t="s">
        <v>5254</v>
      </c>
      <c r="L89" t="s">
        <v>439</v>
      </c>
      <c r="M89" t="s">
        <v>485</v>
      </c>
      <c r="N89" t="s">
        <v>4955</v>
      </c>
      <c r="O89" t="s">
        <v>486</v>
      </c>
      <c r="R89">
        <f>1</f>
        <v>1</v>
      </c>
      <c r="S89">
        <f>7.5</f>
        <v>7.5</v>
      </c>
      <c r="T89">
        <f>7.5</f>
        <v>7.5</v>
      </c>
      <c r="U89">
        <f>581</f>
        <v>581</v>
      </c>
      <c r="V89">
        <f>0.1</f>
        <v>0.1</v>
      </c>
      <c r="X89">
        <f>0</f>
        <v>0</v>
      </c>
      <c r="Y89" t="s">
        <v>157</v>
      </c>
      <c r="Z89">
        <f>0</f>
        <v>0</v>
      </c>
      <c r="AA89" t="s">
        <v>158</v>
      </c>
      <c r="AB89" t="s">
        <v>158</v>
      </c>
      <c r="AD89">
        <f>0</f>
        <v>0</v>
      </c>
      <c r="AE89">
        <f>0</f>
        <v>0</v>
      </c>
      <c r="AH89" t="s">
        <v>157</v>
      </c>
    </row>
    <row r="90" spans="1:148" x14ac:dyDescent="0.25">
      <c r="A90" t="s">
        <v>487</v>
      </c>
      <c r="B90" t="s">
        <v>148</v>
      </c>
      <c r="C90" s="1">
        <v>45713</v>
      </c>
      <c r="D90" t="s">
        <v>311</v>
      </c>
      <c r="E90" t="s">
        <v>312</v>
      </c>
      <c r="F90" t="s">
        <v>424</v>
      </c>
      <c r="G90" t="s">
        <v>425</v>
      </c>
      <c r="H90">
        <v>800</v>
      </c>
      <c r="I90" t="s">
        <v>6546</v>
      </c>
      <c r="J90">
        <v>26904</v>
      </c>
      <c r="K90" t="s">
        <v>5254</v>
      </c>
      <c r="L90" t="s">
        <v>439</v>
      </c>
      <c r="M90" t="s">
        <v>488</v>
      </c>
      <c r="N90" t="s">
        <v>4704</v>
      </c>
      <c r="O90" t="s">
        <v>489</v>
      </c>
      <c r="R90">
        <f>1</f>
        <v>1</v>
      </c>
      <c r="S90">
        <f>9.5</f>
        <v>9.5</v>
      </c>
      <c r="T90">
        <f>7.1</f>
        <v>7.1</v>
      </c>
      <c r="U90">
        <f>362</f>
        <v>362</v>
      </c>
      <c r="V90">
        <f>0.12</f>
        <v>0.12</v>
      </c>
      <c r="X90">
        <f>0</f>
        <v>0</v>
      </c>
      <c r="Y90" t="s">
        <v>157</v>
      </c>
      <c r="Z90">
        <f>0</f>
        <v>0</v>
      </c>
      <c r="AA90" t="s">
        <v>158</v>
      </c>
      <c r="AB90" t="s">
        <v>158</v>
      </c>
      <c r="AD90">
        <f>0</f>
        <v>0</v>
      </c>
      <c r="AE90">
        <f>0</f>
        <v>0</v>
      </c>
      <c r="AH90" t="s">
        <v>157</v>
      </c>
    </row>
    <row r="91" spans="1:148" x14ac:dyDescent="0.25">
      <c r="A91" t="s">
        <v>490</v>
      </c>
      <c r="B91" t="s">
        <v>148</v>
      </c>
      <c r="C91" s="1">
        <v>45712</v>
      </c>
      <c r="D91" t="s">
        <v>311</v>
      </c>
      <c r="E91" t="s">
        <v>312</v>
      </c>
      <c r="F91" t="s">
        <v>424</v>
      </c>
      <c r="G91" t="s">
        <v>425</v>
      </c>
      <c r="H91">
        <v>803</v>
      </c>
      <c r="I91" t="s">
        <v>4702</v>
      </c>
      <c r="J91">
        <v>31048</v>
      </c>
      <c r="K91" t="s">
        <v>5254</v>
      </c>
      <c r="L91" t="s">
        <v>387</v>
      </c>
      <c r="M91" t="s">
        <v>491</v>
      </c>
      <c r="N91" t="s">
        <v>492</v>
      </c>
      <c r="O91" t="s">
        <v>493</v>
      </c>
      <c r="R91">
        <f>1</f>
        <v>1</v>
      </c>
      <c r="S91">
        <f>12</f>
        <v>12</v>
      </c>
      <c r="T91">
        <f>7.8</f>
        <v>7.8</v>
      </c>
      <c r="U91">
        <f>501</f>
        <v>501</v>
      </c>
      <c r="V91">
        <f>0.12</f>
        <v>0.12</v>
      </c>
      <c r="X91">
        <f>0</f>
        <v>0</v>
      </c>
      <c r="Y91" t="s">
        <v>157</v>
      </c>
      <c r="Z91">
        <f>0</f>
        <v>0</v>
      </c>
      <c r="AA91" t="s">
        <v>158</v>
      </c>
      <c r="AB91" t="s">
        <v>158</v>
      </c>
      <c r="AD91">
        <f>0</f>
        <v>0</v>
      </c>
      <c r="AE91">
        <f>0</f>
        <v>0</v>
      </c>
      <c r="AH91" t="s">
        <v>157</v>
      </c>
    </row>
    <row r="92" spans="1:148" x14ac:dyDescent="0.25">
      <c r="A92" t="s">
        <v>494</v>
      </c>
      <c r="B92" t="s">
        <v>148</v>
      </c>
      <c r="C92" s="1">
        <v>45713</v>
      </c>
      <c r="D92" t="s">
        <v>222</v>
      </c>
      <c r="E92" t="s">
        <v>223</v>
      </c>
      <c r="F92" t="s">
        <v>224</v>
      </c>
      <c r="G92" t="s">
        <v>229</v>
      </c>
      <c r="H92">
        <v>367</v>
      </c>
      <c r="I92" t="s">
        <v>495</v>
      </c>
      <c r="J92">
        <v>29670</v>
      </c>
      <c r="K92" t="s">
        <v>5257</v>
      </c>
      <c r="L92" t="s">
        <v>4956</v>
      </c>
      <c r="M92" t="s">
        <v>496</v>
      </c>
      <c r="N92" t="s">
        <v>4705</v>
      </c>
      <c r="O92" t="s">
        <v>497</v>
      </c>
      <c r="Q92" t="s">
        <v>6304</v>
      </c>
      <c r="R92">
        <f>1</f>
        <v>1</v>
      </c>
      <c r="S92">
        <f>10.5</f>
        <v>10.5</v>
      </c>
      <c r="T92">
        <f>7.9</f>
        <v>7.9</v>
      </c>
      <c r="U92">
        <f>235</f>
        <v>235</v>
      </c>
      <c r="V92">
        <f>0.2</f>
        <v>0.2</v>
      </c>
      <c r="X92">
        <f>1</f>
        <v>1</v>
      </c>
      <c r="Y92">
        <f>0.11</f>
        <v>0.11</v>
      </c>
      <c r="Z92">
        <f>0</f>
        <v>0</v>
      </c>
      <c r="AA92">
        <f>0</f>
        <v>0</v>
      </c>
      <c r="AB92">
        <f>3</f>
        <v>3</v>
      </c>
      <c r="AC92">
        <f>0</f>
        <v>0</v>
      </c>
      <c r="AD92">
        <f>0</f>
        <v>0</v>
      </c>
      <c r="AE92">
        <f>0</f>
        <v>0</v>
      </c>
      <c r="AH92" t="s">
        <v>166</v>
      </c>
      <c r="BB92">
        <f>20</f>
        <v>20</v>
      </c>
    </row>
    <row r="93" spans="1:148" x14ac:dyDescent="0.25">
      <c r="A93" t="s">
        <v>498</v>
      </c>
      <c r="B93" t="s">
        <v>148</v>
      </c>
      <c r="C93" s="1">
        <v>45716</v>
      </c>
      <c r="D93" t="s">
        <v>242</v>
      </c>
      <c r="E93" t="s">
        <v>243</v>
      </c>
      <c r="F93" t="s">
        <v>244</v>
      </c>
      <c r="G93" t="s">
        <v>245</v>
      </c>
      <c r="H93">
        <v>154</v>
      </c>
      <c r="I93" t="s">
        <v>4695</v>
      </c>
      <c r="J93">
        <v>54400</v>
      </c>
      <c r="K93" t="s">
        <v>5257</v>
      </c>
      <c r="L93" t="s">
        <v>246</v>
      </c>
      <c r="M93" t="s">
        <v>499</v>
      </c>
      <c r="N93" t="s">
        <v>5819</v>
      </c>
      <c r="O93" t="s">
        <v>500</v>
      </c>
      <c r="R93">
        <f>1</f>
        <v>1</v>
      </c>
      <c r="S93">
        <f>10</f>
        <v>10</v>
      </c>
      <c r="T93">
        <f>7.3</f>
        <v>7.3</v>
      </c>
      <c r="U93">
        <f>624</f>
        <v>624</v>
      </c>
      <c r="V93">
        <f>0.16</f>
        <v>0.16</v>
      </c>
      <c r="X93">
        <f>0</f>
        <v>0</v>
      </c>
      <c r="Y93" t="s">
        <v>157</v>
      </c>
      <c r="Z93">
        <f>0</f>
        <v>0</v>
      </c>
      <c r="AA93" t="s">
        <v>158</v>
      </c>
      <c r="AB93" t="s">
        <v>158</v>
      </c>
      <c r="AC93">
        <f>0</f>
        <v>0</v>
      </c>
      <c r="AD93">
        <f>0</f>
        <v>0</v>
      </c>
      <c r="AE93">
        <f>0</f>
        <v>0</v>
      </c>
      <c r="AH93" t="s">
        <v>157</v>
      </c>
    </row>
    <row r="94" spans="1:148" x14ac:dyDescent="0.25">
      <c r="A94" t="s">
        <v>501</v>
      </c>
      <c r="B94" t="s">
        <v>148</v>
      </c>
      <c r="C94" s="1">
        <v>45782</v>
      </c>
      <c r="D94" t="s">
        <v>222</v>
      </c>
      <c r="E94" t="s">
        <v>223</v>
      </c>
      <c r="F94" t="s">
        <v>224</v>
      </c>
      <c r="G94" t="s">
        <v>229</v>
      </c>
      <c r="H94">
        <v>243</v>
      </c>
      <c r="I94" t="s">
        <v>230</v>
      </c>
      <c r="J94">
        <v>5553</v>
      </c>
      <c r="K94" t="s">
        <v>5257</v>
      </c>
      <c r="L94" t="s">
        <v>4937</v>
      </c>
      <c r="M94" t="s">
        <v>5820</v>
      </c>
      <c r="N94" t="s">
        <v>5296</v>
      </c>
      <c r="O94" t="s">
        <v>502</v>
      </c>
      <c r="Q94" t="s">
        <v>6305</v>
      </c>
      <c r="R94">
        <f>1</f>
        <v>1</v>
      </c>
      <c r="S94">
        <f>17.9</f>
        <v>17.899999999999999</v>
      </c>
      <c r="T94">
        <f>8.1</f>
        <v>8.1</v>
      </c>
      <c r="U94">
        <f>228</f>
        <v>228</v>
      </c>
      <c r="X94">
        <f>1</f>
        <v>1</v>
      </c>
      <c r="Y94">
        <f>0.04</f>
        <v>0.04</v>
      </c>
      <c r="Z94">
        <f>0</f>
        <v>0</v>
      </c>
      <c r="AA94">
        <f>0</f>
        <v>0</v>
      </c>
      <c r="AB94">
        <f>0</f>
        <v>0</v>
      </c>
      <c r="AC94">
        <f>0</f>
        <v>0</v>
      </c>
      <c r="AD94">
        <f>0</f>
        <v>0</v>
      </c>
      <c r="AE94">
        <f>0</f>
        <v>0</v>
      </c>
      <c r="AH94" t="s">
        <v>166</v>
      </c>
      <c r="AI94">
        <f>0.59</f>
        <v>0.59</v>
      </c>
      <c r="AL94" t="s">
        <v>168</v>
      </c>
      <c r="AM94" t="s">
        <v>164</v>
      </c>
      <c r="AN94">
        <f>3.8</f>
        <v>3.8</v>
      </c>
      <c r="AO94">
        <f>0.08</f>
        <v>0.08</v>
      </c>
      <c r="AP94">
        <f>2.2</f>
        <v>2.2000000000000002</v>
      </c>
      <c r="AQ94">
        <f>2.1</f>
        <v>2.1</v>
      </c>
      <c r="AR94" t="s">
        <v>167</v>
      </c>
      <c r="AS94">
        <f>1.2</f>
        <v>1.2</v>
      </c>
      <c r="AX94" t="s">
        <v>503</v>
      </c>
      <c r="AY94">
        <f>0.14</f>
        <v>0.14000000000000001</v>
      </c>
      <c r="AZ94" t="s">
        <v>208</v>
      </c>
      <c r="BA94">
        <f>0.0028</f>
        <v>2.8E-3</v>
      </c>
      <c r="BB94">
        <f>53</f>
        <v>53</v>
      </c>
      <c r="BC94" t="s">
        <v>209</v>
      </c>
      <c r="BD94" t="s">
        <v>157</v>
      </c>
      <c r="BE94">
        <f>0.0033</f>
        <v>3.3E-3</v>
      </c>
      <c r="BF94" t="s">
        <v>168</v>
      </c>
      <c r="BG94" t="s">
        <v>237</v>
      </c>
      <c r="BH94" t="s">
        <v>157</v>
      </c>
      <c r="BJ94" t="s">
        <v>216</v>
      </c>
      <c r="BK94">
        <f>0.12</f>
        <v>0.12</v>
      </c>
      <c r="EL94">
        <f>6</f>
        <v>6</v>
      </c>
      <c r="EM94" t="s">
        <v>238</v>
      </c>
      <c r="EN94">
        <f>1.9</f>
        <v>1.9</v>
      </c>
      <c r="EO94">
        <f>0.5</f>
        <v>0.5</v>
      </c>
      <c r="ER94">
        <f>8.4</f>
        <v>8.4</v>
      </c>
    </row>
    <row r="95" spans="1:148" x14ac:dyDescent="0.25">
      <c r="A95" t="s">
        <v>504</v>
      </c>
      <c r="B95" t="s">
        <v>148</v>
      </c>
      <c r="C95" s="1">
        <v>45713</v>
      </c>
      <c r="D95" t="s">
        <v>222</v>
      </c>
      <c r="E95" t="s">
        <v>223</v>
      </c>
      <c r="F95" t="s">
        <v>224</v>
      </c>
      <c r="G95" t="s">
        <v>229</v>
      </c>
      <c r="H95">
        <v>367</v>
      </c>
      <c r="I95" t="s">
        <v>495</v>
      </c>
      <c r="J95">
        <v>29670</v>
      </c>
      <c r="K95" t="s">
        <v>5257</v>
      </c>
      <c r="L95" t="s">
        <v>4956</v>
      </c>
      <c r="M95" t="s">
        <v>5821</v>
      </c>
      <c r="N95" t="s">
        <v>4957</v>
      </c>
      <c r="O95" t="s">
        <v>505</v>
      </c>
      <c r="Q95" t="s">
        <v>6306</v>
      </c>
      <c r="R95">
        <f>1</f>
        <v>1</v>
      </c>
      <c r="S95">
        <f>9.6</f>
        <v>9.6</v>
      </c>
      <c r="T95">
        <f>8</f>
        <v>8</v>
      </c>
      <c r="U95">
        <f>234</f>
        <v>234</v>
      </c>
      <c r="V95">
        <f>0.18</f>
        <v>0.18</v>
      </c>
      <c r="X95">
        <f>1</f>
        <v>1</v>
      </c>
      <c r="Y95">
        <f>0.12</f>
        <v>0.12</v>
      </c>
      <c r="Z95">
        <f>0</f>
        <v>0</v>
      </c>
      <c r="AA95">
        <f>0</f>
        <v>0</v>
      </c>
      <c r="AB95">
        <f>0</f>
        <v>0</v>
      </c>
      <c r="AC95">
        <f>0</f>
        <v>0</v>
      </c>
      <c r="AD95">
        <f>0</f>
        <v>0</v>
      </c>
      <c r="AE95">
        <f>0</f>
        <v>0</v>
      </c>
      <c r="AH95" t="s">
        <v>166</v>
      </c>
      <c r="BB95">
        <f>22</f>
        <v>22</v>
      </c>
    </row>
    <row r="96" spans="1:148" x14ac:dyDescent="0.25">
      <c r="A96" t="s">
        <v>506</v>
      </c>
      <c r="B96" t="s">
        <v>148</v>
      </c>
      <c r="C96" s="1">
        <v>45708</v>
      </c>
      <c r="D96" t="s">
        <v>317</v>
      </c>
      <c r="E96" t="s">
        <v>318</v>
      </c>
      <c r="F96" t="s">
        <v>5796</v>
      </c>
      <c r="G96" t="s">
        <v>5280</v>
      </c>
      <c r="H96">
        <v>68</v>
      </c>
      <c r="I96" t="s">
        <v>5797</v>
      </c>
      <c r="J96">
        <v>19626</v>
      </c>
      <c r="K96" t="s">
        <v>5254</v>
      </c>
      <c r="L96" t="s">
        <v>4953</v>
      </c>
      <c r="M96" t="s">
        <v>5822</v>
      </c>
      <c r="N96" t="s">
        <v>5823</v>
      </c>
      <c r="O96" t="s">
        <v>507</v>
      </c>
      <c r="Q96" t="s">
        <v>6307</v>
      </c>
      <c r="R96">
        <f>1</f>
        <v>1</v>
      </c>
      <c r="S96">
        <f>8.3</f>
        <v>8.3000000000000007</v>
      </c>
      <c r="T96">
        <f>7.9</f>
        <v>7.9</v>
      </c>
      <c r="U96">
        <f>249</f>
        <v>249</v>
      </c>
      <c r="V96">
        <f>0.18</f>
        <v>0.18</v>
      </c>
      <c r="X96">
        <f>0</f>
        <v>0</v>
      </c>
      <c r="Y96">
        <f>0.58</f>
        <v>0.57999999999999996</v>
      </c>
      <c r="Z96">
        <f>0</f>
        <v>0</v>
      </c>
      <c r="AA96">
        <f>0</f>
        <v>0</v>
      </c>
      <c r="AB96">
        <f>0</f>
        <v>0</v>
      </c>
      <c r="AD96">
        <f>0</f>
        <v>0</v>
      </c>
      <c r="AE96">
        <f>0</f>
        <v>0</v>
      </c>
      <c r="AH96" t="s">
        <v>157</v>
      </c>
    </row>
    <row r="97" spans="1:148" x14ac:dyDescent="0.25">
      <c r="A97" t="s">
        <v>508</v>
      </c>
      <c r="B97" t="s">
        <v>148</v>
      </c>
      <c r="C97" s="1">
        <v>45712</v>
      </c>
      <c r="D97" t="s">
        <v>222</v>
      </c>
      <c r="E97" t="s">
        <v>223</v>
      </c>
      <c r="F97" t="s">
        <v>4938</v>
      </c>
      <c r="G97" t="s">
        <v>5291</v>
      </c>
      <c r="H97">
        <v>1471</v>
      </c>
      <c r="I97" t="s">
        <v>5291</v>
      </c>
      <c r="J97">
        <v>14988</v>
      </c>
      <c r="K97" t="s">
        <v>5257</v>
      </c>
      <c r="L97" t="s">
        <v>191</v>
      </c>
      <c r="M97" t="s">
        <v>5824</v>
      </c>
      <c r="N97" t="s">
        <v>6553</v>
      </c>
      <c r="O97" t="s">
        <v>509</v>
      </c>
      <c r="Q97" t="s">
        <v>6308</v>
      </c>
      <c r="R97">
        <f>1</f>
        <v>1</v>
      </c>
      <c r="S97">
        <f>8.9</f>
        <v>8.9</v>
      </c>
      <c r="T97">
        <f>8.1</f>
        <v>8.1</v>
      </c>
      <c r="U97">
        <f>225</f>
        <v>225</v>
      </c>
      <c r="V97">
        <f>0.18</f>
        <v>0.18</v>
      </c>
      <c r="X97">
        <f>1</f>
        <v>1</v>
      </c>
      <c r="Y97">
        <f>0.23</f>
        <v>0.23</v>
      </c>
      <c r="Z97">
        <f>0</f>
        <v>0</v>
      </c>
      <c r="AA97">
        <f>0</f>
        <v>0</v>
      </c>
      <c r="AB97">
        <f>0</f>
        <v>0</v>
      </c>
      <c r="AC97">
        <f>0</f>
        <v>0</v>
      </c>
      <c r="AD97">
        <f>0</f>
        <v>0</v>
      </c>
      <c r="AE97">
        <f>0</f>
        <v>0</v>
      </c>
      <c r="AH97" t="s">
        <v>166</v>
      </c>
    </row>
    <row r="98" spans="1:148" x14ac:dyDescent="0.25">
      <c r="A98" t="s">
        <v>510</v>
      </c>
      <c r="B98" t="s">
        <v>148</v>
      </c>
      <c r="C98" s="1">
        <v>45721</v>
      </c>
      <c r="D98" t="s">
        <v>317</v>
      </c>
      <c r="E98" t="s">
        <v>318</v>
      </c>
      <c r="F98" t="s">
        <v>338</v>
      </c>
      <c r="G98" t="s">
        <v>6538</v>
      </c>
      <c r="H98">
        <v>854</v>
      </c>
      <c r="I98" t="s">
        <v>6538</v>
      </c>
      <c r="J98">
        <v>16473</v>
      </c>
      <c r="K98" t="s">
        <v>5254</v>
      </c>
      <c r="L98" t="s">
        <v>4948</v>
      </c>
      <c r="M98" t="s">
        <v>511</v>
      </c>
      <c r="N98" t="s">
        <v>512</v>
      </c>
      <c r="O98" t="s">
        <v>513</v>
      </c>
      <c r="Q98" t="s">
        <v>329</v>
      </c>
      <c r="R98">
        <f>1</f>
        <v>1</v>
      </c>
      <c r="S98">
        <f>7.6</f>
        <v>7.6</v>
      </c>
      <c r="T98">
        <f>8</f>
        <v>8</v>
      </c>
      <c r="U98">
        <f>183</f>
        <v>183</v>
      </c>
      <c r="V98" t="s">
        <v>207</v>
      </c>
      <c r="X98">
        <f>0</f>
        <v>0</v>
      </c>
      <c r="Y98" t="s">
        <v>157</v>
      </c>
      <c r="Z98">
        <f>0</f>
        <v>0</v>
      </c>
      <c r="AA98">
        <f>7</f>
        <v>7</v>
      </c>
      <c r="AB98">
        <f>0</f>
        <v>0</v>
      </c>
      <c r="AD98">
        <f>0</f>
        <v>0</v>
      </c>
      <c r="AE98">
        <f>0</f>
        <v>0</v>
      </c>
      <c r="AH98" t="s">
        <v>157</v>
      </c>
    </row>
    <row r="99" spans="1:148" x14ac:dyDescent="0.25">
      <c r="A99" t="s">
        <v>514</v>
      </c>
      <c r="B99" t="s">
        <v>148</v>
      </c>
      <c r="C99" s="1">
        <v>45707</v>
      </c>
      <c r="D99" t="s">
        <v>317</v>
      </c>
      <c r="E99" t="s">
        <v>318</v>
      </c>
      <c r="F99" t="s">
        <v>319</v>
      </c>
      <c r="G99" t="s">
        <v>320</v>
      </c>
      <c r="H99">
        <v>821</v>
      </c>
      <c r="I99" t="s">
        <v>321</v>
      </c>
      <c r="J99">
        <v>9564</v>
      </c>
      <c r="K99" t="s">
        <v>5254</v>
      </c>
      <c r="L99" t="s">
        <v>180</v>
      </c>
      <c r="M99" t="s">
        <v>515</v>
      </c>
      <c r="N99" t="s">
        <v>516</v>
      </c>
      <c r="O99" t="s">
        <v>517</v>
      </c>
      <c r="Q99" t="s">
        <v>6301</v>
      </c>
      <c r="R99">
        <f>1</f>
        <v>1</v>
      </c>
      <c r="S99">
        <f>9.2</f>
        <v>9.1999999999999993</v>
      </c>
      <c r="T99">
        <f>7.9</f>
        <v>7.9</v>
      </c>
      <c r="U99">
        <f>233</f>
        <v>233</v>
      </c>
      <c r="X99">
        <f>0</f>
        <v>0</v>
      </c>
      <c r="Y99">
        <f>0.13</f>
        <v>0.13</v>
      </c>
      <c r="Z99">
        <f>0</f>
        <v>0</v>
      </c>
      <c r="AA99">
        <f>0</f>
        <v>0</v>
      </c>
      <c r="AB99">
        <f>0</f>
        <v>0</v>
      </c>
      <c r="AD99">
        <f>0</f>
        <v>0</v>
      </c>
      <c r="AE99">
        <f>0</f>
        <v>0</v>
      </c>
      <c r="AH99" t="s">
        <v>157</v>
      </c>
    </row>
    <row r="100" spans="1:148" x14ac:dyDescent="0.25">
      <c r="A100" t="s">
        <v>518</v>
      </c>
      <c r="B100" t="s">
        <v>148</v>
      </c>
      <c r="C100" s="1">
        <v>45726</v>
      </c>
      <c r="D100" t="s">
        <v>222</v>
      </c>
      <c r="E100" t="s">
        <v>223</v>
      </c>
      <c r="F100" t="s">
        <v>469</v>
      </c>
      <c r="G100" t="s">
        <v>6551</v>
      </c>
      <c r="H100">
        <v>242</v>
      </c>
      <c r="I100" t="s">
        <v>6551</v>
      </c>
      <c r="J100">
        <v>5429</v>
      </c>
      <c r="K100" t="s">
        <v>5257</v>
      </c>
      <c r="L100" t="s">
        <v>393</v>
      </c>
      <c r="M100" t="s">
        <v>4706</v>
      </c>
      <c r="N100" t="s">
        <v>4707</v>
      </c>
      <c r="O100" t="s">
        <v>519</v>
      </c>
      <c r="Q100" t="s">
        <v>5297</v>
      </c>
      <c r="R100">
        <f>1</f>
        <v>1</v>
      </c>
      <c r="S100">
        <f>9.8</f>
        <v>9.8000000000000007</v>
      </c>
      <c r="T100">
        <f>8.3</f>
        <v>8.3000000000000007</v>
      </c>
      <c r="U100">
        <f>162</f>
        <v>162</v>
      </c>
      <c r="V100">
        <f>0.08</f>
        <v>0.08</v>
      </c>
      <c r="X100">
        <f>1</f>
        <v>1</v>
      </c>
      <c r="Y100">
        <f>0.06</f>
        <v>0.06</v>
      </c>
      <c r="Z100">
        <f>0</f>
        <v>0</v>
      </c>
      <c r="AA100">
        <f>0</f>
        <v>0</v>
      </c>
      <c r="AB100">
        <f>0</f>
        <v>0</v>
      </c>
      <c r="AC100">
        <f>0</f>
        <v>0</v>
      </c>
      <c r="AD100">
        <f>0</f>
        <v>0</v>
      </c>
      <c r="AE100">
        <f>0</f>
        <v>0</v>
      </c>
      <c r="AH100" t="s">
        <v>166</v>
      </c>
    </row>
    <row r="101" spans="1:148" x14ac:dyDescent="0.25">
      <c r="A101" t="s">
        <v>520</v>
      </c>
      <c r="B101" t="s">
        <v>148</v>
      </c>
      <c r="C101" s="1">
        <v>45726</v>
      </c>
      <c r="D101" t="s">
        <v>242</v>
      </c>
      <c r="E101" t="s">
        <v>243</v>
      </c>
      <c r="F101" t="s">
        <v>5284</v>
      </c>
      <c r="G101" t="s">
        <v>6542</v>
      </c>
      <c r="H101">
        <v>1523</v>
      </c>
      <c r="I101" t="s">
        <v>6543</v>
      </c>
      <c r="J101">
        <v>15615</v>
      </c>
      <c r="K101" t="s">
        <v>5254</v>
      </c>
      <c r="L101" t="s">
        <v>387</v>
      </c>
      <c r="M101" t="s">
        <v>5825</v>
      </c>
      <c r="N101" t="s">
        <v>521</v>
      </c>
      <c r="O101" t="s">
        <v>522</v>
      </c>
      <c r="R101">
        <f>1</f>
        <v>1</v>
      </c>
      <c r="S101">
        <f>8.8</f>
        <v>8.8000000000000007</v>
      </c>
      <c r="T101">
        <f>7.7</f>
        <v>7.7</v>
      </c>
      <c r="U101">
        <f>455</f>
        <v>455</v>
      </c>
      <c r="V101">
        <f>0.17</f>
        <v>0.17</v>
      </c>
      <c r="X101">
        <f>1</f>
        <v>1</v>
      </c>
      <c r="Y101" t="s">
        <v>157</v>
      </c>
      <c r="Z101">
        <f>0</f>
        <v>0</v>
      </c>
      <c r="AA101" t="s">
        <v>158</v>
      </c>
      <c r="AB101" t="s">
        <v>158</v>
      </c>
      <c r="AD101">
        <f>0</f>
        <v>0</v>
      </c>
      <c r="AE101">
        <f>0</f>
        <v>0</v>
      </c>
      <c r="AH101" t="s">
        <v>157</v>
      </c>
    </row>
    <row r="102" spans="1:148" x14ac:dyDescent="0.25">
      <c r="A102" t="s">
        <v>523</v>
      </c>
      <c r="B102" t="s">
        <v>148</v>
      </c>
      <c r="C102" s="1">
        <v>45714</v>
      </c>
      <c r="D102" t="s">
        <v>311</v>
      </c>
      <c r="E102" t="s">
        <v>312</v>
      </c>
      <c r="F102" t="s">
        <v>4946</v>
      </c>
      <c r="G102" t="s">
        <v>5093</v>
      </c>
      <c r="H102">
        <v>798</v>
      </c>
      <c r="I102" t="s">
        <v>313</v>
      </c>
      <c r="J102">
        <v>18000</v>
      </c>
      <c r="K102" t="s">
        <v>5257</v>
      </c>
      <c r="L102" t="s">
        <v>314</v>
      </c>
      <c r="M102" t="s">
        <v>5298</v>
      </c>
      <c r="N102" t="s">
        <v>5299</v>
      </c>
      <c r="O102" t="s">
        <v>524</v>
      </c>
      <c r="R102">
        <f>1</f>
        <v>1</v>
      </c>
      <c r="S102">
        <f>8.1</f>
        <v>8.1</v>
      </c>
      <c r="T102">
        <f>7.8</f>
        <v>7.8</v>
      </c>
      <c r="U102">
        <f>569</f>
        <v>569</v>
      </c>
      <c r="V102" t="s">
        <v>157</v>
      </c>
      <c r="X102">
        <f>0</f>
        <v>0</v>
      </c>
      <c r="Y102" t="s">
        <v>157</v>
      </c>
      <c r="Z102">
        <f>0</f>
        <v>0</v>
      </c>
      <c r="AA102" t="s">
        <v>158</v>
      </c>
      <c r="AB102" t="s">
        <v>158</v>
      </c>
      <c r="AC102">
        <f>0</f>
        <v>0</v>
      </c>
      <c r="AD102">
        <f>0</f>
        <v>0</v>
      </c>
      <c r="AE102">
        <f>0</f>
        <v>0</v>
      </c>
      <c r="AH102" t="s">
        <v>157</v>
      </c>
    </row>
    <row r="103" spans="1:148" x14ac:dyDescent="0.25">
      <c r="A103" t="s">
        <v>525</v>
      </c>
      <c r="B103" t="s">
        <v>148</v>
      </c>
      <c r="C103" s="1">
        <v>45750</v>
      </c>
      <c r="D103" t="s">
        <v>175</v>
      </c>
      <c r="E103" t="s">
        <v>270</v>
      </c>
      <c r="F103" t="s">
        <v>354</v>
      </c>
      <c r="G103" t="s">
        <v>6540</v>
      </c>
      <c r="H103">
        <v>691</v>
      </c>
      <c r="I103" t="s">
        <v>6541</v>
      </c>
      <c r="J103">
        <v>20462</v>
      </c>
      <c r="K103" t="s">
        <v>5257</v>
      </c>
      <c r="L103" t="s">
        <v>355</v>
      </c>
      <c r="M103" t="s">
        <v>5300</v>
      </c>
      <c r="N103" t="s">
        <v>526</v>
      </c>
      <c r="O103" t="s">
        <v>527</v>
      </c>
      <c r="R103">
        <f>1</f>
        <v>1</v>
      </c>
      <c r="S103">
        <f>9.3</f>
        <v>9.3000000000000007</v>
      </c>
      <c r="T103">
        <f>7.7</f>
        <v>7.7</v>
      </c>
      <c r="U103">
        <f>289</f>
        <v>289</v>
      </c>
      <c r="X103">
        <f>0</f>
        <v>0</v>
      </c>
      <c r="Y103">
        <f>0.55</f>
        <v>0.55000000000000004</v>
      </c>
      <c r="Z103">
        <f>0</f>
        <v>0</v>
      </c>
      <c r="AA103" t="s">
        <v>158</v>
      </c>
      <c r="AB103" t="s">
        <v>158</v>
      </c>
      <c r="AC103">
        <f>0</f>
        <v>0</v>
      </c>
      <c r="AD103">
        <f>0</f>
        <v>0</v>
      </c>
      <c r="AE103">
        <f>0</f>
        <v>0</v>
      </c>
    </row>
    <row r="104" spans="1:148" x14ac:dyDescent="0.25">
      <c r="A104" t="s">
        <v>528</v>
      </c>
      <c r="B104" t="s">
        <v>148</v>
      </c>
      <c r="C104" s="1">
        <v>45728</v>
      </c>
      <c r="D104" t="s">
        <v>269</v>
      </c>
      <c r="E104" t="s">
        <v>270</v>
      </c>
      <c r="F104" t="s">
        <v>271</v>
      </c>
      <c r="G104" t="s">
        <v>6529</v>
      </c>
      <c r="H104">
        <v>592</v>
      </c>
      <c r="I104" t="s">
        <v>6529</v>
      </c>
      <c r="J104">
        <v>13513</v>
      </c>
      <c r="K104" t="s">
        <v>5257</v>
      </c>
      <c r="L104" t="s">
        <v>4940</v>
      </c>
      <c r="M104" t="s">
        <v>529</v>
      </c>
      <c r="N104" t="s">
        <v>530</v>
      </c>
      <c r="O104" t="s">
        <v>531</v>
      </c>
      <c r="R104">
        <f>1</f>
        <v>1</v>
      </c>
      <c r="S104">
        <f>8.8</f>
        <v>8.8000000000000007</v>
      </c>
      <c r="T104">
        <f>7.9</f>
        <v>7.9</v>
      </c>
      <c r="U104">
        <f>401</f>
        <v>401</v>
      </c>
      <c r="X104">
        <f>0</f>
        <v>0</v>
      </c>
      <c r="Y104">
        <f>0.11</f>
        <v>0.11</v>
      </c>
      <c r="Z104">
        <f>0</f>
        <v>0</v>
      </c>
      <c r="AA104" t="s">
        <v>158</v>
      </c>
      <c r="AB104" t="s">
        <v>158</v>
      </c>
      <c r="AC104">
        <f>0</f>
        <v>0</v>
      </c>
      <c r="AD104">
        <f>0</f>
        <v>0</v>
      </c>
      <c r="AE104">
        <f>0</f>
        <v>0</v>
      </c>
    </row>
    <row r="105" spans="1:148" x14ac:dyDescent="0.25">
      <c r="A105" t="s">
        <v>532</v>
      </c>
      <c r="B105" t="s">
        <v>148</v>
      </c>
      <c r="C105" s="1">
        <v>45721</v>
      </c>
      <c r="D105" t="s">
        <v>242</v>
      </c>
      <c r="E105" t="s">
        <v>243</v>
      </c>
      <c r="F105" t="s">
        <v>5802</v>
      </c>
      <c r="G105" t="s">
        <v>5803</v>
      </c>
      <c r="H105">
        <v>1121</v>
      </c>
      <c r="I105" t="s">
        <v>5803</v>
      </c>
      <c r="J105">
        <v>14612</v>
      </c>
      <c r="K105" t="s">
        <v>5254</v>
      </c>
      <c r="L105" t="s">
        <v>387</v>
      </c>
      <c r="M105" t="s">
        <v>533</v>
      </c>
      <c r="N105" t="s">
        <v>534</v>
      </c>
      <c r="Q105" t="s">
        <v>6309</v>
      </c>
      <c r="R105">
        <f>1</f>
        <v>1</v>
      </c>
      <c r="S105">
        <f>7</f>
        <v>7</v>
      </c>
      <c r="T105">
        <f>7.9</f>
        <v>7.9</v>
      </c>
      <c r="U105">
        <f>524</f>
        <v>524</v>
      </c>
      <c r="V105">
        <f>0.24</f>
        <v>0.24</v>
      </c>
      <c r="X105">
        <f>0</f>
        <v>0</v>
      </c>
      <c r="Y105" t="s">
        <v>157</v>
      </c>
      <c r="Z105">
        <f>0</f>
        <v>0</v>
      </c>
      <c r="AA105" t="s">
        <v>158</v>
      </c>
      <c r="AB105" t="s">
        <v>158</v>
      </c>
      <c r="AD105">
        <f>0</f>
        <v>0</v>
      </c>
      <c r="AE105">
        <f>0</f>
        <v>0</v>
      </c>
      <c r="AH105" t="s">
        <v>157</v>
      </c>
    </row>
    <row r="106" spans="1:148" x14ac:dyDescent="0.25">
      <c r="A106" t="s">
        <v>535</v>
      </c>
      <c r="B106" t="s">
        <v>148</v>
      </c>
      <c r="C106" s="1">
        <v>45713</v>
      </c>
      <c r="D106" t="s">
        <v>222</v>
      </c>
      <c r="E106" t="s">
        <v>223</v>
      </c>
      <c r="F106" t="s">
        <v>4938</v>
      </c>
      <c r="G106" t="s">
        <v>5291</v>
      </c>
      <c r="H106">
        <v>1471</v>
      </c>
      <c r="I106" t="s">
        <v>5291</v>
      </c>
      <c r="J106">
        <v>14988</v>
      </c>
      <c r="K106" t="s">
        <v>5257</v>
      </c>
      <c r="L106" t="s">
        <v>191</v>
      </c>
      <c r="M106" t="s">
        <v>536</v>
      </c>
      <c r="N106" t="s">
        <v>5826</v>
      </c>
      <c r="O106" t="s">
        <v>537</v>
      </c>
      <c r="Q106" t="s">
        <v>6304</v>
      </c>
      <c r="R106">
        <f>1</f>
        <v>1</v>
      </c>
      <c r="S106">
        <f>8.7</f>
        <v>8.6999999999999993</v>
      </c>
      <c r="T106">
        <f>8.2</f>
        <v>8.1999999999999993</v>
      </c>
      <c r="U106">
        <f>220</f>
        <v>220</v>
      </c>
      <c r="V106">
        <f>0.05</f>
        <v>0.05</v>
      </c>
      <c r="X106">
        <f>1</f>
        <v>1</v>
      </c>
      <c r="Y106">
        <f>0.17</f>
        <v>0.17</v>
      </c>
      <c r="Z106">
        <f>0</f>
        <v>0</v>
      </c>
      <c r="AA106">
        <f>0</f>
        <v>0</v>
      </c>
      <c r="AB106">
        <f>0</f>
        <v>0</v>
      </c>
      <c r="AC106">
        <f>0</f>
        <v>0</v>
      </c>
      <c r="AD106">
        <f>0</f>
        <v>0</v>
      </c>
      <c r="AE106">
        <f>0</f>
        <v>0</v>
      </c>
      <c r="AH106" t="s">
        <v>166</v>
      </c>
    </row>
    <row r="107" spans="1:148" x14ac:dyDescent="0.25">
      <c r="A107" t="s">
        <v>538</v>
      </c>
      <c r="B107" t="s">
        <v>148</v>
      </c>
      <c r="C107" s="1">
        <v>45741</v>
      </c>
      <c r="D107" t="s">
        <v>149</v>
      </c>
      <c r="E107" t="s">
        <v>150</v>
      </c>
      <c r="F107" t="s">
        <v>151</v>
      </c>
      <c r="G107" t="s">
        <v>152</v>
      </c>
      <c r="H107">
        <v>10</v>
      </c>
      <c r="I107" t="s">
        <v>153</v>
      </c>
      <c r="J107">
        <v>41336</v>
      </c>
      <c r="K107" t="s">
        <v>5254</v>
      </c>
      <c r="L107" t="s">
        <v>154</v>
      </c>
      <c r="M107" t="s">
        <v>5301</v>
      </c>
      <c r="N107" t="s">
        <v>539</v>
      </c>
      <c r="O107" t="s">
        <v>540</v>
      </c>
      <c r="R107">
        <f>1</f>
        <v>1</v>
      </c>
      <c r="S107">
        <f>9.1</f>
        <v>9.1</v>
      </c>
      <c r="T107">
        <f>7.3</f>
        <v>7.3</v>
      </c>
      <c r="U107">
        <f>542</f>
        <v>542</v>
      </c>
      <c r="V107" t="s">
        <v>157</v>
      </c>
      <c r="X107">
        <f>0</f>
        <v>0</v>
      </c>
      <c r="Y107">
        <f>0.1</f>
        <v>0.1</v>
      </c>
      <c r="Z107">
        <f>0</f>
        <v>0</v>
      </c>
      <c r="AA107" t="s">
        <v>158</v>
      </c>
      <c r="AB107" t="s">
        <v>158</v>
      </c>
      <c r="AD107">
        <f>0</f>
        <v>0</v>
      </c>
      <c r="AE107">
        <f>0</f>
        <v>0</v>
      </c>
      <c r="AH107" t="s">
        <v>157</v>
      </c>
      <c r="AI107">
        <f>1.3</f>
        <v>1.3</v>
      </c>
      <c r="AL107" t="s">
        <v>164</v>
      </c>
      <c r="AM107" t="s">
        <v>165</v>
      </c>
      <c r="AN107">
        <f>18</f>
        <v>18</v>
      </c>
      <c r="AO107">
        <f>0.36</f>
        <v>0.36</v>
      </c>
      <c r="AP107">
        <f>42</f>
        <v>42</v>
      </c>
      <c r="AQ107">
        <f>17</f>
        <v>17</v>
      </c>
      <c r="AR107" t="s">
        <v>157</v>
      </c>
      <c r="AS107">
        <f>12</f>
        <v>12</v>
      </c>
      <c r="AY107" t="s">
        <v>167</v>
      </c>
      <c r="AZ107" t="s">
        <v>158</v>
      </c>
      <c r="BA107">
        <f>0.015</f>
        <v>1.4999999999999999E-2</v>
      </c>
      <c r="BB107" t="s">
        <v>158</v>
      </c>
      <c r="BC107" t="s">
        <v>166</v>
      </c>
      <c r="BD107" t="s">
        <v>167</v>
      </c>
      <c r="BE107">
        <f>0.0084</f>
        <v>8.3999999999999995E-3</v>
      </c>
      <c r="BF107" t="s">
        <v>168</v>
      </c>
      <c r="BG107" t="s">
        <v>167</v>
      </c>
      <c r="BH107" t="s">
        <v>167</v>
      </c>
      <c r="BK107">
        <f>2.9</f>
        <v>2.9</v>
      </c>
      <c r="EL107">
        <f>5.5</f>
        <v>5.5</v>
      </c>
      <c r="EM107">
        <f>0.68</f>
        <v>0.68</v>
      </c>
      <c r="EN107">
        <f>1.9</f>
        <v>1.9</v>
      </c>
      <c r="EO107">
        <f>1.5</f>
        <v>1.5</v>
      </c>
      <c r="ER107">
        <f>9.6</f>
        <v>9.6</v>
      </c>
    </row>
    <row r="108" spans="1:148" x14ac:dyDescent="0.25">
      <c r="A108" t="s">
        <v>541</v>
      </c>
      <c r="B108" t="s">
        <v>148</v>
      </c>
      <c r="C108" s="1">
        <v>45723</v>
      </c>
      <c r="D108" t="s">
        <v>317</v>
      </c>
      <c r="E108" t="s">
        <v>318</v>
      </c>
      <c r="F108" t="s">
        <v>360</v>
      </c>
      <c r="G108" t="s">
        <v>361</v>
      </c>
      <c r="H108">
        <v>104</v>
      </c>
      <c r="I108" t="s">
        <v>361</v>
      </c>
      <c r="J108">
        <v>61876</v>
      </c>
      <c r="K108" t="s">
        <v>5257</v>
      </c>
      <c r="L108" t="s">
        <v>4949</v>
      </c>
      <c r="M108" t="s">
        <v>4708</v>
      </c>
      <c r="N108" t="s">
        <v>542</v>
      </c>
      <c r="O108" t="s">
        <v>543</v>
      </c>
      <c r="Q108" t="s">
        <v>329</v>
      </c>
      <c r="R108">
        <f>1</f>
        <v>1</v>
      </c>
      <c r="S108">
        <f>8.6</f>
        <v>8.6</v>
      </c>
      <c r="T108">
        <f>8</f>
        <v>8</v>
      </c>
      <c r="U108">
        <f>242</f>
        <v>242</v>
      </c>
      <c r="X108">
        <f>0</f>
        <v>0</v>
      </c>
      <c r="Y108">
        <f>0.1</f>
        <v>0.1</v>
      </c>
      <c r="Z108">
        <f>0</f>
        <v>0</v>
      </c>
      <c r="AA108">
        <f>1</f>
        <v>1</v>
      </c>
      <c r="AB108">
        <f>0</f>
        <v>0</v>
      </c>
      <c r="AC108">
        <f>0</f>
        <v>0</v>
      </c>
      <c r="AD108">
        <f>0</f>
        <v>0</v>
      </c>
      <c r="AE108">
        <f>0</f>
        <v>0</v>
      </c>
      <c r="AH108" t="s">
        <v>157</v>
      </c>
    </row>
    <row r="109" spans="1:148" x14ac:dyDescent="0.25">
      <c r="A109" t="s">
        <v>544</v>
      </c>
      <c r="B109" t="s">
        <v>148</v>
      </c>
      <c r="C109" s="1">
        <v>45719</v>
      </c>
      <c r="D109" t="s">
        <v>269</v>
      </c>
      <c r="E109" t="s">
        <v>295</v>
      </c>
      <c r="F109" t="s">
        <v>331</v>
      </c>
      <c r="G109" t="s">
        <v>5784</v>
      </c>
      <c r="H109">
        <v>145</v>
      </c>
      <c r="I109" t="s">
        <v>5784</v>
      </c>
      <c r="J109">
        <v>14477</v>
      </c>
      <c r="K109" t="s">
        <v>5254</v>
      </c>
      <c r="L109" t="s">
        <v>332</v>
      </c>
      <c r="M109" t="s">
        <v>5302</v>
      </c>
      <c r="N109" t="s">
        <v>5303</v>
      </c>
      <c r="O109" t="s">
        <v>545</v>
      </c>
      <c r="Q109" t="s">
        <v>5304</v>
      </c>
      <c r="R109">
        <f>1</f>
        <v>1</v>
      </c>
      <c r="S109">
        <f>8.6</f>
        <v>8.6</v>
      </c>
      <c r="T109">
        <f>7.7</f>
        <v>7.7</v>
      </c>
      <c r="U109">
        <f>442</f>
        <v>442</v>
      </c>
      <c r="V109">
        <f>0.03</f>
        <v>0.03</v>
      </c>
      <c r="X109">
        <f>0</f>
        <v>0</v>
      </c>
      <c r="Y109">
        <f>0.11</f>
        <v>0.11</v>
      </c>
      <c r="Z109">
        <f>0</f>
        <v>0</v>
      </c>
      <c r="AA109" t="s">
        <v>158</v>
      </c>
      <c r="AB109" t="s">
        <v>158</v>
      </c>
      <c r="AD109">
        <f>0</f>
        <v>0</v>
      </c>
      <c r="AE109">
        <f>0</f>
        <v>0</v>
      </c>
    </row>
    <row r="110" spans="1:148" x14ac:dyDescent="0.25">
      <c r="A110" t="s">
        <v>546</v>
      </c>
      <c r="B110" t="s">
        <v>148</v>
      </c>
      <c r="C110" s="1">
        <v>45716</v>
      </c>
      <c r="D110" t="s">
        <v>242</v>
      </c>
      <c r="E110" t="s">
        <v>243</v>
      </c>
      <c r="F110" t="s">
        <v>244</v>
      </c>
      <c r="G110" t="s">
        <v>245</v>
      </c>
      <c r="H110">
        <v>154</v>
      </c>
      <c r="I110" t="s">
        <v>4695</v>
      </c>
      <c r="J110">
        <v>54400</v>
      </c>
      <c r="K110" t="s">
        <v>5257</v>
      </c>
      <c r="L110" t="s">
        <v>246</v>
      </c>
      <c r="M110" t="s">
        <v>547</v>
      </c>
      <c r="N110" t="s">
        <v>5305</v>
      </c>
      <c r="O110" t="s">
        <v>548</v>
      </c>
      <c r="R110">
        <f>1</f>
        <v>1</v>
      </c>
      <c r="S110">
        <f>9.7</f>
        <v>9.6999999999999993</v>
      </c>
      <c r="T110">
        <f>7.9</f>
        <v>7.9</v>
      </c>
      <c r="U110">
        <f>375</f>
        <v>375</v>
      </c>
      <c r="V110">
        <f>0.15</f>
        <v>0.15</v>
      </c>
      <c r="X110">
        <f>0</f>
        <v>0</v>
      </c>
      <c r="Y110" t="s">
        <v>157</v>
      </c>
      <c r="Z110">
        <f>0</f>
        <v>0</v>
      </c>
      <c r="AA110" t="s">
        <v>158</v>
      </c>
      <c r="AB110">
        <f>10</f>
        <v>10</v>
      </c>
      <c r="AC110">
        <f>0</f>
        <v>0</v>
      </c>
      <c r="AD110">
        <f>0</f>
        <v>0</v>
      </c>
      <c r="AE110">
        <f>0</f>
        <v>0</v>
      </c>
      <c r="AH110" t="s">
        <v>157</v>
      </c>
    </row>
    <row r="111" spans="1:148" x14ac:dyDescent="0.25">
      <c r="A111" t="s">
        <v>549</v>
      </c>
      <c r="B111" t="s">
        <v>148</v>
      </c>
      <c r="C111" s="1">
        <v>45721</v>
      </c>
      <c r="D111" t="s">
        <v>311</v>
      </c>
      <c r="E111" t="s">
        <v>312</v>
      </c>
      <c r="F111" t="s">
        <v>349</v>
      </c>
      <c r="G111" t="s">
        <v>5788</v>
      </c>
      <c r="H111">
        <v>895</v>
      </c>
      <c r="I111" t="s">
        <v>6539</v>
      </c>
      <c r="J111">
        <v>17000</v>
      </c>
      <c r="K111" t="s">
        <v>5257</v>
      </c>
      <c r="L111" t="s">
        <v>350</v>
      </c>
      <c r="M111" t="s">
        <v>5306</v>
      </c>
      <c r="N111" t="s">
        <v>550</v>
      </c>
      <c r="O111" t="s">
        <v>551</v>
      </c>
      <c r="R111">
        <f>1</f>
        <v>1</v>
      </c>
      <c r="S111">
        <f>7.6</f>
        <v>7.6</v>
      </c>
      <c r="T111">
        <f>7.9</f>
        <v>7.9</v>
      </c>
      <c r="U111">
        <f>356</f>
        <v>356</v>
      </c>
      <c r="V111" t="s">
        <v>157</v>
      </c>
      <c r="X111">
        <f>0</f>
        <v>0</v>
      </c>
      <c r="Y111" t="s">
        <v>157</v>
      </c>
      <c r="Z111">
        <f>0</f>
        <v>0</v>
      </c>
      <c r="AA111" t="s">
        <v>158</v>
      </c>
      <c r="AB111" t="s">
        <v>158</v>
      </c>
      <c r="AC111">
        <f>0</f>
        <v>0</v>
      </c>
      <c r="AD111">
        <f>0</f>
        <v>0</v>
      </c>
      <c r="AE111">
        <f>0</f>
        <v>0</v>
      </c>
      <c r="AH111" t="s">
        <v>157</v>
      </c>
    </row>
    <row r="112" spans="1:148" x14ac:dyDescent="0.25">
      <c r="A112" t="s">
        <v>552</v>
      </c>
      <c r="B112" t="s">
        <v>148</v>
      </c>
      <c r="C112" s="1">
        <v>45719</v>
      </c>
      <c r="D112" t="s">
        <v>269</v>
      </c>
      <c r="E112" t="s">
        <v>270</v>
      </c>
      <c r="F112" t="s">
        <v>271</v>
      </c>
      <c r="G112" t="s">
        <v>272</v>
      </c>
      <c r="H112">
        <v>132</v>
      </c>
      <c r="I112" t="s">
        <v>272</v>
      </c>
      <c r="J112">
        <v>22721</v>
      </c>
      <c r="K112" t="s">
        <v>5257</v>
      </c>
      <c r="L112" t="s">
        <v>154</v>
      </c>
      <c r="M112" t="s">
        <v>553</v>
      </c>
      <c r="N112" t="s">
        <v>5827</v>
      </c>
      <c r="O112" t="s">
        <v>554</v>
      </c>
      <c r="R112">
        <f>1</f>
        <v>1</v>
      </c>
      <c r="S112">
        <f>11.3</f>
        <v>11.3</v>
      </c>
      <c r="T112">
        <f>7.5</f>
        <v>7.5</v>
      </c>
      <c r="U112">
        <f>460</f>
        <v>460</v>
      </c>
      <c r="V112">
        <f>0.24</f>
        <v>0.24</v>
      </c>
      <c r="X112">
        <f>0</f>
        <v>0</v>
      </c>
      <c r="Y112" t="s">
        <v>207</v>
      </c>
      <c r="Z112">
        <f>0</f>
        <v>0</v>
      </c>
      <c r="AA112" t="s">
        <v>158</v>
      </c>
      <c r="AB112" t="s">
        <v>158</v>
      </c>
      <c r="AC112">
        <f>0</f>
        <v>0</v>
      </c>
      <c r="AD112">
        <f>0</f>
        <v>0</v>
      </c>
      <c r="AE112">
        <f>0</f>
        <v>0</v>
      </c>
    </row>
    <row r="113" spans="1:149" x14ac:dyDescent="0.25">
      <c r="A113" t="s">
        <v>555</v>
      </c>
      <c r="B113" t="s">
        <v>148</v>
      </c>
      <c r="C113" s="1">
        <v>45742</v>
      </c>
      <c r="D113" t="s">
        <v>175</v>
      </c>
      <c r="E113" t="s">
        <v>176</v>
      </c>
      <c r="F113" t="s">
        <v>556</v>
      </c>
      <c r="G113" t="s">
        <v>557</v>
      </c>
      <c r="H113">
        <v>1701</v>
      </c>
      <c r="I113" t="s">
        <v>6554</v>
      </c>
      <c r="J113">
        <v>138695</v>
      </c>
      <c r="K113" t="s">
        <v>5254</v>
      </c>
      <c r="L113" t="s">
        <v>180</v>
      </c>
      <c r="M113" t="s">
        <v>558</v>
      </c>
      <c r="N113" t="s">
        <v>559</v>
      </c>
      <c r="O113" t="s">
        <v>560</v>
      </c>
      <c r="Q113" t="s">
        <v>6310</v>
      </c>
      <c r="R113">
        <f>1</f>
        <v>1</v>
      </c>
      <c r="S113">
        <f>19.7</f>
        <v>19.7</v>
      </c>
      <c r="T113">
        <f>7.5</f>
        <v>7.5</v>
      </c>
      <c r="U113">
        <f>454</f>
        <v>454</v>
      </c>
      <c r="X113">
        <f>0</f>
        <v>0</v>
      </c>
      <c r="Y113" t="s">
        <v>157</v>
      </c>
      <c r="Z113">
        <f>0</f>
        <v>0</v>
      </c>
      <c r="AA113" t="s">
        <v>158</v>
      </c>
      <c r="AB113" t="s">
        <v>158</v>
      </c>
      <c r="AD113">
        <f>0</f>
        <v>0</v>
      </c>
      <c r="AE113">
        <f>0</f>
        <v>0</v>
      </c>
    </row>
    <row r="114" spans="1:149" x14ac:dyDescent="0.25">
      <c r="A114" t="s">
        <v>561</v>
      </c>
      <c r="B114" t="s">
        <v>148</v>
      </c>
      <c r="C114" s="1">
        <v>45798</v>
      </c>
      <c r="D114" t="s">
        <v>175</v>
      </c>
      <c r="E114" t="s">
        <v>176</v>
      </c>
      <c r="F114" t="s">
        <v>556</v>
      </c>
      <c r="G114" t="s">
        <v>557</v>
      </c>
      <c r="H114">
        <v>1701</v>
      </c>
      <c r="I114" t="s">
        <v>6554</v>
      </c>
      <c r="J114">
        <v>138695</v>
      </c>
      <c r="K114" t="s">
        <v>5254</v>
      </c>
      <c r="L114" t="s">
        <v>180</v>
      </c>
      <c r="M114" t="s">
        <v>562</v>
      </c>
      <c r="N114" t="s">
        <v>563</v>
      </c>
      <c r="O114" t="s">
        <v>564</v>
      </c>
      <c r="Q114" t="s">
        <v>6311</v>
      </c>
      <c r="R114">
        <f>1</f>
        <v>1</v>
      </c>
      <c r="S114">
        <f>14.9</f>
        <v>14.9</v>
      </c>
      <c r="T114">
        <f>7.4</f>
        <v>7.4</v>
      </c>
      <c r="U114">
        <f>395</f>
        <v>395</v>
      </c>
      <c r="X114">
        <f>0</f>
        <v>0</v>
      </c>
      <c r="Y114" t="s">
        <v>157</v>
      </c>
      <c r="Z114">
        <f>0</f>
        <v>0</v>
      </c>
      <c r="AA114" t="s">
        <v>158</v>
      </c>
      <c r="AB114" t="s">
        <v>158</v>
      </c>
      <c r="AD114">
        <f>0</f>
        <v>0</v>
      </c>
      <c r="AE114">
        <f>0</f>
        <v>0</v>
      </c>
      <c r="AH114" t="s">
        <v>157</v>
      </c>
      <c r="AI114" t="s">
        <v>238</v>
      </c>
      <c r="AL114" t="s">
        <v>164</v>
      </c>
      <c r="AM114" t="s">
        <v>165</v>
      </c>
      <c r="AN114">
        <f>9.3</f>
        <v>9.3000000000000007</v>
      </c>
      <c r="AO114">
        <f>0.19</f>
        <v>0.19</v>
      </c>
      <c r="AP114">
        <f>10</f>
        <v>10</v>
      </c>
      <c r="AQ114">
        <f>5.5</f>
        <v>5.5</v>
      </c>
      <c r="AR114" t="s">
        <v>157</v>
      </c>
      <c r="AS114">
        <f>3.7</f>
        <v>3.7</v>
      </c>
      <c r="AY114" t="s">
        <v>167</v>
      </c>
      <c r="AZ114" t="s">
        <v>158</v>
      </c>
      <c r="BA114">
        <f>0.01</f>
        <v>0.01</v>
      </c>
      <c r="BB114" t="s">
        <v>158</v>
      </c>
      <c r="BC114" t="s">
        <v>166</v>
      </c>
      <c r="BD114" t="s">
        <v>167</v>
      </c>
      <c r="BE114">
        <f>0.0012</f>
        <v>1.1999999999999999E-3</v>
      </c>
      <c r="BF114" t="s">
        <v>168</v>
      </c>
      <c r="BG114" t="s">
        <v>167</v>
      </c>
      <c r="BH114" t="s">
        <v>167</v>
      </c>
      <c r="BK114">
        <f>0.34</f>
        <v>0.34</v>
      </c>
      <c r="EP114" t="s">
        <v>157</v>
      </c>
      <c r="EQ114" t="s">
        <v>157</v>
      </c>
      <c r="ES114" t="s">
        <v>166</v>
      </c>
    </row>
    <row r="115" spans="1:149" x14ac:dyDescent="0.25">
      <c r="A115" t="s">
        <v>565</v>
      </c>
      <c r="B115" t="s">
        <v>148</v>
      </c>
      <c r="C115" s="1">
        <v>45747</v>
      </c>
      <c r="D115" t="s">
        <v>175</v>
      </c>
      <c r="E115" t="s">
        <v>176</v>
      </c>
      <c r="F115" t="s">
        <v>556</v>
      </c>
      <c r="G115" t="s">
        <v>557</v>
      </c>
      <c r="H115">
        <v>1701</v>
      </c>
      <c r="I115" t="s">
        <v>6554</v>
      </c>
      <c r="J115">
        <v>138695</v>
      </c>
      <c r="K115" t="s">
        <v>5254</v>
      </c>
      <c r="L115" t="s">
        <v>180</v>
      </c>
      <c r="M115" t="s">
        <v>5828</v>
      </c>
      <c r="N115" t="s">
        <v>566</v>
      </c>
      <c r="O115" t="s">
        <v>567</v>
      </c>
      <c r="Q115" t="s">
        <v>6311</v>
      </c>
      <c r="R115">
        <f>1</f>
        <v>1</v>
      </c>
      <c r="S115">
        <f>13.3</f>
        <v>13.3</v>
      </c>
      <c r="T115">
        <f>7.5</f>
        <v>7.5</v>
      </c>
      <c r="U115">
        <f>422</f>
        <v>422</v>
      </c>
      <c r="X115">
        <f>0</f>
        <v>0</v>
      </c>
      <c r="Y115" t="s">
        <v>157</v>
      </c>
      <c r="Z115">
        <f>0</f>
        <v>0</v>
      </c>
      <c r="AA115" t="s">
        <v>158</v>
      </c>
      <c r="AB115" t="s">
        <v>158</v>
      </c>
      <c r="AD115">
        <f>0</f>
        <v>0</v>
      </c>
      <c r="AE115">
        <f>0</f>
        <v>0</v>
      </c>
    </row>
    <row r="116" spans="1:149" x14ac:dyDescent="0.25">
      <c r="A116" t="s">
        <v>568</v>
      </c>
      <c r="B116" t="s">
        <v>148</v>
      </c>
      <c r="C116" s="1">
        <v>45758</v>
      </c>
      <c r="D116" t="s">
        <v>175</v>
      </c>
      <c r="E116" t="s">
        <v>176</v>
      </c>
      <c r="F116" t="s">
        <v>556</v>
      </c>
      <c r="G116" t="s">
        <v>557</v>
      </c>
      <c r="H116">
        <v>1701</v>
      </c>
      <c r="I116" t="s">
        <v>6554</v>
      </c>
      <c r="J116">
        <v>138695</v>
      </c>
      <c r="K116" t="s">
        <v>5254</v>
      </c>
      <c r="L116" t="s">
        <v>180</v>
      </c>
      <c r="M116" t="s">
        <v>569</v>
      </c>
      <c r="N116" t="s">
        <v>4958</v>
      </c>
      <c r="O116" t="s">
        <v>570</v>
      </c>
      <c r="Q116" t="s">
        <v>6311</v>
      </c>
      <c r="R116">
        <f>1</f>
        <v>1</v>
      </c>
      <c r="S116">
        <f>14.7</f>
        <v>14.7</v>
      </c>
      <c r="T116">
        <f>7.4</f>
        <v>7.4</v>
      </c>
      <c r="U116">
        <f>432</f>
        <v>432</v>
      </c>
      <c r="X116">
        <f>0</f>
        <v>0</v>
      </c>
      <c r="Y116" t="s">
        <v>157</v>
      </c>
      <c r="Z116">
        <f>0</f>
        <v>0</v>
      </c>
      <c r="AA116" t="s">
        <v>158</v>
      </c>
      <c r="AB116" t="s">
        <v>158</v>
      </c>
      <c r="AD116">
        <f>0</f>
        <v>0</v>
      </c>
      <c r="AE116">
        <f>0</f>
        <v>0</v>
      </c>
    </row>
    <row r="117" spans="1:149" x14ac:dyDescent="0.25">
      <c r="A117" t="s">
        <v>571</v>
      </c>
      <c r="B117" t="s">
        <v>148</v>
      </c>
      <c r="C117" s="1">
        <v>45758</v>
      </c>
      <c r="D117" t="s">
        <v>175</v>
      </c>
      <c r="E117" t="s">
        <v>176</v>
      </c>
      <c r="F117" t="s">
        <v>556</v>
      </c>
      <c r="G117" t="s">
        <v>557</v>
      </c>
      <c r="H117">
        <v>1701</v>
      </c>
      <c r="I117" t="s">
        <v>6554</v>
      </c>
      <c r="J117">
        <v>138695</v>
      </c>
      <c r="K117" t="s">
        <v>5254</v>
      </c>
      <c r="L117" t="s">
        <v>180</v>
      </c>
      <c r="M117" t="s">
        <v>572</v>
      </c>
      <c r="N117" t="s">
        <v>5829</v>
      </c>
      <c r="O117" t="s">
        <v>573</v>
      </c>
      <c r="Q117" t="s">
        <v>6311</v>
      </c>
      <c r="R117">
        <f>1</f>
        <v>1</v>
      </c>
      <c r="S117">
        <f>13.2</f>
        <v>13.2</v>
      </c>
      <c r="T117">
        <f>7.4</f>
        <v>7.4</v>
      </c>
      <c r="U117">
        <f>502</f>
        <v>502</v>
      </c>
      <c r="X117">
        <f>0</f>
        <v>0</v>
      </c>
      <c r="Y117" t="s">
        <v>157</v>
      </c>
      <c r="Z117">
        <f>0</f>
        <v>0</v>
      </c>
      <c r="AA117" t="s">
        <v>158</v>
      </c>
      <c r="AB117" t="s">
        <v>158</v>
      </c>
      <c r="AD117">
        <f>0</f>
        <v>0</v>
      </c>
      <c r="AE117">
        <f>0</f>
        <v>0</v>
      </c>
    </row>
    <row r="118" spans="1:149" x14ac:dyDescent="0.25">
      <c r="A118" t="s">
        <v>574</v>
      </c>
      <c r="B118" t="s">
        <v>148</v>
      </c>
      <c r="C118" s="1">
        <v>45758</v>
      </c>
      <c r="D118" t="s">
        <v>175</v>
      </c>
      <c r="E118" t="s">
        <v>176</v>
      </c>
      <c r="F118" t="s">
        <v>556</v>
      </c>
      <c r="G118" t="s">
        <v>557</v>
      </c>
      <c r="H118">
        <v>1701</v>
      </c>
      <c r="I118" t="s">
        <v>6554</v>
      </c>
      <c r="J118">
        <v>138695</v>
      </c>
      <c r="K118" t="s">
        <v>5254</v>
      </c>
      <c r="L118" t="s">
        <v>180</v>
      </c>
      <c r="M118" t="s">
        <v>5307</v>
      </c>
      <c r="N118" t="s">
        <v>4709</v>
      </c>
      <c r="O118" t="s">
        <v>575</v>
      </c>
      <c r="Q118" t="s">
        <v>6312</v>
      </c>
      <c r="R118">
        <f>1</f>
        <v>1</v>
      </c>
      <c r="S118">
        <f>12.8</f>
        <v>12.8</v>
      </c>
      <c r="T118">
        <f>7.4</f>
        <v>7.4</v>
      </c>
      <c r="U118">
        <f>475</f>
        <v>475</v>
      </c>
      <c r="X118">
        <f>0</f>
        <v>0</v>
      </c>
      <c r="Y118" t="s">
        <v>157</v>
      </c>
      <c r="Z118">
        <f>0</f>
        <v>0</v>
      </c>
      <c r="AA118" t="s">
        <v>158</v>
      </c>
      <c r="AB118" t="s">
        <v>158</v>
      </c>
      <c r="AD118">
        <f>0</f>
        <v>0</v>
      </c>
      <c r="AE118">
        <f>0</f>
        <v>0</v>
      </c>
    </row>
    <row r="119" spans="1:149" x14ac:dyDescent="0.25">
      <c r="A119" t="s">
        <v>576</v>
      </c>
      <c r="B119" t="s">
        <v>148</v>
      </c>
      <c r="C119" s="1">
        <v>45733</v>
      </c>
      <c r="D119" t="s">
        <v>175</v>
      </c>
      <c r="E119" t="s">
        <v>176</v>
      </c>
      <c r="F119" t="s">
        <v>556</v>
      </c>
      <c r="G119" t="s">
        <v>557</v>
      </c>
      <c r="H119">
        <v>1701</v>
      </c>
      <c r="I119" t="s">
        <v>6554</v>
      </c>
      <c r="J119">
        <v>138695</v>
      </c>
      <c r="K119" t="s">
        <v>5254</v>
      </c>
      <c r="L119" t="s">
        <v>180</v>
      </c>
      <c r="M119" t="s">
        <v>577</v>
      </c>
      <c r="N119" t="s">
        <v>578</v>
      </c>
      <c r="O119" t="s">
        <v>579</v>
      </c>
      <c r="Q119" t="s">
        <v>6313</v>
      </c>
      <c r="R119">
        <f>1</f>
        <v>1</v>
      </c>
      <c r="S119">
        <f>17.5</f>
        <v>17.5</v>
      </c>
      <c r="T119">
        <f>7.4</f>
        <v>7.4</v>
      </c>
      <c r="U119">
        <f>535</f>
        <v>535</v>
      </c>
      <c r="X119">
        <f>0</f>
        <v>0</v>
      </c>
      <c r="Y119" t="s">
        <v>157</v>
      </c>
      <c r="Z119">
        <f>0</f>
        <v>0</v>
      </c>
      <c r="AA119">
        <f>18</f>
        <v>18</v>
      </c>
      <c r="AB119" t="s">
        <v>158</v>
      </c>
      <c r="AD119">
        <f>0</f>
        <v>0</v>
      </c>
      <c r="AE119">
        <f>0</f>
        <v>0</v>
      </c>
    </row>
    <row r="120" spans="1:149" x14ac:dyDescent="0.25">
      <c r="A120" t="s">
        <v>580</v>
      </c>
      <c r="B120" t="s">
        <v>148</v>
      </c>
      <c r="C120" s="1">
        <v>45733</v>
      </c>
      <c r="D120" t="s">
        <v>175</v>
      </c>
      <c r="E120" t="s">
        <v>176</v>
      </c>
      <c r="F120" t="s">
        <v>556</v>
      </c>
      <c r="G120" t="s">
        <v>557</v>
      </c>
      <c r="H120">
        <v>1701</v>
      </c>
      <c r="I120" t="s">
        <v>6554</v>
      </c>
      <c r="J120">
        <v>138695</v>
      </c>
      <c r="K120" t="s">
        <v>5254</v>
      </c>
      <c r="L120" t="s">
        <v>180</v>
      </c>
      <c r="M120" t="s">
        <v>4710</v>
      </c>
      <c r="N120" t="s">
        <v>4959</v>
      </c>
      <c r="O120" t="s">
        <v>581</v>
      </c>
      <c r="Q120" t="s">
        <v>6313</v>
      </c>
      <c r="R120">
        <f>1</f>
        <v>1</v>
      </c>
      <c r="S120">
        <f>12.1</f>
        <v>12.1</v>
      </c>
      <c r="T120">
        <f>7.4</f>
        <v>7.4</v>
      </c>
      <c r="U120">
        <f>493</f>
        <v>493</v>
      </c>
      <c r="X120">
        <f>0</f>
        <v>0</v>
      </c>
      <c r="Y120">
        <f>0.1</f>
        <v>0.1</v>
      </c>
      <c r="Z120">
        <f>0</f>
        <v>0</v>
      </c>
      <c r="AA120" t="s">
        <v>158</v>
      </c>
      <c r="AB120" t="s">
        <v>158</v>
      </c>
      <c r="AD120">
        <f>0</f>
        <v>0</v>
      </c>
      <c r="AE120">
        <f>0</f>
        <v>0</v>
      </c>
    </row>
    <row r="121" spans="1:149" x14ac:dyDescent="0.25">
      <c r="A121" t="s">
        <v>582</v>
      </c>
      <c r="B121" t="s">
        <v>148</v>
      </c>
      <c r="C121" s="1">
        <v>45709</v>
      </c>
      <c r="D121" t="s">
        <v>175</v>
      </c>
      <c r="E121" t="s">
        <v>176</v>
      </c>
      <c r="F121" t="s">
        <v>556</v>
      </c>
      <c r="G121" t="s">
        <v>557</v>
      </c>
      <c r="H121">
        <v>1701</v>
      </c>
      <c r="I121" t="s">
        <v>6554</v>
      </c>
      <c r="J121">
        <v>138695</v>
      </c>
      <c r="K121" t="s">
        <v>5254</v>
      </c>
      <c r="L121" t="s">
        <v>180</v>
      </c>
      <c r="M121" t="s">
        <v>4960</v>
      </c>
      <c r="N121" t="s">
        <v>4711</v>
      </c>
      <c r="O121" t="s">
        <v>583</v>
      </c>
      <c r="Q121" t="s">
        <v>6312</v>
      </c>
      <c r="R121">
        <f>1</f>
        <v>1</v>
      </c>
      <c r="S121">
        <f>10.5</f>
        <v>10.5</v>
      </c>
      <c r="T121">
        <f>7.5</f>
        <v>7.5</v>
      </c>
      <c r="U121">
        <f>487</f>
        <v>487</v>
      </c>
      <c r="X121">
        <f>0</f>
        <v>0</v>
      </c>
      <c r="Y121" t="s">
        <v>157</v>
      </c>
      <c r="Z121">
        <f>0</f>
        <v>0</v>
      </c>
      <c r="AA121">
        <f>42</f>
        <v>42</v>
      </c>
      <c r="AB121">
        <f>47</f>
        <v>47</v>
      </c>
      <c r="AD121">
        <f>0</f>
        <v>0</v>
      </c>
      <c r="AE121">
        <f>0</f>
        <v>0</v>
      </c>
    </row>
    <row r="122" spans="1:149" x14ac:dyDescent="0.25">
      <c r="A122" t="s">
        <v>584</v>
      </c>
      <c r="B122" t="s">
        <v>148</v>
      </c>
      <c r="C122" s="1">
        <v>45733</v>
      </c>
      <c r="D122" t="s">
        <v>175</v>
      </c>
      <c r="E122" t="s">
        <v>176</v>
      </c>
      <c r="F122" t="s">
        <v>556</v>
      </c>
      <c r="G122" t="s">
        <v>557</v>
      </c>
      <c r="H122">
        <v>1701</v>
      </c>
      <c r="I122" t="s">
        <v>6554</v>
      </c>
      <c r="J122">
        <v>138695</v>
      </c>
      <c r="K122" t="s">
        <v>5254</v>
      </c>
      <c r="L122" t="s">
        <v>180</v>
      </c>
      <c r="M122" t="s">
        <v>4712</v>
      </c>
      <c r="N122" t="s">
        <v>4961</v>
      </c>
      <c r="O122" t="s">
        <v>585</v>
      </c>
      <c r="Q122" t="s">
        <v>6313</v>
      </c>
      <c r="R122">
        <f>1</f>
        <v>1</v>
      </c>
      <c r="S122">
        <f>17.5</f>
        <v>17.5</v>
      </c>
      <c r="T122">
        <f>7.6</f>
        <v>7.6</v>
      </c>
      <c r="U122">
        <f>457</f>
        <v>457</v>
      </c>
      <c r="X122">
        <f>0</f>
        <v>0</v>
      </c>
      <c r="Y122" t="s">
        <v>157</v>
      </c>
      <c r="Z122">
        <f>0</f>
        <v>0</v>
      </c>
      <c r="AA122" t="s">
        <v>158</v>
      </c>
      <c r="AB122" t="s">
        <v>158</v>
      </c>
      <c r="AD122">
        <f>0</f>
        <v>0</v>
      </c>
      <c r="AE122">
        <f>0</f>
        <v>0</v>
      </c>
    </row>
    <row r="123" spans="1:149" x14ac:dyDescent="0.25">
      <c r="A123" t="s">
        <v>586</v>
      </c>
      <c r="B123" t="s">
        <v>148</v>
      </c>
      <c r="C123" s="1">
        <v>45709</v>
      </c>
      <c r="D123" t="s">
        <v>175</v>
      </c>
      <c r="E123" t="s">
        <v>176</v>
      </c>
      <c r="F123" t="s">
        <v>556</v>
      </c>
      <c r="G123" t="s">
        <v>557</v>
      </c>
      <c r="H123">
        <v>1701</v>
      </c>
      <c r="I123" t="s">
        <v>6554</v>
      </c>
      <c r="J123">
        <v>138695</v>
      </c>
      <c r="K123" t="s">
        <v>5254</v>
      </c>
      <c r="L123" t="s">
        <v>180</v>
      </c>
      <c r="M123" t="s">
        <v>5830</v>
      </c>
      <c r="N123" t="s">
        <v>587</v>
      </c>
      <c r="O123" t="s">
        <v>588</v>
      </c>
      <c r="Q123" t="s">
        <v>6312</v>
      </c>
      <c r="R123">
        <f>1</f>
        <v>1</v>
      </c>
      <c r="S123">
        <f>12.7</f>
        <v>12.7</v>
      </c>
      <c r="T123">
        <f>7.4</f>
        <v>7.4</v>
      </c>
      <c r="U123">
        <f>435</f>
        <v>435</v>
      </c>
      <c r="X123">
        <f>0</f>
        <v>0</v>
      </c>
      <c r="Y123" t="s">
        <v>157</v>
      </c>
      <c r="Z123">
        <f>0</f>
        <v>0</v>
      </c>
      <c r="AA123" t="s">
        <v>158</v>
      </c>
      <c r="AB123" t="s">
        <v>158</v>
      </c>
      <c r="AD123">
        <f>0</f>
        <v>0</v>
      </c>
      <c r="AE123">
        <f>0</f>
        <v>0</v>
      </c>
    </row>
    <row r="124" spans="1:149" x14ac:dyDescent="0.25">
      <c r="A124" t="s">
        <v>589</v>
      </c>
      <c r="B124" t="s">
        <v>148</v>
      </c>
      <c r="C124" s="1">
        <v>45709</v>
      </c>
      <c r="D124" t="s">
        <v>175</v>
      </c>
      <c r="E124" t="s">
        <v>176</v>
      </c>
      <c r="F124" t="s">
        <v>556</v>
      </c>
      <c r="G124" t="s">
        <v>557</v>
      </c>
      <c r="H124">
        <v>1702</v>
      </c>
      <c r="I124" t="s">
        <v>5831</v>
      </c>
      <c r="J124">
        <v>37633</v>
      </c>
      <c r="K124" t="s">
        <v>5254</v>
      </c>
      <c r="L124" t="s">
        <v>180</v>
      </c>
      <c r="M124" t="s">
        <v>590</v>
      </c>
      <c r="N124" t="s">
        <v>591</v>
      </c>
      <c r="O124" t="s">
        <v>592</v>
      </c>
      <c r="Q124" t="s">
        <v>6314</v>
      </c>
      <c r="R124">
        <f>1</f>
        <v>1</v>
      </c>
      <c r="S124">
        <f>5.6</f>
        <v>5.6</v>
      </c>
      <c r="T124">
        <f>7.5</f>
        <v>7.5</v>
      </c>
      <c r="U124">
        <f>488</f>
        <v>488</v>
      </c>
      <c r="X124">
        <f>0</f>
        <v>0</v>
      </c>
      <c r="Y124" t="s">
        <v>157</v>
      </c>
      <c r="Z124">
        <f>0</f>
        <v>0</v>
      </c>
      <c r="AA124" t="s">
        <v>158</v>
      </c>
      <c r="AB124" t="s">
        <v>158</v>
      </c>
      <c r="AD124">
        <f>0</f>
        <v>0</v>
      </c>
      <c r="AE124">
        <f>0</f>
        <v>0</v>
      </c>
    </row>
    <row r="125" spans="1:149" x14ac:dyDescent="0.25">
      <c r="A125" t="s">
        <v>593</v>
      </c>
      <c r="B125" t="s">
        <v>148</v>
      </c>
      <c r="C125" s="1">
        <v>45797</v>
      </c>
      <c r="D125" t="s">
        <v>175</v>
      </c>
      <c r="E125" t="s">
        <v>176</v>
      </c>
      <c r="F125" t="s">
        <v>556</v>
      </c>
      <c r="G125" t="s">
        <v>557</v>
      </c>
      <c r="H125">
        <v>1702</v>
      </c>
      <c r="I125" t="s">
        <v>5831</v>
      </c>
      <c r="J125">
        <v>37633</v>
      </c>
      <c r="K125" t="s">
        <v>5254</v>
      </c>
      <c r="L125" t="s">
        <v>180</v>
      </c>
      <c r="M125" t="s">
        <v>5308</v>
      </c>
      <c r="N125" t="s">
        <v>5832</v>
      </c>
      <c r="O125" t="s">
        <v>594</v>
      </c>
      <c r="R125">
        <f>1</f>
        <v>1</v>
      </c>
      <c r="S125">
        <f>18.1</f>
        <v>18.100000000000001</v>
      </c>
      <c r="T125">
        <f>7.4</f>
        <v>7.4</v>
      </c>
      <c r="U125">
        <f>495</f>
        <v>495</v>
      </c>
      <c r="X125">
        <f>0</f>
        <v>0</v>
      </c>
      <c r="Y125" t="s">
        <v>157</v>
      </c>
      <c r="Z125">
        <f>0</f>
        <v>0</v>
      </c>
      <c r="AA125" t="s">
        <v>158</v>
      </c>
      <c r="AB125" t="s">
        <v>158</v>
      </c>
      <c r="AD125">
        <f>0</f>
        <v>0</v>
      </c>
      <c r="AE125">
        <f>0</f>
        <v>0</v>
      </c>
      <c r="AH125" t="s">
        <v>157</v>
      </c>
      <c r="AI125" t="s">
        <v>238</v>
      </c>
      <c r="AL125" t="s">
        <v>164</v>
      </c>
      <c r="AM125" t="s">
        <v>165</v>
      </c>
      <c r="AN125">
        <f>17</f>
        <v>17</v>
      </c>
      <c r="AO125">
        <f>0.34</f>
        <v>0.34</v>
      </c>
      <c r="AP125">
        <f>14</f>
        <v>14</v>
      </c>
      <c r="AQ125">
        <f>8.8</f>
        <v>8.8000000000000007</v>
      </c>
      <c r="AR125" t="s">
        <v>157</v>
      </c>
      <c r="AS125">
        <f>9.6</f>
        <v>9.6</v>
      </c>
      <c r="AY125" t="s">
        <v>167</v>
      </c>
      <c r="AZ125" t="s">
        <v>158</v>
      </c>
      <c r="BA125">
        <f>0.026</f>
        <v>2.5999999999999999E-2</v>
      </c>
      <c r="BB125" t="s">
        <v>158</v>
      </c>
      <c r="BC125" t="s">
        <v>166</v>
      </c>
      <c r="BD125" t="s">
        <v>167</v>
      </c>
      <c r="BE125">
        <f>0.0039</f>
        <v>3.8999999999999998E-3</v>
      </c>
      <c r="BF125" t="s">
        <v>168</v>
      </c>
      <c r="BG125" t="s">
        <v>167</v>
      </c>
      <c r="BH125" t="s">
        <v>167</v>
      </c>
      <c r="BK125">
        <f>0.45</f>
        <v>0.45</v>
      </c>
      <c r="EP125" t="s">
        <v>157</v>
      </c>
      <c r="EQ125" t="s">
        <v>157</v>
      </c>
      <c r="ES125" t="s">
        <v>166</v>
      </c>
    </row>
    <row r="126" spans="1:149" x14ac:dyDescent="0.25">
      <c r="A126" t="s">
        <v>595</v>
      </c>
      <c r="B126" t="s">
        <v>148</v>
      </c>
      <c r="C126" s="1">
        <v>45797</v>
      </c>
      <c r="D126" t="s">
        <v>175</v>
      </c>
      <c r="E126" t="s">
        <v>176</v>
      </c>
      <c r="F126" t="s">
        <v>556</v>
      </c>
      <c r="G126" t="s">
        <v>557</v>
      </c>
      <c r="H126">
        <v>1702</v>
      </c>
      <c r="I126" t="s">
        <v>5831</v>
      </c>
      <c r="J126">
        <v>37633</v>
      </c>
      <c r="K126" t="s">
        <v>5254</v>
      </c>
      <c r="L126" t="s">
        <v>180</v>
      </c>
      <c r="M126" t="s">
        <v>5833</v>
      </c>
      <c r="N126" t="s">
        <v>4713</v>
      </c>
      <c r="O126" t="s">
        <v>596</v>
      </c>
      <c r="Q126" t="s">
        <v>6315</v>
      </c>
      <c r="R126">
        <f>1</f>
        <v>1</v>
      </c>
      <c r="S126">
        <f>14.7</f>
        <v>14.7</v>
      </c>
      <c r="T126">
        <f>7.5</f>
        <v>7.5</v>
      </c>
      <c r="U126">
        <f>492</f>
        <v>492</v>
      </c>
      <c r="X126">
        <f>0</f>
        <v>0</v>
      </c>
      <c r="Y126" t="s">
        <v>157</v>
      </c>
      <c r="Z126">
        <f>0</f>
        <v>0</v>
      </c>
      <c r="AA126" t="s">
        <v>158</v>
      </c>
      <c r="AB126" t="s">
        <v>158</v>
      </c>
      <c r="AD126">
        <f>0</f>
        <v>0</v>
      </c>
      <c r="AE126">
        <f>0</f>
        <v>0</v>
      </c>
      <c r="AH126" t="s">
        <v>157</v>
      </c>
      <c r="AI126" t="s">
        <v>238</v>
      </c>
      <c r="AL126" t="s">
        <v>164</v>
      </c>
      <c r="AM126" t="s">
        <v>165</v>
      </c>
      <c r="AN126">
        <f>18</f>
        <v>18</v>
      </c>
      <c r="AO126">
        <f>0.36</f>
        <v>0.36</v>
      </c>
      <c r="AP126">
        <f>14</f>
        <v>14</v>
      </c>
      <c r="AQ126">
        <f>9.1</f>
        <v>9.1</v>
      </c>
      <c r="AR126" t="s">
        <v>157</v>
      </c>
      <c r="AS126">
        <f>9.6</f>
        <v>9.6</v>
      </c>
      <c r="AY126" t="s">
        <v>167</v>
      </c>
      <c r="AZ126" t="s">
        <v>158</v>
      </c>
      <c r="BA126">
        <f>0.026</f>
        <v>2.5999999999999999E-2</v>
      </c>
      <c r="BB126" t="s">
        <v>158</v>
      </c>
      <c r="BC126" t="s">
        <v>166</v>
      </c>
      <c r="BD126" t="s">
        <v>167</v>
      </c>
      <c r="BE126">
        <f>0.0026</f>
        <v>2.5999999999999999E-3</v>
      </c>
      <c r="BF126" t="s">
        <v>168</v>
      </c>
      <c r="BG126" t="s">
        <v>167</v>
      </c>
      <c r="BH126" t="s">
        <v>167</v>
      </c>
      <c r="BK126">
        <f>0.44</f>
        <v>0.44</v>
      </c>
    </row>
    <row r="127" spans="1:149" x14ac:dyDescent="0.25">
      <c r="A127" t="s">
        <v>597</v>
      </c>
      <c r="B127" t="s">
        <v>148</v>
      </c>
      <c r="C127" s="1">
        <v>45709</v>
      </c>
      <c r="D127" t="s">
        <v>175</v>
      </c>
      <c r="E127" t="s">
        <v>176</v>
      </c>
      <c r="F127" t="s">
        <v>556</v>
      </c>
      <c r="G127" t="s">
        <v>557</v>
      </c>
      <c r="H127">
        <v>1702</v>
      </c>
      <c r="I127" t="s">
        <v>5831</v>
      </c>
      <c r="J127">
        <v>37633</v>
      </c>
      <c r="K127" t="s">
        <v>5254</v>
      </c>
      <c r="L127" t="s">
        <v>180</v>
      </c>
      <c r="M127" t="s">
        <v>5834</v>
      </c>
      <c r="N127" t="s">
        <v>598</v>
      </c>
      <c r="O127" t="s">
        <v>599</v>
      </c>
      <c r="Q127" t="s">
        <v>6311</v>
      </c>
      <c r="R127">
        <f>1</f>
        <v>1</v>
      </c>
      <c r="S127">
        <f>9.8</f>
        <v>9.8000000000000007</v>
      </c>
      <c r="T127">
        <f>7.5</f>
        <v>7.5</v>
      </c>
      <c r="U127">
        <f>490</f>
        <v>490</v>
      </c>
      <c r="X127">
        <f>0</f>
        <v>0</v>
      </c>
      <c r="Y127" t="s">
        <v>157</v>
      </c>
      <c r="Z127">
        <f>0</f>
        <v>0</v>
      </c>
      <c r="AA127" t="s">
        <v>158</v>
      </c>
      <c r="AB127" t="s">
        <v>158</v>
      </c>
      <c r="AD127">
        <f>0</f>
        <v>0</v>
      </c>
      <c r="AE127">
        <f>0</f>
        <v>0</v>
      </c>
    </row>
    <row r="128" spans="1:149" x14ac:dyDescent="0.25">
      <c r="A128" t="s">
        <v>600</v>
      </c>
      <c r="B128" t="s">
        <v>148</v>
      </c>
      <c r="C128" s="1">
        <v>45709</v>
      </c>
      <c r="D128" t="s">
        <v>175</v>
      </c>
      <c r="E128" t="s">
        <v>176</v>
      </c>
      <c r="F128" t="s">
        <v>556</v>
      </c>
      <c r="G128" t="s">
        <v>557</v>
      </c>
      <c r="H128">
        <v>1705</v>
      </c>
      <c r="I128" t="s">
        <v>601</v>
      </c>
      <c r="J128">
        <v>28423</v>
      </c>
      <c r="K128" t="s">
        <v>5254</v>
      </c>
      <c r="L128" t="s">
        <v>4940</v>
      </c>
      <c r="M128" t="s">
        <v>5309</v>
      </c>
      <c r="N128" t="s">
        <v>4714</v>
      </c>
      <c r="O128" t="s">
        <v>602</v>
      </c>
      <c r="Q128" t="s">
        <v>6316</v>
      </c>
      <c r="R128">
        <f>1</f>
        <v>1</v>
      </c>
      <c r="S128">
        <f>10.3</f>
        <v>10.3</v>
      </c>
      <c r="T128">
        <f>7.4</f>
        <v>7.4</v>
      </c>
      <c r="U128">
        <f>437</f>
        <v>437</v>
      </c>
      <c r="V128" t="s">
        <v>207</v>
      </c>
      <c r="X128">
        <f>0</f>
        <v>0</v>
      </c>
      <c r="Y128" t="s">
        <v>157</v>
      </c>
      <c r="Z128">
        <f>0</f>
        <v>0</v>
      </c>
      <c r="AA128" t="s">
        <v>158</v>
      </c>
      <c r="AB128" t="s">
        <v>158</v>
      </c>
      <c r="AD128">
        <f>0</f>
        <v>0</v>
      </c>
      <c r="AE128">
        <f>0</f>
        <v>0</v>
      </c>
    </row>
    <row r="129" spans="1:149" x14ac:dyDescent="0.25">
      <c r="A129" t="s">
        <v>603</v>
      </c>
      <c r="B129" t="s">
        <v>148</v>
      </c>
      <c r="C129" s="1">
        <v>45709</v>
      </c>
      <c r="D129" t="s">
        <v>175</v>
      </c>
      <c r="E129" t="s">
        <v>176</v>
      </c>
      <c r="F129" t="s">
        <v>556</v>
      </c>
      <c r="G129" t="s">
        <v>557</v>
      </c>
      <c r="H129">
        <v>1705</v>
      </c>
      <c r="I129" t="s">
        <v>601</v>
      </c>
      <c r="J129">
        <v>28423</v>
      </c>
      <c r="K129" t="s">
        <v>5254</v>
      </c>
      <c r="L129" t="s">
        <v>4940</v>
      </c>
      <c r="M129" t="s">
        <v>5310</v>
      </c>
      <c r="N129" t="s">
        <v>604</v>
      </c>
      <c r="O129" t="s">
        <v>605</v>
      </c>
      <c r="Q129" t="s">
        <v>6311</v>
      </c>
      <c r="R129">
        <f>1</f>
        <v>1</v>
      </c>
      <c r="S129">
        <f>10.1</f>
        <v>10.1</v>
      </c>
      <c r="T129">
        <f>7.4</f>
        <v>7.4</v>
      </c>
      <c r="U129">
        <f>416</f>
        <v>416</v>
      </c>
      <c r="V129">
        <f>0.07</f>
        <v>7.0000000000000007E-2</v>
      </c>
      <c r="X129">
        <f>0</f>
        <v>0</v>
      </c>
      <c r="Y129" t="s">
        <v>157</v>
      </c>
      <c r="Z129">
        <f>0</f>
        <v>0</v>
      </c>
      <c r="AA129" t="s">
        <v>158</v>
      </c>
      <c r="AB129" t="s">
        <v>158</v>
      </c>
      <c r="AD129">
        <f>0</f>
        <v>0</v>
      </c>
      <c r="AE129">
        <f>0</f>
        <v>0</v>
      </c>
    </row>
    <row r="130" spans="1:149" x14ac:dyDescent="0.25">
      <c r="A130" t="s">
        <v>606</v>
      </c>
      <c r="B130" t="s">
        <v>148</v>
      </c>
      <c r="C130" s="1">
        <v>45709</v>
      </c>
      <c r="D130" t="s">
        <v>175</v>
      </c>
      <c r="E130" t="s">
        <v>176</v>
      </c>
      <c r="F130" t="s">
        <v>556</v>
      </c>
      <c r="G130" t="s">
        <v>557</v>
      </c>
      <c r="H130">
        <v>1709</v>
      </c>
      <c r="I130" t="s">
        <v>6555</v>
      </c>
      <c r="J130">
        <v>38347</v>
      </c>
      <c r="K130" t="s">
        <v>5254</v>
      </c>
      <c r="L130" t="s">
        <v>180</v>
      </c>
      <c r="M130" t="s">
        <v>5835</v>
      </c>
      <c r="N130" t="s">
        <v>5311</v>
      </c>
      <c r="O130" t="s">
        <v>607</v>
      </c>
      <c r="Q130" t="s">
        <v>6311</v>
      </c>
      <c r="R130">
        <f>1</f>
        <v>1</v>
      </c>
      <c r="S130">
        <f>10.4</f>
        <v>10.4</v>
      </c>
      <c r="T130">
        <f>7.5</f>
        <v>7.5</v>
      </c>
      <c r="U130">
        <f>498</f>
        <v>498</v>
      </c>
      <c r="X130">
        <f>0</f>
        <v>0</v>
      </c>
      <c r="Y130" t="s">
        <v>157</v>
      </c>
      <c r="Z130">
        <f>0</f>
        <v>0</v>
      </c>
      <c r="AA130" t="s">
        <v>158</v>
      </c>
      <c r="AB130" t="s">
        <v>158</v>
      </c>
      <c r="AD130">
        <f>0</f>
        <v>0</v>
      </c>
      <c r="AE130">
        <f>0</f>
        <v>0</v>
      </c>
    </row>
    <row r="131" spans="1:149" x14ac:dyDescent="0.25">
      <c r="A131" t="s">
        <v>608</v>
      </c>
      <c r="B131" t="s">
        <v>268</v>
      </c>
      <c r="C131" s="1">
        <v>45783</v>
      </c>
      <c r="D131" t="s">
        <v>175</v>
      </c>
      <c r="E131" t="s">
        <v>176</v>
      </c>
      <c r="F131" t="s">
        <v>556</v>
      </c>
      <c r="G131" t="s">
        <v>557</v>
      </c>
      <c r="H131">
        <v>1709</v>
      </c>
      <c r="I131" t="s">
        <v>6555</v>
      </c>
      <c r="J131">
        <v>38347</v>
      </c>
      <c r="K131" t="s">
        <v>5254</v>
      </c>
      <c r="L131" t="s">
        <v>180</v>
      </c>
      <c r="M131" t="s">
        <v>4962</v>
      </c>
      <c r="N131" t="s">
        <v>5312</v>
      </c>
      <c r="O131" t="s">
        <v>609</v>
      </c>
      <c r="Q131" t="s">
        <v>6311</v>
      </c>
      <c r="R131">
        <f>1</f>
        <v>1</v>
      </c>
      <c r="S131">
        <f>14.9</f>
        <v>14.9</v>
      </c>
      <c r="T131">
        <f>7.3</f>
        <v>7.3</v>
      </c>
      <c r="U131">
        <f>541</f>
        <v>541</v>
      </c>
      <c r="X131">
        <f>0</f>
        <v>0</v>
      </c>
      <c r="Y131" t="s">
        <v>157</v>
      </c>
      <c r="Z131">
        <f>0</f>
        <v>0</v>
      </c>
      <c r="AA131" t="s">
        <v>158</v>
      </c>
      <c r="AB131" t="s">
        <v>158</v>
      </c>
      <c r="AD131">
        <f>0</f>
        <v>0</v>
      </c>
      <c r="AE131">
        <f>1</f>
        <v>1</v>
      </c>
      <c r="AH131" t="s">
        <v>157</v>
      </c>
      <c r="AI131" t="s">
        <v>238</v>
      </c>
      <c r="AL131" t="s">
        <v>164</v>
      </c>
      <c r="AM131" t="s">
        <v>165</v>
      </c>
      <c r="AN131">
        <f>19</f>
        <v>19</v>
      </c>
      <c r="AO131">
        <f>0.38</f>
        <v>0.38</v>
      </c>
      <c r="AP131">
        <f>18</f>
        <v>18</v>
      </c>
      <c r="AQ131">
        <f>28</f>
        <v>28</v>
      </c>
      <c r="AR131" t="s">
        <v>157</v>
      </c>
      <c r="AS131">
        <f>16</f>
        <v>16</v>
      </c>
      <c r="AY131" t="s">
        <v>167</v>
      </c>
      <c r="AZ131" t="s">
        <v>158</v>
      </c>
      <c r="BA131">
        <f>0.043</f>
        <v>4.2999999999999997E-2</v>
      </c>
      <c r="BB131" t="s">
        <v>158</v>
      </c>
      <c r="BC131" t="s">
        <v>166</v>
      </c>
      <c r="BD131" t="s">
        <v>167</v>
      </c>
      <c r="BE131">
        <f>0.0063</f>
        <v>6.3E-3</v>
      </c>
      <c r="BF131" t="s">
        <v>168</v>
      </c>
      <c r="BG131">
        <f>11</f>
        <v>11</v>
      </c>
      <c r="BH131" t="s">
        <v>167</v>
      </c>
      <c r="BK131">
        <f>0.57</f>
        <v>0.56999999999999995</v>
      </c>
    </row>
    <row r="132" spans="1:149" x14ac:dyDescent="0.25">
      <c r="A132" t="s">
        <v>610</v>
      </c>
      <c r="B132" t="s">
        <v>148</v>
      </c>
      <c r="C132" s="1">
        <v>45709</v>
      </c>
      <c r="D132" t="s">
        <v>175</v>
      </c>
      <c r="E132" t="s">
        <v>176</v>
      </c>
      <c r="F132" t="s">
        <v>556</v>
      </c>
      <c r="G132" t="s">
        <v>557</v>
      </c>
      <c r="H132">
        <v>1709</v>
      </c>
      <c r="I132" t="s">
        <v>6555</v>
      </c>
      <c r="J132">
        <v>38347</v>
      </c>
      <c r="K132" t="s">
        <v>5254</v>
      </c>
      <c r="L132" t="s">
        <v>180</v>
      </c>
      <c r="M132" t="s">
        <v>5313</v>
      </c>
      <c r="N132" t="s">
        <v>5314</v>
      </c>
      <c r="O132" t="s">
        <v>611</v>
      </c>
      <c r="Q132" t="s">
        <v>6311</v>
      </c>
      <c r="R132">
        <f>1</f>
        <v>1</v>
      </c>
      <c r="S132">
        <f>10.6</f>
        <v>10.6</v>
      </c>
      <c r="T132">
        <f>7.4</f>
        <v>7.4</v>
      </c>
      <c r="U132">
        <f>512</f>
        <v>512</v>
      </c>
      <c r="X132">
        <f>0</f>
        <v>0</v>
      </c>
      <c r="Y132" t="s">
        <v>157</v>
      </c>
      <c r="Z132">
        <f>0</f>
        <v>0</v>
      </c>
      <c r="AA132" t="s">
        <v>158</v>
      </c>
      <c r="AB132" t="s">
        <v>158</v>
      </c>
      <c r="AD132">
        <f>0</f>
        <v>0</v>
      </c>
      <c r="AE132">
        <f>0</f>
        <v>0</v>
      </c>
    </row>
    <row r="133" spans="1:149" x14ac:dyDescent="0.25">
      <c r="A133" t="s">
        <v>612</v>
      </c>
      <c r="B133" t="s">
        <v>148</v>
      </c>
      <c r="C133" s="1">
        <v>45714</v>
      </c>
      <c r="D133" t="s">
        <v>149</v>
      </c>
      <c r="E133" t="s">
        <v>150</v>
      </c>
      <c r="F133" t="s">
        <v>613</v>
      </c>
      <c r="G133" t="s">
        <v>614</v>
      </c>
      <c r="H133">
        <v>1824</v>
      </c>
      <c r="I133" t="s">
        <v>5103</v>
      </c>
      <c r="J133">
        <v>5600</v>
      </c>
      <c r="K133" t="s">
        <v>5254</v>
      </c>
      <c r="M133" t="s">
        <v>4715</v>
      </c>
      <c r="N133" t="s">
        <v>615</v>
      </c>
      <c r="O133" t="s">
        <v>616</v>
      </c>
      <c r="R133">
        <f>1</f>
        <v>1</v>
      </c>
      <c r="S133">
        <f>11</f>
        <v>11</v>
      </c>
      <c r="T133">
        <f>6.9</f>
        <v>6.9</v>
      </c>
      <c r="U133">
        <f>400</f>
        <v>400</v>
      </c>
      <c r="V133" t="s">
        <v>157</v>
      </c>
      <c r="X133">
        <f>0</f>
        <v>0</v>
      </c>
      <c r="Y133">
        <f>0.15</f>
        <v>0.15</v>
      </c>
      <c r="Z133">
        <f>0</f>
        <v>0</v>
      </c>
      <c r="AA133" t="s">
        <v>158</v>
      </c>
      <c r="AB133" t="s">
        <v>158</v>
      </c>
      <c r="AD133">
        <f>0</f>
        <v>0</v>
      </c>
      <c r="AE133">
        <f>0</f>
        <v>0</v>
      </c>
      <c r="AH133" t="s">
        <v>157</v>
      </c>
    </row>
    <row r="134" spans="1:149" x14ac:dyDescent="0.25">
      <c r="A134" t="s">
        <v>617</v>
      </c>
      <c r="B134" t="s">
        <v>148</v>
      </c>
      <c r="C134" s="1">
        <v>45716</v>
      </c>
      <c r="D134" t="s">
        <v>618</v>
      </c>
      <c r="E134" t="s">
        <v>619</v>
      </c>
      <c r="F134" t="s">
        <v>620</v>
      </c>
      <c r="G134" t="s">
        <v>6556</v>
      </c>
      <c r="H134">
        <v>8</v>
      </c>
      <c r="I134" t="s">
        <v>6556</v>
      </c>
      <c r="J134">
        <v>4770</v>
      </c>
      <c r="K134" t="s">
        <v>5257</v>
      </c>
      <c r="L134" t="s">
        <v>387</v>
      </c>
      <c r="M134" t="s">
        <v>621</v>
      </c>
      <c r="N134" t="s">
        <v>622</v>
      </c>
      <c r="O134" t="s">
        <v>623</v>
      </c>
      <c r="R134">
        <f>1</f>
        <v>1</v>
      </c>
      <c r="S134">
        <f>9.6</f>
        <v>9.6</v>
      </c>
      <c r="T134">
        <f>8</f>
        <v>8</v>
      </c>
      <c r="U134">
        <f>120</f>
        <v>120</v>
      </c>
      <c r="V134">
        <f>0.15</f>
        <v>0.15</v>
      </c>
      <c r="X134">
        <f>0</f>
        <v>0</v>
      </c>
      <c r="Y134">
        <f>0.1</f>
        <v>0.1</v>
      </c>
      <c r="Z134">
        <f>0</f>
        <v>0</v>
      </c>
      <c r="AA134" t="s">
        <v>158</v>
      </c>
      <c r="AB134" t="s">
        <v>158</v>
      </c>
      <c r="AD134">
        <f>0</f>
        <v>0</v>
      </c>
      <c r="AE134">
        <f>0</f>
        <v>0</v>
      </c>
      <c r="AH134" t="s">
        <v>157</v>
      </c>
    </row>
    <row r="135" spans="1:149" x14ac:dyDescent="0.25">
      <c r="A135" t="s">
        <v>624</v>
      </c>
      <c r="B135" t="s">
        <v>148</v>
      </c>
      <c r="C135" s="1">
        <v>45721</v>
      </c>
      <c r="D135" t="s">
        <v>149</v>
      </c>
      <c r="E135" t="s">
        <v>150</v>
      </c>
      <c r="F135" t="s">
        <v>625</v>
      </c>
      <c r="G135" t="s">
        <v>626</v>
      </c>
      <c r="H135">
        <v>1679</v>
      </c>
      <c r="I135" t="s">
        <v>627</v>
      </c>
      <c r="J135">
        <v>12250</v>
      </c>
      <c r="K135" t="s">
        <v>5254</v>
      </c>
      <c r="L135" t="s">
        <v>393</v>
      </c>
      <c r="M135" t="s">
        <v>5315</v>
      </c>
      <c r="N135" t="s">
        <v>5316</v>
      </c>
      <c r="O135" t="s">
        <v>628</v>
      </c>
      <c r="R135">
        <f>1</f>
        <v>1</v>
      </c>
      <c r="S135">
        <f>10.2</f>
        <v>10.199999999999999</v>
      </c>
      <c r="T135">
        <f>7.1</f>
        <v>7.1</v>
      </c>
      <c r="U135">
        <f>239</f>
        <v>239</v>
      </c>
      <c r="V135" t="s">
        <v>157</v>
      </c>
      <c r="X135">
        <f>0</f>
        <v>0</v>
      </c>
      <c r="Y135">
        <f>0.1</f>
        <v>0.1</v>
      </c>
      <c r="Z135">
        <f>0</f>
        <v>0</v>
      </c>
      <c r="AA135" t="s">
        <v>158</v>
      </c>
      <c r="AB135" t="s">
        <v>158</v>
      </c>
      <c r="AD135">
        <f>0</f>
        <v>0</v>
      </c>
      <c r="AE135">
        <f>0</f>
        <v>0</v>
      </c>
      <c r="AH135" t="s">
        <v>157</v>
      </c>
    </row>
    <row r="136" spans="1:149" x14ac:dyDescent="0.25">
      <c r="A136" t="s">
        <v>629</v>
      </c>
      <c r="B136" t="s">
        <v>148</v>
      </c>
      <c r="C136" s="1">
        <v>45726</v>
      </c>
      <c r="D136" t="s">
        <v>175</v>
      </c>
      <c r="E136" t="s">
        <v>176</v>
      </c>
      <c r="F136" t="s">
        <v>630</v>
      </c>
      <c r="G136" t="s">
        <v>631</v>
      </c>
      <c r="H136">
        <v>1175</v>
      </c>
      <c r="I136" t="s">
        <v>631</v>
      </c>
      <c r="J136">
        <v>14500</v>
      </c>
      <c r="K136" t="s">
        <v>5254</v>
      </c>
      <c r="L136" t="s">
        <v>154</v>
      </c>
      <c r="M136" t="s">
        <v>630</v>
      </c>
      <c r="N136" t="s">
        <v>632</v>
      </c>
      <c r="O136" t="s">
        <v>633</v>
      </c>
      <c r="R136">
        <f>1</f>
        <v>1</v>
      </c>
      <c r="S136">
        <f>7.8</f>
        <v>7.8</v>
      </c>
      <c r="T136">
        <f>7.5</f>
        <v>7.5</v>
      </c>
      <c r="U136">
        <f>577</f>
        <v>577</v>
      </c>
      <c r="V136">
        <f>0.2</f>
        <v>0.2</v>
      </c>
      <c r="X136">
        <f>0</f>
        <v>0</v>
      </c>
      <c r="Y136" t="s">
        <v>157</v>
      </c>
      <c r="Z136">
        <f>0</f>
        <v>0</v>
      </c>
      <c r="AA136" t="s">
        <v>158</v>
      </c>
      <c r="AB136" t="s">
        <v>158</v>
      </c>
      <c r="AD136">
        <f>0</f>
        <v>0</v>
      </c>
      <c r="AE136">
        <f>0</f>
        <v>0</v>
      </c>
    </row>
    <row r="137" spans="1:149" x14ac:dyDescent="0.25">
      <c r="A137" t="s">
        <v>634</v>
      </c>
      <c r="B137" t="s">
        <v>148</v>
      </c>
      <c r="C137" s="1">
        <v>45771</v>
      </c>
      <c r="D137" t="s">
        <v>175</v>
      </c>
      <c r="E137" t="s">
        <v>176</v>
      </c>
      <c r="F137" t="s">
        <v>630</v>
      </c>
      <c r="G137" t="s">
        <v>631</v>
      </c>
      <c r="H137">
        <v>1175</v>
      </c>
      <c r="I137" t="s">
        <v>631</v>
      </c>
      <c r="J137">
        <v>14500</v>
      </c>
      <c r="K137" t="s">
        <v>5254</v>
      </c>
      <c r="L137" t="s">
        <v>154</v>
      </c>
      <c r="M137" t="s">
        <v>635</v>
      </c>
      <c r="N137" t="s">
        <v>636</v>
      </c>
      <c r="O137" t="s">
        <v>637</v>
      </c>
      <c r="R137">
        <f>1</f>
        <v>1</v>
      </c>
      <c r="S137">
        <f>11.5</f>
        <v>11.5</v>
      </c>
      <c r="T137">
        <f>7.5</f>
        <v>7.5</v>
      </c>
      <c r="U137">
        <f>574</f>
        <v>574</v>
      </c>
      <c r="X137">
        <f>0</f>
        <v>0</v>
      </c>
      <c r="Y137" t="s">
        <v>157</v>
      </c>
      <c r="Z137">
        <f>0</f>
        <v>0</v>
      </c>
      <c r="AA137" t="s">
        <v>158</v>
      </c>
      <c r="AB137" t="s">
        <v>158</v>
      </c>
      <c r="AD137">
        <f>0</f>
        <v>0</v>
      </c>
      <c r="AE137">
        <f>0</f>
        <v>0</v>
      </c>
      <c r="AI137">
        <f>0.8</f>
        <v>0.8</v>
      </c>
      <c r="AL137" t="s">
        <v>164</v>
      </c>
      <c r="AM137" t="s">
        <v>165</v>
      </c>
      <c r="AN137">
        <f>4.9</f>
        <v>4.9000000000000004</v>
      </c>
      <c r="AO137">
        <f>0.1</f>
        <v>0.1</v>
      </c>
      <c r="AP137">
        <f>7.1</f>
        <v>7.1</v>
      </c>
      <c r="AQ137">
        <f>5.3</f>
        <v>5.3</v>
      </c>
      <c r="AR137" t="s">
        <v>157</v>
      </c>
      <c r="AS137">
        <f>2.6</f>
        <v>2.6</v>
      </c>
      <c r="AY137" t="s">
        <v>167</v>
      </c>
      <c r="AZ137" t="s">
        <v>158</v>
      </c>
      <c r="BA137" t="s">
        <v>216</v>
      </c>
      <c r="BB137" t="s">
        <v>158</v>
      </c>
      <c r="BC137" t="s">
        <v>166</v>
      </c>
      <c r="BD137" t="s">
        <v>167</v>
      </c>
      <c r="BE137">
        <f>0.0042</f>
        <v>4.1999999999999997E-3</v>
      </c>
      <c r="BF137" t="s">
        <v>168</v>
      </c>
      <c r="BG137" t="s">
        <v>167</v>
      </c>
      <c r="BH137" t="s">
        <v>167</v>
      </c>
      <c r="BK137">
        <f>0.38</f>
        <v>0.38</v>
      </c>
      <c r="EL137">
        <f>0.23</f>
        <v>0.23</v>
      </c>
      <c r="EM137" t="s">
        <v>166</v>
      </c>
      <c r="EN137">
        <f>0.34</f>
        <v>0.34</v>
      </c>
      <c r="EO137">
        <f>0.33</f>
        <v>0.33</v>
      </c>
      <c r="ER137">
        <f>0.9</f>
        <v>0.9</v>
      </c>
    </row>
    <row r="138" spans="1:149" x14ac:dyDescent="0.25">
      <c r="A138" t="s">
        <v>638</v>
      </c>
      <c r="B138" t="s">
        <v>148</v>
      </c>
      <c r="C138" s="1">
        <v>45720</v>
      </c>
      <c r="D138" t="s">
        <v>618</v>
      </c>
      <c r="E138" t="s">
        <v>619</v>
      </c>
      <c r="F138" t="s">
        <v>5317</v>
      </c>
      <c r="G138" t="s">
        <v>639</v>
      </c>
      <c r="H138">
        <v>25</v>
      </c>
      <c r="I138" t="s">
        <v>640</v>
      </c>
      <c r="J138">
        <v>4319</v>
      </c>
      <c r="K138" t="s">
        <v>5254</v>
      </c>
      <c r="L138" t="s">
        <v>387</v>
      </c>
      <c r="M138" t="s">
        <v>641</v>
      </c>
      <c r="N138" t="s">
        <v>642</v>
      </c>
      <c r="O138" t="s">
        <v>643</v>
      </c>
      <c r="R138">
        <f>1</f>
        <v>1</v>
      </c>
      <c r="S138">
        <f>9.8</f>
        <v>9.8000000000000007</v>
      </c>
      <c r="T138">
        <f>7.8</f>
        <v>7.8</v>
      </c>
      <c r="U138">
        <f>341</f>
        <v>341</v>
      </c>
      <c r="V138" t="s">
        <v>157</v>
      </c>
      <c r="X138">
        <f>0</f>
        <v>0</v>
      </c>
      <c r="Y138">
        <f>0.1</f>
        <v>0.1</v>
      </c>
      <c r="Z138">
        <f>0</f>
        <v>0</v>
      </c>
      <c r="AA138" t="s">
        <v>158</v>
      </c>
      <c r="AB138" t="s">
        <v>158</v>
      </c>
      <c r="AD138">
        <f>0</f>
        <v>0</v>
      </c>
      <c r="AE138">
        <f>0</f>
        <v>0</v>
      </c>
      <c r="AH138" t="s">
        <v>157</v>
      </c>
    </row>
    <row r="139" spans="1:149" x14ac:dyDescent="0.25">
      <c r="A139" t="s">
        <v>644</v>
      </c>
      <c r="B139" t="s">
        <v>148</v>
      </c>
      <c r="C139" s="1">
        <v>45721</v>
      </c>
      <c r="D139" t="s">
        <v>175</v>
      </c>
      <c r="E139" t="s">
        <v>176</v>
      </c>
      <c r="F139" t="s">
        <v>630</v>
      </c>
      <c r="G139" t="s">
        <v>6557</v>
      </c>
      <c r="H139">
        <v>24</v>
      </c>
      <c r="I139" t="s">
        <v>6557</v>
      </c>
      <c r="J139">
        <v>13150</v>
      </c>
      <c r="K139" t="s">
        <v>5254</v>
      </c>
      <c r="L139" t="s">
        <v>154</v>
      </c>
      <c r="M139" t="s">
        <v>5836</v>
      </c>
      <c r="N139" t="s">
        <v>4716</v>
      </c>
      <c r="O139" t="s">
        <v>645</v>
      </c>
      <c r="R139">
        <f>1</f>
        <v>1</v>
      </c>
      <c r="S139">
        <f>8.5</f>
        <v>8.5</v>
      </c>
      <c r="T139">
        <f>7.4</f>
        <v>7.4</v>
      </c>
      <c r="U139">
        <f>578</f>
        <v>578</v>
      </c>
      <c r="V139">
        <f>0.27</f>
        <v>0.27</v>
      </c>
      <c r="X139">
        <f>0</f>
        <v>0</v>
      </c>
      <c r="Y139">
        <f>0.1</f>
        <v>0.1</v>
      </c>
      <c r="Z139">
        <f>0</f>
        <v>0</v>
      </c>
      <c r="AA139" t="s">
        <v>158</v>
      </c>
      <c r="AB139" t="s">
        <v>158</v>
      </c>
      <c r="AD139">
        <f>0</f>
        <v>0</v>
      </c>
      <c r="AE139">
        <f>0</f>
        <v>0</v>
      </c>
    </row>
    <row r="140" spans="1:149" x14ac:dyDescent="0.25">
      <c r="A140" t="s">
        <v>646</v>
      </c>
      <c r="B140" t="s">
        <v>148</v>
      </c>
      <c r="C140" s="1">
        <v>45722</v>
      </c>
      <c r="D140" t="s">
        <v>175</v>
      </c>
      <c r="E140" t="s">
        <v>176</v>
      </c>
      <c r="F140" t="s">
        <v>630</v>
      </c>
      <c r="G140" t="s">
        <v>6557</v>
      </c>
      <c r="H140">
        <v>24</v>
      </c>
      <c r="I140" t="s">
        <v>6557</v>
      </c>
      <c r="J140">
        <v>13150</v>
      </c>
      <c r="K140" t="s">
        <v>5254</v>
      </c>
      <c r="L140" t="s">
        <v>154</v>
      </c>
      <c r="M140" t="s">
        <v>5837</v>
      </c>
      <c r="N140" t="s">
        <v>4717</v>
      </c>
      <c r="O140" t="s">
        <v>647</v>
      </c>
      <c r="R140">
        <f>1</f>
        <v>1</v>
      </c>
      <c r="S140">
        <f>7.8</f>
        <v>7.8</v>
      </c>
      <c r="T140">
        <f>7.5</f>
        <v>7.5</v>
      </c>
      <c r="U140">
        <f>514</f>
        <v>514</v>
      </c>
      <c r="X140">
        <f>0</f>
        <v>0</v>
      </c>
      <c r="Y140">
        <f>0.1</f>
        <v>0.1</v>
      </c>
      <c r="Z140">
        <f>0</f>
        <v>0</v>
      </c>
      <c r="AA140" t="s">
        <v>158</v>
      </c>
      <c r="AB140" t="s">
        <v>158</v>
      </c>
      <c r="AD140">
        <f>0</f>
        <v>0</v>
      </c>
      <c r="AE140">
        <f>0</f>
        <v>0</v>
      </c>
    </row>
    <row r="141" spans="1:149" x14ac:dyDescent="0.25">
      <c r="A141" t="s">
        <v>648</v>
      </c>
      <c r="B141" t="s">
        <v>148</v>
      </c>
      <c r="C141" s="1">
        <v>45741</v>
      </c>
      <c r="D141" t="s">
        <v>175</v>
      </c>
      <c r="E141" t="s">
        <v>649</v>
      </c>
      <c r="F141" t="s">
        <v>650</v>
      </c>
      <c r="G141" t="s">
        <v>5838</v>
      </c>
      <c r="H141">
        <v>35</v>
      </c>
      <c r="I141" t="s">
        <v>5838</v>
      </c>
      <c r="J141">
        <v>7224</v>
      </c>
      <c r="K141" t="s">
        <v>5257</v>
      </c>
      <c r="L141" t="s">
        <v>154</v>
      </c>
      <c r="M141" t="s">
        <v>5839</v>
      </c>
      <c r="N141" t="s">
        <v>5840</v>
      </c>
      <c r="O141" t="s">
        <v>651</v>
      </c>
      <c r="R141">
        <f>1</f>
        <v>1</v>
      </c>
      <c r="S141">
        <f>11.3</f>
        <v>11.3</v>
      </c>
      <c r="T141">
        <f>7.6</f>
        <v>7.6</v>
      </c>
      <c r="U141">
        <f>407</f>
        <v>407</v>
      </c>
      <c r="X141">
        <f>0</f>
        <v>0</v>
      </c>
      <c r="Y141">
        <f>0.28</f>
        <v>0.28000000000000003</v>
      </c>
      <c r="Z141">
        <f>0</f>
        <v>0</v>
      </c>
      <c r="AA141" t="s">
        <v>158</v>
      </c>
      <c r="AB141" t="s">
        <v>158</v>
      </c>
      <c r="AC141">
        <f>0</f>
        <v>0</v>
      </c>
      <c r="AD141">
        <f>0</f>
        <v>0</v>
      </c>
      <c r="AE141">
        <f>0</f>
        <v>0</v>
      </c>
      <c r="AH141" t="s">
        <v>157</v>
      </c>
    </row>
    <row r="142" spans="1:149" x14ac:dyDescent="0.25">
      <c r="A142" t="s">
        <v>652</v>
      </c>
      <c r="B142" t="s">
        <v>148</v>
      </c>
      <c r="C142" s="1">
        <v>45804</v>
      </c>
      <c r="D142" t="s">
        <v>149</v>
      </c>
      <c r="E142" t="s">
        <v>150</v>
      </c>
      <c r="F142" t="s">
        <v>151</v>
      </c>
      <c r="G142" t="s">
        <v>5318</v>
      </c>
      <c r="H142">
        <v>131</v>
      </c>
      <c r="I142" t="s">
        <v>6558</v>
      </c>
      <c r="J142">
        <v>7204</v>
      </c>
      <c r="K142" t="s">
        <v>5254</v>
      </c>
      <c r="L142" t="s">
        <v>154</v>
      </c>
      <c r="M142" t="s">
        <v>653</v>
      </c>
      <c r="N142" t="s">
        <v>654</v>
      </c>
      <c r="O142" t="s">
        <v>655</v>
      </c>
      <c r="R142">
        <f>1</f>
        <v>1</v>
      </c>
      <c r="S142">
        <f>16.3</f>
        <v>16.3</v>
      </c>
      <c r="T142">
        <f>6.7</f>
        <v>6.7</v>
      </c>
      <c r="U142">
        <f>373</f>
        <v>373</v>
      </c>
      <c r="X142">
        <f>0</f>
        <v>0</v>
      </c>
      <c r="Y142">
        <f>0.1</f>
        <v>0.1</v>
      </c>
      <c r="Z142">
        <f>0</f>
        <v>0</v>
      </c>
      <c r="AA142" t="s">
        <v>158</v>
      </c>
      <c r="AB142" t="s">
        <v>158</v>
      </c>
      <c r="AD142">
        <f>0</f>
        <v>0</v>
      </c>
      <c r="AE142">
        <f>0</f>
        <v>0</v>
      </c>
      <c r="AH142" t="s">
        <v>157</v>
      </c>
      <c r="AI142" t="s">
        <v>238</v>
      </c>
      <c r="AL142" t="s">
        <v>164</v>
      </c>
      <c r="AM142" t="s">
        <v>165</v>
      </c>
      <c r="AN142">
        <f>19</f>
        <v>19</v>
      </c>
      <c r="AO142">
        <f>0.38</f>
        <v>0.38</v>
      </c>
      <c r="AP142">
        <f>25</f>
        <v>25</v>
      </c>
      <c r="AQ142">
        <f>27</f>
        <v>27</v>
      </c>
      <c r="AR142" t="s">
        <v>157</v>
      </c>
      <c r="AS142">
        <f>19</f>
        <v>19</v>
      </c>
      <c r="AY142">
        <f>1.7</f>
        <v>1.7</v>
      </c>
      <c r="AZ142">
        <f>34</f>
        <v>34</v>
      </c>
      <c r="BA142">
        <f>0.026</f>
        <v>2.5999999999999999E-2</v>
      </c>
      <c r="BB142" t="s">
        <v>158</v>
      </c>
      <c r="BC142" t="s">
        <v>166</v>
      </c>
      <c r="BD142" t="s">
        <v>167</v>
      </c>
      <c r="BE142">
        <f>0.0041</f>
        <v>4.1000000000000003E-3</v>
      </c>
      <c r="BF142" t="s">
        <v>168</v>
      </c>
      <c r="BG142" t="s">
        <v>167</v>
      </c>
      <c r="BH142" t="s">
        <v>167</v>
      </c>
      <c r="BK142">
        <f>0.1</f>
        <v>0.1</v>
      </c>
      <c r="BL142" t="s">
        <v>168</v>
      </c>
      <c r="BM142" t="s">
        <v>168</v>
      </c>
      <c r="BN142" t="s">
        <v>168</v>
      </c>
      <c r="BO142" t="s">
        <v>168</v>
      </c>
      <c r="BP142" t="s">
        <v>168</v>
      </c>
      <c r="BQ142" t="s">
        <v>168</v>
      </c>
      <c r="BR142" t="s">
        <v>168</v>
      </c>
      <c r="BS142" t="s">
        <v>168</v>
      </c>
      <c r="BT142" t="s">
        <v>209</v>
      </c>
      <c r="BU142" t="s">
        <v>168</v>
      </c>
      <c r="BV142" t="s">
        <v>209</v>
      </c>
      <c r="BW142" t="s">
        <v>209</v>
      </c>
      <c r="BX142" t="s">
        <v>209</v>
      </c>
      <c r="BY142" t="s">
        <v>209</v>
      </c>
      <c r="BZ142" t="s">
        <v>216</v>
      </c>
      <c r="CA142" t="s">
        <v>216</v>
      </c>
      <c r="CB142" t="s">
        <v>168</v>
      </c>
      <c r="CC142" t="s">
        <v>168</v>
      </c>
      <c r="CD142" t="s">
        <v>216</v>
      </c>
      <c r="CE142" t="s">
        <v>209</v>
      </c>
      <c r="CF142">
        <f>0.059</f>
        <v>5.8999999999999997E-2</v>
      </c>
      <c r="CG142" t="s">
        <v>168</v>
      </c>
      <c r="CH142" t="s">
        <v>165</v>
      </c>
      <c r="CI142" t="s">
        <v>216</v>
      </c>
      <c r="CJ142" t="s">
        <v>216</v>
      </c>
      <c r="CK142" t="s">
        <v>216</v>
      </c>
      <c r="CL142" t="s">
        <v>216</v>
      </c>
      <c r="CM142" t="s">
        <v>216</v>
      </c>
      <c r="CN142" t="s">
        <v>216</v>
      </c>
      <c r="CO142" t="s">
        <v>216</v>
      </c>
      <c r="CP142" t="s">
        <v>216</v>
      </c>
      <c r="CQ142" t="s">
        <v>216</v>
      </c>
      <c r="CR142" t="s">
        <v>216</v>
      </c>
      <c r="CS142" t="s">
        <v>216</v>
      </c>
      <c r="CT142" t="s">
        <v>216</v>
      </c>
      <c r="CU142" t="s">
        <v>216</v>
      </c>
      <c r="CV142" t="s">
        <v>216</v>
      </c>
      <c r="CW142" t="s">
        <v>216</v>
      </c>
      <c r="CX142" t="s">
        <v>216</v>
      </c>
      <c r="CY142" t="s">
        <v>216</v>
      </c>
      <c r="CZ142" t="s">
        <v>216</v>
      </c>
      <c r="DA142" t="s">
        <v>168</v>
      </c>
      <c r="DB142" t="s">
        <v>216</v>
      </c>
      <c r="DC142" t="s">
        <v>216</v>
      </c>
      <c r="DD142" t="s">
        <v>216</v>
      </c>
      <c r="DE142" t="s">
        <v>168</v>
      </c>
      <c r="DF142" t="s">
        <v>168</v>
      </c>
      <c r="DG142" t="s">
        <v>216</v>
      </c>
      <c r="DH142" t="s">
        <v>216</v>
      </c>
      <c r="DI142" t="s">
        <v>216</v>
      </c>
      <c r="DJ142" t="s">
        <v>216</v>
      </c>
      <c r="DK142" t="s">
        <v>168</v>
      </c>
      <c r="DL142" t="s">
        <v>216</v>
      </c>
      <c r="DM142" t="s">
        <v>216</v>
      </c>
      <c r="DN142" t="s">
        <v>216</v>
      </c>
      <c r="DO142" t="s">
        <v>216</v>
      </c>
      <c r="DP142" t="s">
        <v>168</v>
      </c>
      <c r="DQ142" t="s">
        <v>216</v>
      </c>
      <c r="DR142" t="s">
        <v>168</v>
      </c>
      <c r="DS142" t="s">
        <v>168</v>
      </c>
      <c r="DT142" t="s">
        <v>168</v>
      </c>
      <c r="DU142" t="s">
        <v>168</v>
      </c>
      <c r="DV142" t="s">
        <v>168</v>
      </c>
      <c r="DW142" t="s">
        <v>168</v>
      </c>
      <c r="DX142" t="s">
        <v>168</v>
      </c>
      <c r="DY142" t="s">
        <v>168</v>
      </c>
      <c r="DZ142" t="s">
        <v>209</v>
      </c>
      <c r="EA142" t="s">
        <v>216</v>
      </c>
      <c r="EB142" t="s">
        <v>168</v>
      </c>
      <c r="EC142" t="s">
        <v>168</v>
      </c>
      <c r="ED142" t="s">
        <v>209</v>
      </c>
      <c r="EE142" t="s">
        <v>168</v>
      </c>
      <c r="EL142">
        <f>0.16</f>
        <v>0.16</v>
      </c>
      <c r="EM142">
        <f>0.58</f>
        <v>0.57999999999999996</v>
      </c>
      <c r="EN142">
        <f>0.31</f>
        <v>0.31</v>
      </c>
      <c r="EO142">
        <f>0.59</f>
        <v>0.59</v>
      </c>
      <c r="EP142" t="s">
        <v>157</v>
      </c>
      <c r="EQ142" t="s">
        <v>157</v>
      </c>
      <c r="ER142">
        <f>1.6</f>
        <v>1.6</v>
      </c>
      <c r="ES142" t="s">
        <v>166</v>
      </c>
    </row>
    <row r="143" spans="1:149" x14ac:dyDescent="0.25">
      <c r="A143" t="s">
        <v>656</v>
      </c>
      <c r="B143" t="s">
        <v>148</v>
      </c>
      <c r="C143" s="1">
        <v>45715</v>
      </c>
      <c r="D143" t="s">
        <v>149</v>
      </c>
      <c r="E143" t="s">
        <v>150</v>
      </c>
      <c r="F143" t="s">
        <v>151</v>
      </c>
      <c r="G143" t="s">
        <v>5318</v>
      </c>
      <c r="H143">
        <v>131</v>
      </c>
      <c r="I143" t="s">
        <v>6558</v>
      </c>
      <c r="J143">
        <v>7204</v>
      </c>
      <c r="K143" t="s">
        <v>5254</v>
      </c>
      <c r="L143" t="s">
        <v>154</v>
      </c>
      <c r="M143" t="s">
        <v>657</v>
      </c>
      <c r="N143" t="s">
        <v>658</v>
      </c>
      <c r="O143" t="s">
        <v>659</v>
      </c>
      <c r="R143">
        <f>1</f>
        <v>1</v>
      </c>
      <c r="S143">
        <f>6.8</f>
        <v>6.8</v>
      </c>
      <c r="T143">
        <f>6.9</f>
        <v>6.9</v>
      </c>
      <c r="U143">
        <f>373</f>
        <v>373</v>
      </c>
      <c r="V143" t="s">
        <v>157</v>
      </c>
      <c r="X143">
        <f>0</f>
        <v>0</v>
      </c>
      <c r="Y143">
        <f>0.1</f>
        <v>0.1</v>
      </c>
      <c r="Z143">
        <f>0</f>
        <v>0</v>
      </c>
      <c r="AA143" t="s">
        <v>158</v>
      </c>
      <c r="AB143" t="s">
        <v>158</v>
      </c>
      <c r="AD143">
        <f>0</f>
        <v>0</v>
      </c>
      <c r="AE143">
        <f>0</f>
        <v>0</v>
      </c>
      <c r="AH143" t="s">
        <v>157</v>
      </c>
    </row>
    <row r="144" spans="1:149" x14ac:dyDescent="0.25">
      <c r="A144" t="s">
        <v>660</v>
      </c>
      <c r="B144" t="s">
        <v>148</v>
      </c>
      <c r="C144" s="1">
        <v>45789</v>
      </c>
      <c r="D144" t="s">
        <v>149</v>
      </c>
      <c r="E144" t="s">
        <v>150</v>
      </c>
      <c r="F144" t="s">
        <v>625</v>
      </c>
      <c r="G144" t="s">
        <v>626</v>
      </c>
      <c r="H144">
        <v>1679</v>
      </c>
      <c r="I144" t="s">
        <v>627</v>
      </c>
      <c r="J144">
        <v>12250</v>
      </c>
      <c r="K144" t="s">
        <v>5254</v>
      </c>
      <c r="L144" t="s">
        <v>393</v>
      </c>
      <c r="M144" t="s">
        <v>661</v>
      </c>
      <c r="N144" t="s">
        <v>662</v>
      </c>
      <c r="O144" t="s">
        <v>663</v>
      </c>
      <c r="Q144" t="s">
        <v>6317</v>
      </c>
      <c r="R144">
        <f>1</f>
        <v>1</v>
      </c>
      <c r="S144">
        <f>17.1</f>
        <v>17.100000000000001</v>
      </c>
      <c r="T144">
        <f>7.3</f>
        <v>7.3</v>
      </c>
      <c r="U144">
        <f>242</f>
        <v>242</v>
      </c>
      <c r="V144" t="s">
        <v>209</v>
      </c>
      <c r="X144">
        <f>0</f>
        <v>0</v>
      </c>
      <c r="Y144">
        <f>0.1</f>
        <v>0.1</v>
      </c>
      <c r="Z144">
        <f>0</f>
        <v>0</v>
      </c>
      <c r="AA144">
        <f>14</f>
        <v>14</v>
      </c>
      <c r="AB144">
        <f>20</f>
        <v>20</v>
      </c>
      <c r="AD144">
        <f>0</f>
        <v>0</v>
      </c>
      <c r="AE144">
        <f>0</f>
        <v>0</v>
      </c>
      <c r="AG144" t="s">
        <v>249</v>
      </c>
      <c r="AH144" t="s">
        <v>157</v>
      </c>
      <c r="AI144" t="s">
        <v>238</v>
      </c>
      <c r="AL144" t="s">
        <v>164</v>
      </c>
      <c r="AM144" t="s">
        <v>165</v>
      </c>
      <c r="AN144">
        <f>8.9</f>
        <v>8.9</v>
      </c>
      <c r="AO144">
        <f>0.18</f>
        <v>0.18</v>
      </c>
      <c r="AP144">
        <f>5</f>
        <v>5</v>
      </c>
      <c r="AQ144">
        <f>3.3</f>
        <v>3.3</v>
      </c>
      <c r="AR144" t="s">
        <v>157</v>
      </c>
      <c r="AS144">
        <f>8.5</f>
        <v>8.5</v>
      </c>
      <c r="AT144" t="s">
        <v>250</v>
      </c>
      <c r="AY144">
        <f>2.4</f>
        <v>2.4</v>
      </c>
      <c r="AZ144" t="s">
        <v>158</v>
      </c>
      <c r="BA144" t="s">
        <v>216</v>
      </c>
      <c r="BB144" t="s">
        <v>158</v>
      </c>
      <c r="BC144" t="s">
        <v>166</v>
      </c>
      <c r="BD144" t="s">
        <v>167</v>
      </c>
      <c r="BE144">
        <f>0.0025</f>
        <v>2.5000000000000001E-3</v>
      </c>
      <c r="BF144" t="s">
        <v>168</v>
      </c>
      <c r="BG144" t="s">
        <v>167</v>
      </c>
      <c r="BH144" t="s">
        <v>167</v>
      </c>
      <c r="BK144">
        <f>1</f>
        <v>1</v>
      </c>
      <c r="EL144">
        <f>0.17</f>
        <v>0.17</v>
      </c>
      <c r="EM144">
        <f>0.37</f>
        <v>0.37</v>
      </c>
      <c r="EN144">
        <f>0.25</f>
        <v>0.25</v>
      </c>
      <c r="EO144">
        <f>0.4</f>
        <v>0.4</v>
      </c>
      <c r="ER144">
        <f>1.2</f>
        <v>1.2</v>
      </c>
    </row>
    <row r="145" spans="1:148" x14ac:dyDescent="0.25">
      <c r="A145" t="s">
        <v>664</v>
      </c>
      <c r="B145" t="s">
        <v>148</v>
      </c>
      <c r="C145" s="1">
        <v>45721</v>
      </c>
      <c r="D145" t="s">
        <v>189</v>
      </c>
      <c r="E145" t="s">
        <v>284</v>
      </c>
      <c r="F145" t="s">
        <v>665</v>
      </c>
      <c r="G145" t="s">
        <v>666</v>
      </c>
      <c r="H145">
        <v>193</v>
      </c>
      <c r="I145" t="s">
        <v>666</v>
      </c>
      <c r="J145">
        <v>10226</v>
      </c>
      <c r="K145" t="s">
        <v>5257</v>
      </c>
      <c r="L145" t="s">
        <v>387</v>
      </c>
      <c r="M145" t="s">
        <v>667</v>
      </c>
      <c r="N145" t="s">
        <v>668</v>
      </c>
      <c r="O145" t="s">
        <v>669</v>
      </c>
      <c r="Q145" t="s">
        <v>670</v>
      </c>
      <c r="R145">
        <f>1</f>
        <v>1</v>
      </c>
      <c r="S145">
        <f>8.8</f>
        <v>8.8000000000000007</v>
      </c>
      <c r="T145">
        <f>7.9</f>
        <v>7.9</v>
      </c>
      <c r="U145">
        <f>361</f>
        <v>361</v>
      </c>
      <c r="V145">
        <f>0.06</f>
        <v>0.06</v>
      </c>
      <c r="X145">
        <f>0</f>
        <v>0</v>
      </c>
      <c r="Y145">
        <f>0.02</f>
        <v>0.02</v>
      </c>
      <c r="Z145">
        <f>0</f>
        <v>0</v>
      </c>
      <c r="AA145">
        <f>3</f>
        <v>3</v>
      </c>
      <c r="AB145">
        <f>0</f>
        <v>0</v>
      </c>
      <c r="AC145">
        <f>0</f>
        <v>0</v>
      </c>
      <c r="AD145">
        <f>0</f>
        <v>0</v>
      </c>
      <c r="AE145">
        <f>0</f>
        <v>0</v>
      </c>
      <c r="AH145" t="s">
        <v>157</v>
      </c>
    </row>
    <row r="146" spans="1:148" x14ac:dyDescent="0.25">
      <c r="A146" t="s">
        <v>671</v>
      </c>
      <c r="B146" t="s">
        <v>148</v>
      </c>
      <c r="C146" s="1">
        <v>45721</v>
      </c>
      <c r="D146" t="s">
        <v>189</v>
      </c>
      <c r="E146" t="s">
        <v>284</v>
      </c>
      <c r="F146" t="s">
        <v>665</v>
      </c>
      <c r="G146" t="s">
        <v>666</v>
      </c>
      <c r="H146">
        <v>193</v>
      </c>
      <c r="I146" t="s">
        <v>666</v>
      </c>
      <c r="J146">
        <v>10226</v>
      </c>
      <c r="K146" t="s">
        <v>5257</v>
      </c>
      <c r="L146" t="s">
        <v>387</v>
      </c>
      <c r="M146" t="s">
        <v>5841</v>
      </c>
      <c r="N146" t="s">
        <v>672</v>
      </c>
      <c r="O146" t="s">
        <v>673</v>
      </c>
      <c r="R146">
        <f>1</f>
        <v>1</v>
      </c>
      <c r="S146">
        <f>10.2</f>
        <v>10.199999999999999</v>
      </c>
      <c r="T146">
        <f>7.9</f>
        <v>7.9</v>
      </c>
      <c r="U146">
        <f>354</f>
        <v>354</v>
      </c>
      <c r="V146">
        <f>0.2</f>
        <v>0.2</v>
      </c>
      <c r="X146">
        <f>0</f>
        <v>0</v>
      </c>
      <c r="Y146">
        <f>0.02</f>
        <v>0.02</v>
      </c>
      <c r="Z146">
        <f>0</f>
        <v>0</v>
      </c>
      <c r="AA146">
        <f>0</f>
        <v>0</v>
      </c>
      <c r="AB146">
        <f>0</f>
        <v>0</v>
      </c>
      <c r="AC146">
        <f>0</f>
        <v>0</v>
      </c>
      <c r="AD146">
        <f>0</f>
        <v>0</v>
      </c>
      <c r="AE146">
        <f>0</f>
        <v>0</v>
      </c>
      <c r="AH146" t="s">
        <v>157</v>
      </c>
    </row>
    <row r="147" spans="1:148" x14ac:dyDescent="0.25">
      <c r="A147" t="s">
        <v>674</v>
      </c>
      <c r="B147" t="s">
        <v>148</v>
      </c>
      <c r="C147" s="1">
        <v>45721</v>
      </c>
      <c r="D147" t="s">
        <v>189</v>
      </c>
      <c r="E147" t="s">
        <v>284</v>
      </c>
      <c r="F147" t="s">
        <v>665</v>
      </c>
      <c r="G147" t="s">
        <v>666</v>
      </c>
      <c r="H147">
        <v>193</v>
      </c>
      <c r="I147" t="s">
        <v>666</v>
      </c>
      <c r="J147">
        <v>10226</v>
      </c>
      <c r="K147" t="s">
        <v>5257</v>
      </c>
      <c r="L147" t="s">
        <v>387</v>
      </c>
      <c r="M147" t="s">
        <v>5842</v>
      </c>
      <c r="N147" t="s">
        <v>675</v>
      </c>
      <c r="O147" t="s">
        <v>676</v>
      </c>
      <c r="R147">
        <f>1</f>
        <v>1</v>
      </c>
      <c r="S147">
        <f>9.5</f>
        <v>9.5</v>
      </c>
      <c r="T147">
        <f>8</f>
        <v>8</v>
      </c>
      <c r="U147">
        <f>357</f>
        <v>357</v>
      </c>
      <c r="V147">
        <f>0.15</f>
        <v>0.15</v>
      </c>
      <c r="X147">
        <f>0</f>
        <v>0</v>
      </c>
      <c r="Y147">
        <f>0.02</f>
        <v>0.02</v>
      </c>
      <c r="Z147">
        <f>0</f>
        <v>0</v>
      </c>
      <c r="AA147">
        <f>0</f>
        <v>0</v>
      </c>
      <c r="AB147">
        <f>0</f>
        <v>0</v>
      </c>
      <c r="AC147">
        <f>0</f>
        <v>0</v>
      </c>
      <c r="AD147">
        <f>0</f>
        <v>0</v>
      </c>
      <c r="AE147">
        <f>0</f>
        <v>0</v>
      </c>
      <c r="AH147" t="s">
        <v>157</v>
      </c>
    </row>
    <row r="148" spans="1:148" x14ac:dyDescent="0.25">
      <c r="A148" t="s">
        <v>677</v>
      </c>
      <c r="B148" t="s">
        <v>148</v>
      </c>
      <c r="C148" s="1">
        <v>45826</v>
      </c>
      <c r="D148" t="s">
        <v>175</v>
      </c>
      <c r="E148" t="s">
        <v>284</v>
      </c>
      <c r="F148" t="s">
        <v>678</v>
      </c>
      <c r="G148" t="s">
        <v>679</v>
      </c>
      <c r="H148">
        <v>642</v>
      </c>
      <c r="I148" t="s">
        <v>680</v>
      </c>
      <c r="J148">
        <v>9359</v>
      </c>
      <c r="K148" t="s">
        <v>5257</v>
      </c>
      <c r="L148" t="s">
        <v>681</v>
      </c>
      <c r="M148" t="s">
        <v>5843</v>
      </c>
      <c r="N148" t="s">
        <v>682</v>
      </c>
      <c r="O148" t="s">
        <v>683</v>
      </c>
      <c r="R148">
        <f>1</f>
        <v>1</v>
      </c>
      <c r="S148">
        <f>15.1</f>
        <v>15.1</v>
      </c>
      <c r="T148">
        <f>7.7</f>
        <v>7.7</v>
      </c>
      <c r="U148">
        <f>478</f>
        <v>478</v>
      </c>
      <c r="W148">
        <f>0.11</f>
        <v>0.11</v>
      </c>
      <c r="X148">
        <f>1</f>
        <v>1</v>
      </c>
      <c r="Y148" t="s">
        <v>157</v>
      </c>
      <c r="Z148">
        <f>0</f>
        <v>0</v>
      </c>
      <c r="AA148" t="s">
        <v>158</v>
      </c>
      <c r="AB148" t="s">
        <v>158</v>
      </c>
      <c r="AC148">
        <f>0</f>
        <v>0</v>
      </c>
      <c r="AD148">
        <f>0</f>
        <v>0</v>
      </c>
      <c r="AE148">
        <f>0</f>
        <v>0</v>
      </c>
      <c r="AH148" t="s">
        <v>157</v>
      </c>
      <c r="AI148">
        <f>0.5</f>
        <v>0.5</v>
      </c>
      <c r="AL148" t="s">
        <v>164</v>
      </c>
      <c r="AM148" t="s">
        <v>165</v>
      </c>
      <c r="AN148">
        <f>2.9</f>
        <v>2.9</v>
      </c>
      <c r="AO148">
        <f>0.06</f>
        <v>0.06</v>
      </c>
      <c r="AP148">
        <f>9</f>
        <v>9</v>
      </c>
      <c r="AQ148">
        <f>4.6</f>
        <v>4.5999999999999996</v>
      </c>
      <c r="AR148" t="s">
        <v>157</v>
      </c>
      <c r="AS148">
        <f>3.2</f>
        <v>3.2</v>
      </c>
      <c r="AY148" t="s">
        <v>167</v>
      </c>
      <c r="AZ148" t="s">
        <v>158</v>
      </c>
      <c r="BA148" t="s">
        <v>216</v>
      </c>
      <c r="BB148" t="s">
        <v>158</v>
      </c>
      <c r="BC148" t="s">
        <v>166</v>
      </c>
      <c r="BD148" t="s">
        <v>167</v>
      </c>
      <c r="BE148">
        <f>0.0031</f>
        <v>3.0999999999999999E-3</v>
      </c>
      <c r="BF148" t="s">
        <v>168</v>
      </c>
      <c r="BG148" t="s">
        <v>167</v>
      </c>
      <c r="BH148">
        <f>1.4</f>
        <v>1.4</v>
      </c>
      <c r="BK148">
        <f>0.94</f>
        <v>0.94</v>
      </c>
    </row>
    <row r="149" spans="1:148" x14ac:dyDescent="0.25">
      <c r="A149" t="s">
        <v>684</v>
      </c>
      <c r="B149" t="s">
        <v>148</v>
      </c>
      <c r="C149" s="1">
        <v>45800</v>
      </c>
      <c r="D149" t="s">
        <v>175</v>
      </c>
      <c r="E149" t="s">
        <v>649</v>
      </c>
      <c r="F149" t="s">
        <v>685</v>
      </c>
      <c r="G149" t="s">
        <v>6559</v>
      </c>
      <c r="H149">
        <v>1022</v>
      </c>
      <c r="I149" t="s">
        <v>6559</v>
      </c>
      <c r="J149">
        <v>8960</v>
      </c>
      <c r="K149" t="s">
        <v>5257</v>
      </c>
      <c r="L149" t="s">
        <v>154</v>
      </c>
      <c r="M149" t="s">
        <v>686</v>
      </c>
      <c r="N149" t="s">
        <v>687</v>
      </c>
      <c r="O149" t="s">
        <v>688</v>
      </c>
      <c r="R149">
        <f>1</f>
        <v>1</v>
      </c>
      <c r="S149">
        <f>16</f>
        <v>16</v>
      </c>
      <c r="T149">
        <f>7.5</f>
        <v>7.5</v>
      </c>
      <c r="U149">
        <f>527</f>
        <v>527</v>
      </c>
      <c r="X149">
        <f>1</f>
        <v>1</v>
      </c>
      <c r="Y149" t="s">
        <v>157</v>
      </c>
      <c r="Z149">
        <f>0</f>
        <v>0</v>
      </c>
      <c r="AA149" t="s">
        <v>158</v>
      </c>
      <c r="AB149" t="s">
        <v>158</v>
      </c>
      <c r="AC149">
        <f>0</f>
        <v>0</v>
      </c>
      <c r="AD149">
        <f>0</f>
        <v>0</v>
      </c>
      <c r="AE149">
        <f>0</f>
        <v>0</v>
      </c>
      <c r="AH149" t="s">
        <v>157</v>
      </c>
      <c r="AI149">
        <f>2</f>
        <v>2</v>
      </c>
      <c r="AL149" t="s">
        <v>164</v>
      </c>
      <c r="AM149" t="s">
        <v>165</v>
      </c>
      <c r="AN149">
        <f>5.8</f>
        <v>5.8</v>
      </c>
      <c r="AO149">
        <f>0.12</f>
        <v>0.12</v>
      </c>
      <c r="AP149">
        <f>7.2</f>
        <v>7.2</v>
      </c>
      <c r="AQ149">
        <f>6.9</f>
        <v>6.9</v>
      </c>
      <c r="AR149" t="s">
        <v>157</v>
      </c>
      <c r="AS149">
        <f>3.3</f>
        <v>3.3</v>
      </c>
      <c r="AY149" t="s">
        <v>167</v>
      </c>
      <c r="AZ149" t="s">
        <v>158</v>
      </c>
      <c r="BA149" t="s">
        <v>216</v>
      </c>
      <c r="BB149" t="s">
        <v>158</v>
      </c>
      <c r="BC149" t="s">
        <v>166</v>
      </c>
      <c r="BD149" t="s">
        <v>167</v>
      </c>
      <c r="BE149">
        <f>0.0073</f>
        <v>7.3000000000000001E-3</v>
      </c>
      <c r="BF149" t="s">
        <v>168</v>
      </c>
      <c r="BG149" t="s">
        <v>167</v>
      </c>
      <c r="BH149">
        <f>1.8</f>
        <v>1.8</v>
      </c>
      <c r="BK149">
        <f>0.4</f>
        <v>0.4</v>
      </c>
      <c r="EL149">
        <f>0.36</f>
        <v>0.36</v>
      </c>
      <c r="EM149">
        <f>0.2</f>
        <v>0.2</v>
      </c>
      <c r="EN149">
        <f>0.49</f>
        <v>0.49</v>
      </c>
      <c r="EO149">
        <f>0.5</f>
        <v>0.5</v>
      </c>
      <c r="ER149">
        <f>1.6</f>
        <v>1.6</v>
      </c>
    </row>
    <row r="150" spans="1:148" x14ac:dyDescent="0.25">
      <c r="A150" t="s">
        <v>689</v>
      </c>
      <c r="B150" t="s">
        <v>148</v>
      </c>
      <c r="C150" s="1">
        <v>45824</v>
      </c>
      <c r="D150" t="s">
        <v>175</v>
      </c>
      <c r="E150" t="s">
        <v>176</v>
      </c>
      <c r="F150" t="s">
        <v>690</v>
      </c>
      <c r="G150" t="s">
        <v>691</v>
      </c>
      <c r="H150">
        <v>1021</v>
      </c>
      <c r="I150" t="s">
        <v>692</v>
      </c>
      <c r="J150">
        <v>9974</v>
      </c>
      <c r="K150" t="s">
        <v>5254</v>
      </c>
      <c r="L150" t="s">
        <v>4963</v>
      </c>
      <c r="M150" t="s">
        <v>693</v>
      </c>
      <c r="N150" t="s">
        <v>694</v>
      </c>
      <c r="O150" t="s">
        <v>695</v>
      </c>
      <c r="R150">
        <f>1</f>
        <v>1</v>
      </c>
      <c r="S150">
        <f>16.2</f>
        <v>16.2</v>
      </c>
      <c r="T150">
        <f>7.4</f>
        <v>7.4</v>
      </c>
      <c r="U150">
        <f>398</f>
        <v>398</v>
      </c>
      <c r="V150">
        <f>0.29</f>
        <v>0.28999999999999998</v>
      </c>
      <c r="X150">
        <f>1</f>
        <v>1</v>
      </c>
      <c r="Y150" t="s">
        <v>157</v>
      </c>
      <c r="Z150">
        <f>0</f>
        <v>0</v>
      </c>
      <c r="AA150" t="s">
        <v>158</v>
      </c>
      <c r="AB150" t="s">
        <v>158</v>
      </c>
      <c r="AC150">
        <f>0</f>
        <v>0</v>
      </c>
      <c r="AD150">
        <f>0</f>
        <v>0</v>
      </c>
      <c r="AE150">
        <f>0</f>
        <v>0</v>
      </c>
      <c r="AG150" t="s">
        <v>249</v>
      </c>
      <c r="AH150" t="s">
        <v>157</v>
      </c>
      <c r="AI150" t="s">
        <v>238</v>
      </c>
      <c r="AL150" t="s">
        <v>164</v>
      </c>
      <c r="AM150" t="s">
        <v>165</v>
      </c>
      <c r="AN150">
        <f>4.3</f>
        <v>4.3</v>
      </c>
      <c r="AO150">
        <f>0.09</f>
        <v>0.09</v>
      </c>
      <c r="AP150">
        <f>2.3</f>
        <v>2.2999999999999998</v>
      </c>
      <c r="AQ150">
        <f>2</f>
        <v>2</v>
      </c>
      <c r="AR150" t="s">
        <v>157</v>
      </c>
      <c r="AS150">
        <f>1.1</f>
        <v>1.1000000000000001</v>
      </c>
      <c r="AT150" t="s">
        <v>250</v>
      </c>
      <c r="AY150" t="s">
        <v>167</v>
      </c>
      <c r="AZ150" t="s">
        <v>158</v>
      </c>
      <c r="BA150" t="s">
        <v>216</v>
      </c>
      <c r="BB150" t="s">
        <v>158</v>
      </c>
      <c r="BC150" t="s">
        <v>166</v>
      </c>
      <c r="BD150" t="s">
        <v>167</v>
      </c>
      <c r="BE150">
        <f>0.0015</f>
        <v>1.5E-3</v>
      </c>
      <c r="BF150" t="s">
        <v>168</v>
      </c>
      <c r="BG150" t="s">
        <v>167</v>
      </c>
      <c r="BH150" t="s">
        <v>167</v>
      </c>
      <c r="BK150">
        <f>0.33</f>
        <v>0.33</v>
      </c>
      <c r="EL150">
        <f>0.91</f>
        <v>0.91</v>
      </c>
      <c r="EM150" t="s">
        <v>166</v>
      </c>
      <c r="EN150">
        <f>0.67</f>
        <v>0.67</v>
      </c>
      <c r="EO150">
        <f>0.28</f>
        <v>0.28000000000000003</v>
      </c>
      <c r="ER150">
        <f>1.9</f>
        <v>1.9</v>
      </c>
    </row>
    <row r="151" spans="1:148" x14ac:dyDescent="0.25">
      <c r="A151" t="s">
        <v>696</v>
      </c>
      <c r="B151" t="s">
        <v>148</v>
      </c>
      <c r="C151" s="1">
        <v>45733</v>
      </c>
      <c r="D151" t="s">
        <v>269</v>
      </c>
      <c r="E151" t="s">
        <v>270</v>
      </c>
      <c r="F151" t="s">
        <v>271</v>
      </c>
      <c r="G151" t="s">
        <v>6560</v>
      </c>
      <c r="H151">
        <v>1474</v>
      </c>
      <c r="I151" t="s">
        <v>6560</v>
      </c>
      <c r="J151">
        <v>2443</v>
      </c>
      <c r="K151" t="s">
        <v>5257</v>
      </c>
      <c r="L151" t="s">
        <v>387</v>
      </c>
      <c r="M151" t="s">
        <v>5844</v>
      </c>
      <c r="N151" t="s">
        <v>4718</v>
      </c>
      <c r="O151" t="s">
        <v>697</v>
      </c>
      <c r="R151">
        <f>1</f>
        <v>1</v>
      </c>
      <c r="S151">
        <f>10.1</f>
        <v>10.1</v>
      </c>
      <c r="T151">
        <f>7.9</f>
        <v>7.9</v>
      </c>
      <c r="U151">
        <f>390</f>
        <v>390</v>
      </c>
      <c r="V151">
        <f>0.29</f>
        <v>0.28999999999999998</v>
      </c>
      <c r="X151">
        <f>0</f>
        <v>0</v>
      </c>
      <c r="Y151">
        <f>0.11</f>
        <v>0.11</v>
      </c>
      <c r="Z151">
        <f>0</f>
        <v>0</v>
      </c>
      <c r="AA151" t="s">
        <v>158</v>
      </c>
      <c r="AB151" t="s">
        <v>158</v>
      </c>
      <c r="AC151">
        <f>0</f>
        <v>0</v>
      </c>
      <c r="AD151">
        <f>0</f>
        <v>0</v>
      </c>
      <c r="AE151">
        <f>0</f>
        <v>0</v>
      </c>
    </row>
    <row r="152" spans="1:148" x14ac:dyDescent="0.25">
      <c r="A152" t="s">
        <v>698</v>
      </c>
      <c r="B152" t="s">
        <v>148</v>
      </c>
      <c r="C152" s="1">
        <v>45714</v>
      </c>
      <c r="D152" t="s">
        <v>311</v>
      </c>
      <c r="E152" t="s">
        <v>312</v>
      </c>
      <c r="F152" t="s">
        <v>418</v>
      </c>
      <c r="G152" t="s">
        <v>419</v>
      </c>
      <c r="H152">
        <v>1587</v>
      </c>
      <c r="I152" t="s">
        <v>5319</v>
      </c>
      <c r="J152">
        <v>9300</v>
      </c>
      <c r="K152" t="s">
        <v>5254</v>
      </c>
      <c r="M152" t="s">
        <v>5845</v>
      </c>
      <c r="N152" t="s">
        <v>5846</v>
      </c>
      <c r="O152" t="s">
        <v>699</v>
      </c>
      <c r="R152">
        <f>1</f>
        <v>1</v>
      </c>
      <c r="S152">
        <f>10.6</f>
        <v>10.6</v>
      </c>
      <c r="T152">
        <f>7.6</f>
        <v>7.6</v>
      </c>
      <c r="U152">
        <f>471</f>
        <v>471</v>
      </c>
      <c r="X152">
        <f>0</f>
        <v>0</v>
      </c>
      <c r="Y152" t="s">
        <v>157</v>
      </c>
      <c r="Z152">
        <f>0</f>
        <v>0</v>
      </c>
      <c r="AA152" t="s">
        <v>158</v>
      </c>
      <c r="AB152" t="s">
        <v>158</v>
      </c>
      <c r="AD152">
        <f>0</f>
        <v>0</v>
      </c>
      <c r="AE152">
        <f>0</f>
        <v>0</v>
      </c>
      <c r="AH152" t="s">
        <v>157</v>
      </c>
    </row>
    <row r="153" spans="1:148" x14ac:dyDescent="0.25">
      <c r="A153" t="s">
        <v>700</v>
      </c>
      <c r="B153" t="s">
        <v>268</v>
      </c>
      <c r="C153" s="1">
        <v>45727</v>
      </c>
      <c r="D153" t="s">
        <v>269</v>
      </c>
      <c r="E153" t="s">
        <v>270</v>
      </c>
      <c r="F153" t="s">
        <v>271</v>
      </c>
      <c r="G153" t="s">
        <v>701</v>
      </c>
      <c r="H153">
        <v>151</v>
      </c>
      <c r="I153" t="s">
        <v>701</v>
      </c>
      <c r="J153">
        <v>3340</v>
      </c>
      <c r="K153" t="s">
        <v>5257</v>
      </c>
      <c r="L153" t="s">
        <v>4940</v>
      </c>
      <c r="M153" t="s">
        <v>702</v>
      </c>
      <c r="N153" t="s">
        <v>703</v>
      </c>
      <c r="O153" t="s">
        <v>704</v>
      </c>
      <c r="Q153" t="s">
        <v>6318</v>
      </c>
      <c r="R153">
        <f>1</f>
        <v>1</v>
      </c>
      <c r="S153">
        <f>11</f>
        <v>11</v>
      </c>
      <c r="T153">
        <f>7.8</f>
        <v>7.8</v>
      </c>
      <c r="U153">
        <f>485</f>
        <v>485</v>
      </c>
      <c r="V153">
        <f>0.19</f>
        <v>0.19</v>
      </c>
      <c r="X153">
        <f>0</f>
        <v>0</v>
      </c>
      <c r="Y153" t="s">
        <v>207</v>
      </c>
      <c r="Z153">
        <f>0</f>
        <v>0</v>
      </c>
      <c r="AA153" t="s">
        <v>705</v>
      </c>
      <c r="AB153">
        <f>193</f>
        <v>193</v>
      </c>
      <c r="AC153">
        <f>0</f>
        <v>0</v>
      </c>
      <c r="AD153">
        <f>0</f>
        <v>0</v>
      </c>
      <c r="AE153">
        <f>0</f>
        <v>0</v>
      </c>
    </row>
    <row r="154" spans="1:148" x14ac:dyDescent="0.25">
      <c r="A154" t="s">
        <v>706</v>
      </c>
      <c r="B154" t="s">
        <v>148</v>
      </c>
      <c r="C154" s="1">
        <v>45733</v>
      </c>
      <c r="D154" t="s">
        <v>269</v>
      </c>
      <c r="E154" t="s">
        <v>270</v>
      </c>
      <c r="F154" t="s">
        <v>271</v>
      </c>
      <c r="G154" t="s">
        <v>707</v>
      </c>
      <c r="H154">
        <v>171</v>
      </c>
      <c r="I154" t="s">
        <v>708</v>
      </c>
      <c r="J154">
        <v>2135</v>
      </c>
      <c r="K154" t="s">
        <v>5257</v>
      </c>
      <c r="L154" t="s">
        <v>431</v>
      </c>
      <c r="M154" t="s">
        <v>5847</v>
      </c>
      <c r="N154" t="s">
        <v>5848</v>
      </c>
      <c r="O154" t="s">
        <v>709</v>
      </c>
      <c r="R154">
        <f>1</f>
        <v>1</v>
      </c>
      <c r="S154">
        <f>10.7</f>
        <v>10.7</v>
      </c>
      <c r="T154">
        <f>7.5</f>
        <v>7.5</v>
      </c>
      <c r="U154">
        <f>551</f>
        <v>551</v>
      </c>
      <c r="V154">
        <f>0.3</f>
        <v>0.3</v>
      </c>
      <c r="X154">
        <f>0</f>
        <v>0</v>
      </c>
      <c r="Y154" t="s">
        <v>207</v>
      </c>
      <c r="Z154">
        <f>0</f>
        <v>0</v>
      </c>
      <c r="AA154" t="s">
        <v>158</v>
      </c>
      <c r="AB154" t="s">
        <v>158</v>
      </c>
      <c r="AC154">
        <f>0</f>
        <v>0</v>
      </c>
      <c r="AD154">
        <f>0</f>
        <v>0</v>
      </c>
      <c r="AE154">
        <f>0</f>
        <v>0</v>
      </c>
    </row>
    <row r="155" spans="1:148" x14ac:dyDescent="0.25">
      <c r="A155" t="s">
        <v>710</v>
      </c>
      <c r="B155" t="s">
        <v>148</v>
      </c>
      <c r="C155" s="1">
        <v>45727</v>
      </c>
      <c r="D155" t="s">
        <v>189</v>
      </c>
      <c r="E155" t="s">
        <v>190</v>
      </c>
      <c r="F155" t="s">
        <v>5849</v>
      </c>
      <c r="G155" t="s">
        <v>711</v>
      </c>
      <c r="H155">
        <v>328</v>
      </c>
      <c r="I155" t="s">
        <v>711</v>
      </c>
      <c r="J155">
        <v>19000</v>
      </c>
      <c r="K155" t="s">
        <v>5257</v>
      </c>
      <c r="L155" t="s">
        <v>712</v>
      </c>
      <c r="M155" t="s">
        <v>6561</v>
      </c>
      <c r="N155" t="s">
        <v>4719</v>
      </c>
      <c r="O155" t="s">
        <v>713</v>
      </c>
      <c r="R155">
        <f>1</f>
        <v>1</v>
      </c>
      <c r="S155">
        <f>10.3</f>
        <v>10.3</v>
      </c>
      <c r="T155">
        <f>7.8</f>
        <v>7.8</v>
      </c>
      <c r="U155">
        <f>529</f>
        <v>529</v>
      </c>
      <c r="X155">
        <f>0</f>
        <v>0</v>
      </c>
      <c r="Y155">
        <f>0.18</f>
        <v>0.18</v>
      </c>
      <c r="Z155">
        <f>0</f>
        <v>0</v>
      </c>
      <c r="AA155" t="s">
        <v>158</v>
      </c>
      <c r="AB155" t="s">
        <v>158</v>
      </c>
      <c r="AC155">
        <f>0</f>
        <v>0</v>
      </c>
      <c r="AD155">
        <f>0</f>
        <v>0</v>
      </c>
      <c r="AE155">
        <f>0</f>
        <v>0</v>
      </c>
      <c r="AH155" t="s">
        <v>166</v>
      </c>
      <c r="AI155">
        <f>0.32</f>
        <v>0.32</v>
      </c>
      <c r="AL155" t="s">
        <v>216</v>
      </c>
      <c r="AM155" t="s">
        <v>266</v>
      </c>
      <c r="AN155">
        <f>5.39</f>
        <v>5.39</v>
      </c>
      <c r="AO155">
        <f>0.108</f>
        <v>0.108</v>
      </c>
      <c r="AP155">
        <f>11.9</f>
        <v>11.9</v>
      </c>
      <c r="AQ155">
        <f>44.7</f>
        <v>44.7</v>
      </c>
      <c r="AR155" t="s">
        <v>209</v>
      </c>
      <c r="AS155">
        <f>25</f>
        <v>25</v>
      </c>
      <c r="AY155">
        <f>0.63</f>
        <v>0.63</v>
      </c>
      <c r="AZ155">
        <f>40</f>
        <v>40</v>
      </c>
      <c r="BA155">
        <f>0.016</f>
        <v>1.6E-2</v>
      </c>
      <c r="BB155">
        <f>1.5</f>
        <v>1.5</v>
      </c>
      <c r="BC155">
        <f>0.052</f>
        <v>5.1999999999999998E-2</v>
      </c>
      <c r="BD155">
        <f>0.12</f>
        <v>0.12</v>
      </c>
      <c r="BE155">
        <f>0.003</f>
        <v>3.0000000000000001E-3</v>
      </c>
      <c r="BF155" t="s">
        <v>168</v>
      </c>
      <c r="BG155" t="s">
        <v>237</v>
      </c>
      <c r="BH155">
        <f>0.16</f>
        <v>0.16</v>
      </c>
      <c r="BK155">
        <f>0.51</f>
        <v>0.51</v>
      </c>
      <c r="EL155" t="s">
        <v>237</v>
      </c>
      <c r="EM155">
        <f>12</f>
        <v>12</v>
      </c>
      <c r="EN155">
        <f>0.6</f>
        <v>0.6</v>
      </c>
      <c r="EO155">
        <f>3.8</f>
        <v>3.8</v>
      </c>
      <c r="ER155">
        <f>16</f>
        <v>16</v>
      </c>
    </row>
    <row r="156" spans="1:148" x14ac:dyDescent="0.25">
      <c r="A156" t="s">
        <v>714</v>
      </c>
      <c r="B156" t="s">
        <v>148</v>
      </c>
      <c r="C156" s="1">
        <v>45729</v>
      </c>
      <c r="D156" t="s">
        <v>189</v>
      </c>
      <c r="E156" t="s">
        <v>190</v>
      </c>
      <c r="F156" t="s">
        <v>5849</v>
      </c>
      <c r="G156" t="s">
        <v>711</v>
      </c>
      <c r="H156">
        <v>328</v>
      </c>
      <c r="I156" t="s">
        <v>711</v>
      </c>
      <c r="J156">
        <v>19000</v>
      </c>
      <c r="K156" t="s">
        <v>5257</v>
      </c>
      <c r="L156" t="s">
        <v>712</v>
      </c>
      <c r="M156" t="s">
        <v>715</v>
      </c>
      <c r="N156" t="s">
        <v>716</v>
      </c>
      <c r="O156" t="s">
        <v>717</v>
      </c>
      <c r="Q156" t="s">
        <v>5850</v>
      </c>
      <c r="R156">
        <f>1</f>
        <v>1</v>
      </c>
      <c r="S156">
        <f>11.9</f>
        <v>11.9</v>
      </c>
      <c r="T156">
        <f>7.7</f>
        <v>7.7</v>
      </c>
      <c r="U156">
        <f>519</f>
        <v>519</v>
      </c>
      <c r="X156">
        <f>0</f>
        <v>0</v>
      </c>
      <c r="Y156">
        <f>0.14</f>
        <v>0.14000000000000001</v>
      </c>
      <c r="Z156">
        <f>0</f>
        <v>0</v>
      </c>
      <c r="AA156">
        <f>2</f>
        <v>2</v>
      </c>
      <c r="AB156">
        <f>81</f>
        <v>81</v>
      </c>
      <c r="AC156">
        <f>0</f>
        <v>0</v>
      </c>
      <c r="AD156">
        <f>0</f>
        <v>0</v>
      </c>
      <c r="AE156">
        <f>0</f>
        <v>0</v>
      </c>
      <c r="AH156" t="s">
        <v>157</v>
      </c>
    </row>
    <row r="157" spans="1:148" x14ac:dyDescent="0.25">
      <c r="A157" t="s">
        <v>718</v>
      </c>
      <c r="B157" t="s">
        <v>148</v>
      </c>
      <c r="C157" s="1">
        <v>45845</v>
      </c>
      <c r="D157" t="s">
        <v>189</v>
      </c>
      <c r="E157" t="s">
        <v>190</v>
      </c>
      <c r="F157" t="s">
        <v>5849</v>
      </c>
      <c r="G157" t="s">
        <v>711</v>
      </c>
      <c r="H157">
        <v>328</v>
      </c>
      <c r="I157" t="s">
        <v>711</v>
      </c>
      <c r="J157">
        <v>19000</v>
      </c>
      <c r="K157" t="s">
        <v>5257</v>
      </c>
      <c r="L157" t="s">
        <v>712</v>
      </c>
      <c r="M157" t="s">
        <v>719</v>
      </c>
      <c r="N157" t="s">
        <v>6562</v>
      </c>
      <c r="O157" t="s">
        <v>720</v>
      </c>
      <c r="R157">
        <f>1</f>
        <v>1</v>
      </c>
      <c r="S157">
        <f>22.6</f>
        <v>22.6</v>
      </c>
      <c r="T157">
        <f>7.8</f>
        <v>7.8</v>
      </c>
      <c r="U157">
        <f>356</f>
        <v>356</v>
      </c>
      <c r="X157">
        <f>0</f>
        <v>0</v>
      </c>
      <c r="Y157">
        <f>0.09</f>
        <v>0.09</v>
      </c>
      <c r="Z157">
        <f>0</f>
        <v>0</v>
      </c>
      <c r="AA157" t="s">
        <v>158</v>
      </c>
      <c r="AB157" t="s">
        <v>158</v>
      </c>
      <c r="AC157">
        <f>0</f>
        <v>0</v>
      </c>
      <c r="AD157">
        <f>0</f>
        <v>0</v>
      </c>
      <c r="AE157">
        <f>0</f>
        <v>0</v>
      </c>
      <c r="AH157" t="s">
        <v>166</v>
      </c>
      <c r="AI157">
        <f>0.48</f>
        <v>0.48</v>
      </c>
      <c r="AL157" t="s">
        <v>164</v>
      </c>
      <c r="AM157" t="s">
        <v>165</v>
      </c>
      <c r="AN157">
        <f>4.57</f>
        <v>4.57</v>
      </c>
      <c r="AO157">
        <f>0.091</f>
        <v>9.0999999999999998E-2</v>
      </c>
      <c r="AP157">
        <f>7.89</f>
        <v>7.89</v>
      </c>
      <c r="AQ157">
        <f>17.9</f>
        <v>17.899999999999999</v>
      </c>
      <c r="AR157" t="s">
        <v>209</v>
      </c>
      <c r="AS157">
        <f>11</f>
        <v>11</v>
      </c>
      <c r="AY157">
        <f>1.2</f>
        <v>1.2</v>
      </c>
      <c r="AZ157" t="s">
        <v>208</v>
      </c>
      <c r="BA157">
        <f>0.019</f>
        <v>1.9E-2</v>
      </c>
      <c r="BB157">
        <f>4.5</f>
        <v>4.5</v>
      </c>
      <c r="BC157">
        <f>0.087</f>
        <v>8.6999999999999994E-2</v>
      </c>
      <c r="BD157">
        <f>0.12</f>
        <v>0.12</v>
      </c>
      <c r="BE157">
        <f>0.022</f>
        <v>2.1999999999999999E-2</v>
      </c>
      <c r="BF157" t="s">
        <v>168</v>
      </c>
      <c r="BG157" t="s">
        <v>237</v>
      </c>
      <c r="BH157">
        <f>0.12</f>
        <v>0.12</v>
      </c>
      <c r="BK157">
        <f>0.32</f>
        <v>0.32</v>
      </c>
      <c r="EL157">
        <f>3.1</f>
        <v>3.1</v>
      </c>
      <c r="EM157">
        <f>7.9</f>
        <v>7.9</v>
      </c>
      <c r="EN157">
        <f>3.5</f>
        <v>3.5</v>
      </c>
      <c r="EO157">
        <f>8</f>
        <v>8</v>
      </c>
      <c r="ER157">
        <f>23</f>
        <v>23</v>
      </c>
    </row>
    <row r="158" spans="1:148" x14ac:dyDescent="0.25">
      <c r="A158" t="s">
        <v>721</v>
      </c>
      <c r="B158" t="s">
        <v>148</v>
      </c>
      <c r="C158" s="1">
        <v>45722</v>
      </c>
      <c r="D158" t="s">
        <v>269</v>
      </c>
      <c r="E158" t="s">
        <v>270</v>
      </c>
      <c r="F158" t="s">
        <v>6531</v>
      </c>
      <c r="G158" t="s">
        <v>6532</v>
      </c>
      <c r="H158">
        <v>797</v>
      </c>
      <c r="I158" t="s">
        <v>6563</v>
      </c>
      <c r="J158">
        <v>2912</v>
      </c>
      <c r="K158" t="s">
        <v>5257</v>
      </c>
      <c r="L158" t="s">
        <v>722</v>
      </c>
      <c r="M158" t="s">
        <v>4720</v>
      </c>
      <c r="N158" t="s">
        <v>5851</v>
      </c>
      <c r="O158" t="s">
        <v>723</v>
      </c>
      <c r="R158">
        <f>1</f>
        <v>1</v>
      </c>
      <c r="S158">
        <f>10.6</f>
        <v>10.6</v>
      </c>
      <c r="T158">
        <f>7.7</f>
        <v>7.7</v>
      </c>
      <c r="U158">
        <f>491</f>
        <v>491</v>
      </c>
      <c r="V158">
        <f>0.25</f>
        <v>0.25</v>
      </c>
      <c r="X158">
        <f>0</f>
        <v>0</v>
      </c>
      <c r="Y158">
        <f>0.06</f>
        <v>0.06</v>
      </c>
      <c r="Z158">
        <f>0</f>
        <v>0</v>
      </c>
      <c r="AA158" t="s">
        <v>158</v>
      </c>
      <c r="AB158" t="s">
        <v>158</v>
      </c>
      <c r="AC158">
        <f>0</f>
        <v>0</v>
      </c>
      <c r="AD158">
        <f>0</f>
        <v>0</v>
      </c>
      <c r="AE158">
        <f>0</f>
        <v>0</v>
      </c>
    </row>
    <row r="159" spans="1:148" x14ac:dyDescent="0.25">
      <c r="A159" t="s">
        <v>724</v>
      </c>
      <c r="B159" t="s">
        <v>148</v>
      </c>
      <c r="C159" s="1">
        <v>45720</v>
      </c>
      <c r="D159" t="s">
        <v>317</v>
      </c>
      <c r="E159" t="s">
        <v>318</v>
      </c>
      <c r="F159" t="s">
        <v>325</v>
      </c>
      <c r="G159" t="s">
        <v>725</v>
      </c>
      <c r="H159">
        <v>79</v>
      </c>
      <c r="I159" t="s">
        <v>725</v>
      </c>
      <c r="J159">
        <v>2522</v>
      </c>
      <c r="K159" t="s">
        <v>5257</v>
      </c>
      <c r="L159" t="s">
        <v>726</v>
      </c>
      <c r="M159" t="s">
        <v>5320</v>
      </c>
      <c r="N159" t="s">
        <v>727</v>
      </c>
      <c r="O159" t="s">
        <v>728</v>
      </c>
      <c r="Q159" t="s">
        <v>329</v>
      </c>
      <c r="R159">
        <f>1</f>
        <v>1</v>
      </c>
      <c r="S159">
        <f>7.2</f>
        <v>7.2</v>
      </c>
      <c r="T159">
        <f>8</f>
        <v>8</v>
      </c>
      <c r="U159">
        <f>262</f>
        <v>262</v>
      </c>
      <c r="V159">
        <f>0.09</f>
        <v>0.09</v>
      </c>
      <c r="X159">
        <f>0</f>
        <v>0</v>
      </c>
      <c r="Y159" t="s">
        <v>157</v>
      </c>
      <c r="Z159">
        <f>0</f>
        <v>0</v>
      </c>
      <c r="AA159">
        <f>0</f>
        <v>0</v>
      </c>
      <c r="AB159">
        <f>0</f>
        <v>0</v>
      </c>
      <c r="AC159">
        <f>0</f>
        <v>0</v>
      </c>
      <c r="AD159">
        <f>0</f>
        <v>0</v>
      </c>
      <c r="AE159">
        <f>0</f>
        <v>0</v>
      </c>
      <c r="AH159" t="s">
        <v>157</v>
      </c>
    </row>
    <row r="160" spans="1:148" x14ac:dyDescent="0.25">
      <c r="A160" t="s">
        <v>729</v>
      </c>
      <c r="B160" t="s">
        <v>148</v>
      </c>
      <c r="C160" s="1">
        <v>45783</v>
      </c>
      <c r="D160" t="s">
        <v>618</v>
      </c>
      <c r="E160" t="s">
        <v>619</v>
      </c>
      <c r="F160" t="s">
        <v>730</v>
      </c>
      <c r="G160" t="s">
        <v>731</v>
      </c>
      <c r="H160">
        <v>818</v>
      </c>
      <c r="I160" t="s">
        <v>731</v>
      </c>
      <c r="J160">
        <v>7500</v>
      </c>
      <c r="K160" t="s">
        <v>5254</v>
      </c>
      <c r="L160" t="s">
        <v>387</v>
      </c>
      <c r="M160" t="s">
        <v>5852</v>
      </c>
      <c r="N160" t="s">
        <v>732</v>
      </c>
      <c r="O160" t="s">
        <v>733</v>
      </c>
      <c r="R160">
        <f>1</f>
        <v>1</v>
      </c>
      <c r="S160">
        <f>13.2</f>
        <v>13.2</v>
      </c>
      <c r="T160">
        <f>7.6</f>
        <v>7.6</v>
      </c>
      <c r="U160">
        <f>351</f>
        <v>351</v>
      </c>
      <c r="X160">
        <f>0</f>
        <v>0</v>
      </c>
      <c r="Y160">
        <f>0.1</f>
        <v>0.1</v>
      </c>
      <c r="Z160">
        <f>0</f>
        <v>0</v>
      </c>
      <c r="AA160" t="s">
        <v>158</v>
      </c>
      <c r="AB160" t="s">
        <v>158</v>
      </c>
      <c r="AD160">
        <f>0</f>
        <v>0</v>
      </c>
      <c r="AE160">
        <f>0</f>
        <v>0</v>
      </c>
      <c r="AH160" t="s">
        <v>157</v>
      </c>
      <c r="AI160" t="s">
        <v>238</v>
      </c>
      <c r="AL160" t="s">
        <v>164</v>
      </c>
      <c r="AM160" t="s">
        <v>165</v>
      </c>
      <c r="AN160">
        <f>3.1</f>
        <v>3.1</v>
      </c>
      <c r="AO160">
        <f>0.06</f>
        <v>0.06</v>
      </c>
      <c r="AP160">
        <f>13</f>
        <v>13</v>
      </c>
      <c r="AQ160">
        <f>1.4</f>
        <v>1.4</v>
      </c>
      <c r="AR160" t="s">
        <v>157</v>
      </c>
      <c r="AS160">
        <f>0.79</f>
        <v>0.79</v>
      </c>
      <c r="AY160">
        <f>1</f>
        <v>1</v>
      </c>
      <c r="AZ160">
        <f>27</f>
        <v>27</v>
      </c>
      <c r="BA160" t="s">
        <v>216</v>
      </c>
      <c r="BB160" t="s">
        <v>158</v>
      </c>
      <c r="BC160" t="s">
        <v>166</v>
      </c>
      <c r="BD160" t="s">
        <v>167</v>
      </c>
      <c r="BE160">
        <f>0.0031</f>
        <v>3.0999999999999999E-3</v>
      </c>
      <c r="BF160">
        <f>0.028</f>
        <v>2.8000000000000001E-2</v>
      </c>
      <c r="BG160" t="s">
        <v>167</v>
      </c>
      <c r="BH160">
        <f>1</f>
        <v>1</v>
      </c>
      <c r="BK160">
        <f>1.7</f>
        <v>1.7</v>
      </c>
      <c r="EL160">
        <f>1.9</f>
        <v>1.9</v>
      </c>
      <c r="EM160" t="s">
        <v>166</v>
      </c>
      <c r="EN160">
        <f>0.91</f>
        <v>0.91</v>
      </c>
      <c r="EO160">
        <f>0.3</f>
        <v>0.3</v>
      </c>
      <c r="ER160">
        <f>3.1</f>
        <v>3.1</v>
      </c>
    </row>
    <row r="161" spans="1:149" x14ac:dyDescent="0.25">
      <c r="A161" t="s">
        <v>734</v>
      </c>
      <c r="B161" t="s">
        <v>148</v>
      </c>
      <c r="C161" s="1">
        <v>45715</v>
      </c>
      <c r="D161" t="s">
        <v>317</v>
      </c>
      <c r="E161" t="s">
        <v>318</v>
      </c>
      <c r="F161" t="s">
        <v>6564</v>
      </c>
      <c r="G161" t="s">
        <v>6565</v>
      </c>
      <c r="H161">
        <v>83</v>
      </c>
      <c r="I161" t="s">
        <v>6565</v>
      </c>
      <c r="J161">
        <v>1333</v>
      </c>
      <c r="K161" t="s">
        <v>5254</v>
      </c>
      <c r="L161" t="s">
        <v>180</v>
      </c>
      <c r="M161" t="s">
        <v>735</v>
      </c>
      <c r="N161" t="s">
        <v>4721</v>
      </c>
      <c r="O161" t="s">
        <v>736</v>
      </c>
      <c r="Q161" t="s">
        <v>6301</v>
      </c>
      <c r="R161">
        <f>1</f>
        <v>1</v>
      </c>
      <c r="S161">
        <f>9.1</f>
        <v>9.1</v>
      </c>
      <c r="T161">
        <f>7.9</f>
        <v>7.9</v>
      </c>
      <c r="U161">
        <f>200</f>
        <v>200</v>
      </c>
      <c r="X161">
        <f>0</f>
        <v>0</v>
      </c>
      <c r="Y161" t="s">
        <v>157</v>
      </c>
      <c r="Z161">
        <f>0</f>
        <v>0</v>
      </c>
      <c r="AA161">
        <f>5</f>
        <v>5</v>
      </c>
      <c r="AB161">
        <f>0</f>
        <v>0</v>
      </c>
      <c r="AD161">
        <f>0</f>
        <v>0</v>
      </c>
      <c r="AE161">
        <f>0</f>
        <v>0</v>
      </c>
      <c r="AH161" t="s">
        <v>157</v>
      </c>
    </row>
    <row r="162" spans="1:149" x14ac:dyDescent="0.25">
      <c r="A162" t="s">
        <v>737</v>
      </c>
      <c r="B162" t="s">
        <v>148</v>
      </c>
      <c r="C162" s="1">
        <v>45800</v>
      </c>
      <c r="D162" t="s">
        <v>242</v>
      </c>
      <c r="E162" t="s">
        <v>295</v>
      </c>
      <c r="F162" t="s">
        <v>4944</v>
      </c>
      <c r="G162" t="s">
        <v>738</v>
      </c>
      <c r="H162">
        <v>835</v>
      </c>
      <c r="I162" t="s">
        <v>738</v>
      </c>
      <c r="J162">
        <v>1857</v>
      </c>
      <c r="K162" t="s">
        <v>5254</v>
      </c>
      <c r="L162" t="s">
        <v>387</v>
      </c>
      <c r="M162" t="s">
        <v>5853</v>
      </c>
      <c r="N162" t="s">
        <v>739</v>
      </c>
      <c r="O162" t="s">
        <v>740</v>
      </c>
      <c r="R162">
        <f>1</f>
        <v>1</v>
      </c>
      <c r="S162">
        <f>15</f>
        <v>15</v>
      </c>
      <c r="T162">
        <f>7.7</f>
        <v>7.7</v>
      </c>
      <c r="U162">
        <f>506</f>
        <v>506</v>
      </c>
      <c r="V162">
        <f>0.2</f>
        <v>0.2</v>
      </c>
      <c r="X162">
        <f>0</f>
        <v>0</v>
      </c>
      <c r="Y162">
        <f>0.38</f>
        <v>0.38</v>
      </c>
      <c r="Z162">
        <f>0</f>
        <v>0</v>
      </c>
      <c r="AA162" t="s">
        <v>158</v>
      </c>
      <c r="AB162" t="s">
        <v>158</v>
      </c>
      <c r="AD162">
        <f>0</f>
        <v>0</v>
      </c>
      <c r="AE162">
        <f>0</f>
        <v>0</v>
      </c>
      <c r="AH162" t="s">
        <v>166</v>
      </c>
      <c r="AI162">
        <f>0.32</f>
        <v>0.32</v>
      </c>
      <c r="AL162" t="s">
        <v>216</v>
      </c>
      <c r="AM162">
        <f>0.0038</f>
        <v>3.8E-3</v>
      </c>
      <c r="AN162">
        <f>5.26</f>
        <v>5.26</v>
      </c>
      <c r="AO162">
        <f>0.106</f>
        <v>0.106</v>
      </c>
      <c r="AP162">
        <f>9.22</f>
        <v>9.2200000000000006</v>
      </c>
      <c r="AQ162">
        <f>3.68</f>
        <v>3.68</v>
      </c>
      <c r="AR162">
        <f>0.057</f>
        <v>5.7000000000000002E-2</v>
      </c>
      <c r="AS162">
        <f>2.5</f>
        <v>2.5</v>
      </c>
      <c r="AY162" t="s">
        <v>157</v>
      </c>
      <c r="AZ162" t="s">
        <v>208</v>
      </c>
      <c r="BA162">
        <f>0.0055</f>
        <v>5.4999999999999997E-3</v>
      </c>
      <c r="BB162">
        <f>2.2</f>
        <v>2.2000000000000002</v>
      </c>
      <c r="BC162" t="s">
        <v>209</v>
      </c>
      <c r="BD162">
        <f>0.43</f>
        <v>0.43</v>
      </c>
      <c r="BE162">
        <f>0.0016</f>
        <v>1.6000000000000001E-3</v>
      </c>
      <c r="BF162" t="s">
        <v>168</v>
      </c>
      <c r="BG162" t="s">
        <v>237</v>
      </c>
      <c r="BH162">
        <f>0.31</f>
        <v>0.31</v>
      </c>
      <c r="BK162">
        <f>1.7</f>
        <v>1.7</v>
      </c>
      <c r="EL162" t="s">
        <v>237</v>
      </c>
      <c r="EM162" t="s">
        <v>238</v>
      </c>
      <c r="EN162">
        <f>0.4</f>
        <v>0.4</v>
      </c>
      <c r="EO162">
        <f>0.4</f>
        <v>0.4</v>
      </c>
      <c r="ER162">
        <f>0.8</f>
        <v>0.8</v>
      </c>
    </row>
    <row r="163" spans="1:149" x14ac:dyDescent="0.25">
      <c r="A163" t="s">
        <v>741</v>
      </c>
      <c r="B163" t="s">
        <v>148</v>
      </c>
      <c r="C163" s="1">
        <v>45784</v>
      </c>
      <c r="D163" t="s">
        <v>269</v>
      </c>
      <c r="E163" t="s">
        <v>295</v>
      </c>
      <c r="F163" t="s">
        <v>331</v>
      </c>
      <c r="G163" t="s">
        <v>742</v>
      </c>
      <c r="H163">
        <v>225</v>
      </c>
      <c r="I163" t="s">
        <v>743</v>
      </c>
      <c r="J163">
        <v>2476</v>
      </c>
      <c r="K163" t="s">
        <v>5254</v>
      </c>
      <c r="L163" t="s">
        <v>154</v>
      </c>
      <c r="M163" t="s">
        <v>5104</v>
      </c>
      <c r="N163" t="s">
        <v>5321</v>
      </c>
      <c r="O163" t="s">
        <v>744</v>
      </c>
      <c r="Q163" t="s">
        <v>6319</v>
      </c>
      <c r="R163">
        <f>1</f>
        <v>1</v>
      </c>
      <c r="S163">
        <f>16.9</f>
        <v>16.899999999999999</v>
      </c>
      <c r="T163">
        <f>7.7</f>
        <v>7.7</v>
      </c>
      <c r="U163">
        <f>419</f>
        <v>419</v>
      </c>
      <c r="X163">
        <f>0</f>
        <v>0</v>
      </c>
      <c r="Y163">
        <f>0.05</f>
        <v>0.05</v>
      </c>
      <c r="Z163">
        <f>0</f>
        <v>0</v>
      </c>
      <c r="AA163" t="s">
        <v>158</v>
      </c>
      <c r="AB163" t="s">
        <v>158</v>
      </c>
      <c r="AD163">
        <f>0</f>
        <v>0</v>
      </c>
      <c r="AE163">
        <f>0</f>
        <v>0</v>
      </c>
      <c r="AH163" t="s">
        <v>166</v>
      </c>
      <c r="AI163">
        <f>0.48</f>
        <v>0.48</v>
      </c>
      <c r="AL163" t="s">
        <v>216</v>
      </c>
      <c r="AM163" t="s">
        <v>266</v>
      </c>
      <c r="AN163">
        <f>5.58</f>
        <v>5.58</v>
      </c>
      <c r="AO163">
        <f>0.112</f>
        <v>0.112</v>
      </c>
      <c r="AP163">
        <f>5.12</f>
        <v>5.12</v>
      </c>
      <c r="AQ163">
        <f>2.31</f>
        <v>2.31</v>
      </c>
      <c r="AR163" t="s">
        <v>209</v>
      </c>
      <c r="AS163">
        <f>1.5</f>
        <v>1.5</v>
      </c>
      <c r="AY163">
        <f>0.1</f>
        <v>0.1</v>
      </c>
      <c r="AZ163" t="s">
        <v>208</v>
      </c>
      <c r="BA163">
        <f>0.0031</f>
        <v>3.0999999999999999E-3</v>
      </c>
      <c r="BB163">
        <f>39</f>
        <v>39</v>
      </c>
      <c r="BC163" t="s">
        <v>209</v>
      </c>
      <c r="BD163">
        <f>0.1</f>
        <v>0.1</v>
      </c>
      <c r="BE163">
        <f>0.0035</f>
        <v>3.5000000000000001E-3</v>
      </c>
      <c r="BF163" t="s">
        <v>168</v>
      </c>
      <c r="BG163" t="s">
        <v>237</v>
      </c>
      <c r="BH163">
        <f>0.11</f>
        <v>0.11</v>
      </c>
      <c r="BK163">
        <f>0.26</f>
        <v>0.26</v>
      </c>
      <c r="EL163">
        <f>1.9</f>
        <v>1.9</v>
      </c>
      <c r="EM163" t="s">
        <v>238</v>
      </c>
      <c r="EN163">
        <f>0.8</f>
        <v>0.8</v>
      </c>
      <c r="EO163" t="s">
        <v>300</v>
      </c>
      <c r="ER163">
        <f>2.7</f>
        <v>2.7</v>
      </c>
    </row>
    <row r="164" spans="1:149" x14ac:dyDescent="0.25">
      <c r="A164" t="s">
        <v>745</v>
      </c>
      <c r="B164" t="s">
        <v>148</v>
      </c>
      <c r="C164" s="1">
        <v>45722</v>
      </c>
      <c r="D164" t="s">
        <v>269</v>
      </c>
      <c r="E164" t="s">
        <v>270</v>
      </c>
      <c r="F164" t="s">
        <v>746</v>
      </c>
      <c r="G164" t="s">
        <v>747</v>
      </c>
      <c r="H164">
        <v>142</v>
      </c>
      <c r="I164" t="s">
        <v>747</v>
      </c>
      <c r="J164">
        <v>5884</v>
      </c>
      <c r="K164" t="s">
        <v>5257</v>
      </c>
      <c r="L164" t="s">
        <v>4940</v>
      </c>
      <c r="M164" t="s">
        <v>748</v>
      </c>
      <c r="N164" t="s">
        <v>5854</v>
      </c>
      <c r="O164" t="s">
        <v>749</v>
      </c>
      <c r="R164">
        <f>1</f>
        <v>1</v>
      </c>
      <c r="S164">
        <f>9.6</f>
        <v>9.6</v>
      </c>
      <c r="T164">
        <f>7.8</f>
        <v>7.8</v>
      </c>
      <c r="U164">
        <f>401</f>
        <v>401</v>
      </c>
      <c r="V164">
        <f>0.28</f>
        <v>0.28000000000000003</v>
      </c>
      <c r="X164">
        <f>0</f>
        <v>0</v>
      </c>
      <c r="Y164">
        <f>0.42</f>
        <v>0.42</v>
      </c>
      <c r="Z164">
        <f>0</f>
        <v>0</v>
      </c>
      <c r="AA164" t="s">
        <v>158</v>
      </c>
      <c r="AB164" t="s">
        <v>158</v>
      </c>
      <c r="AC164">
        <f>0</f>
        <v>0</v>
      </c>
      <c r="AD164">
        <f>0</f>
        <v>0</v>
      </c>
      <c r="AE164">
        <f>0</f>
        <v>0</v>
      </c>
    </row>
    <row r="165" spans="1:149" x14ac:dyDescent="0.25">
      <c r="A165" t="s">
        <v>750</v>
      </c>
      <c r="B165" t="s">
        <v>148</v>
      </c>
      <c r="C165" s="1">
        <v>45810</v>
      </c>
      <c r="D165" t="s">
        <v>269</v>
      </c>
      <c r="E165" t="s">
        <v>270</v>
      </c>
      <c r="F165" t="s">
        <v>746</v>
      </c>
      <c r="G165" t="s">
        <v>747</v>
      </c>
      <c r="H165">
        <v>142</v>
      </c>
      <c r="I165" t="s">
        <v>747</v>
      </c>
      <c r="J165">
        <v>5884</v>
      </c>
      <c r="K165" t="s">
        <v>5257</v>
      </c>
      <c r="L165" t="s">
        <v>4940</v>
      </c>
      <c r="M165" t="s">
        <v>4722</v>
      </c>
      <c r="N165" t="s">
        <v>751</v>
      </c>
      <c r="O165" t="s">
        <v>752</v>
      </c>
      <c r="Q165" t="s">
        <v>6320</v>
      </c>
      <c r="R165">
        <f>1</f>
        <v>1</v>
      </c>
      <c r="S165">
        <f>17.9</f>
        <v>17.899999999999999</v>
      </c>
      <c r="T165">
        <f>7.6</f>
        <v>7.6</v>
      </c>
      <c r="U165">
        <f>409</f>
        <v>409</v>
      </c>
      <c r="X165">
        <f>0</f>
        <v>0</v>
      </c>
      <c r="Y165">
        <f>0.21</f>
        <v>0.21</v>
      </c>
      <c r="Z165">
        <f>0</f>
        <v>0</v>
      </c>
      <c r="AA165" t="s">
        <v>158</v>
      </c>
      <c r="AB165" t="s">
        <v>158</v>
      </c>
      <c r="AC165">
        <f>0</f>
        <v>0</v>
      </c>
      <c r="AD165">
        <f>0</f>
        <v>0</v>
      </c>
      <c r="AE165">
        <f>0</f>
        <v>0</v>
      </c>
      <c r="AH165" t="s">
        <v>166</v>
      </c>
      <c r="AI165">
        <f>0.93</f>
        <v>0.93</v>
      </c>
      <c r="AL165" t="s">
        <v>216</v>
      </c>
      <c r="AM165" t="s">
        <v>266</v>
      </c>
      <c r="AN165">
        <f>5.77</f>
        <v>5.77</v>
      </c>
      <c r="AO165">
        <f>0.115</f>
        <v>0.115</v>
      </c>
      <c r="AP165">
        <f>4.78</f>
        <v>4.78</v>
      </c>
      <c r="AQ165">
        <f>3.72</f>
        <v>3.72</v>
      </c>
      <c r="AR165" t="s">
        <v>209</v>
      </c>
      <c r="AS165">
        <f>3.1</f>
        <v>3.1</v>
      </c>
      <c r="AY165">
        <f>0.4</f>
        <v>0.4</v>
      </c>
      <c r="AZ165" t="s">
        <v>208</v>
      </c>
      <c r="BA165">
        <f>0.0081</f>
        <v>8.0999999999999996E-3</v>
      </c>
      <c r="BB165">
        <f>41</f>
        <v>41</v>
      </c>
      <c r="BC165" t="s">
        <v>209</v>
      </c>
      <c r="BD165" t="s">
        <v>157</v>
      </c>
      <c r="BE165">
        <f>0.0023</f>
        <v>2.3E-3</v>
      </c>
      <c r="BF165" t="s">
        <v>168</v>
      </c>
      <c r="BG165" t="s">
        <v>237</v>
      </c>
      <c r="BH165" t="s">
        <v>157</v>
      </c>
      <c r="BK165">
        <f>0.25</f>
        <v>0.25</v>
      </c>
      <c r="EL165">
        <f>16</f>
        <v>16</v>
      </c>
      <c r="EM165" t="s">
        <v>238</v>
      </c>
      <c r="EN165">
        <f>2.2</f>
        <v>2.2000000000000002</v>
      </c>
      <c r="EO165" t="s">
        <v>300</v>
      </c>
      <c r="ER165">
        <f>18</f>
        <v>18</v>
      </c>
    </row>
    <row r="166" spans="1:149" x14ac:dyDescent="0.25">
      <c r="A166" t="s">
        <v>753</v>
      </c>
      <c r="B166" t="s">
        <v>148</v>
      </c>
      <c r="C166" s="1">
        <v>45726</v>
      </c>
      <c r="D166" t="s">
        <v>269</v>
      </c>
      <c r="E166" t="s">
        <v>270</v>
      </c>
      <c r="F166" t="s">
        <v>754</v>
      </c>
      <c r="G166" t="s">
        <v>755</v>
      </c>
      <c r="H166">
        <v>135</v>
      </c>
      <c r="I166" t="s">
        <v>755</v>
      </c>
      <c r="J166">
        <v>10755</v>
      </c>
      <c r="K166" t="s">
        <v>5254</v>
      </c>
      <c r="L166" t="s">
        <v>154</v>
      </c>
      <c r="M166" t="s">
        <v>756</v>
      </c>
      <c r="N166" t="s">
        <v>757</v>
      </c>
      <c r="O166" t="s">
        <v>758</v>
      </c>
      <c r="R166">
        <f>1</f>
        <v>1</v>
      </c>
      <c r="S166">
        <f>9.6</f>
        <v>9.6</v>
      </c>
      <c r="T166">
        <f>7.7</f>
        <v>7.7</v>
      </c>
      <c r="U166">
        <f>621</f>
        <v>621</v>
      </c>
      <c r="V166">
        <f>0.24</f>
        <v>0.24</v>
      </c>
      <c r="X166">
        <f>0</f>
        <v>0</v>
      </c>
      <c r="Y166" t="s">
        <v>207</v>
      </c>
      <c r="Z166">
        <f>0</f>
        <v>0</v>
      </c>
      <c r="AA166" t="s">
        <v>158</v>
      </c>
      <c r="AB166" t="s">
        <v>158</v>
      </c>
      <c r="AD166">
        <f>0</f>
        <v>0</v>
      </c>
      <c r="AE166">
        <f>0</f>
        <v>0</v>
      </c>
    </row>
    <row r="167" spans="1:149" x14ac:dyDescent="0.25">
      <c r="A167" t="s">
        <v>759</v>
      </c>
      <c r="B167" t="s">
        <v>148</v>
      </c>
      <c r="C167" s="1">
        <v>45821</v>
      </c>
      <c r="D167" t="s">
        <v>269</v>
      </c>
      <c r="E167" t="s">
        <v>270</v>
      </c>
      <c r="F167" t="s">
        <v>760</v>
      </c>
      <c r="G167" t="s">
        <v>761</v>
      </c>
      <c r="H167">
        <v>694</v>
      </c>
      <c r="I167" t="s">
        <v>761</v>
      </c>
      <c r="J167">
        <v>2401</v>
      </c>
      <c r="K167" t="s">
        <v>5257</v>
      </c>
      <c r="L167" t="s">
        <v>302</v>
      </c>
      <c r="M167" t="s">
        <v>5855</v>
      </c>
      <c r="N167" t="s">
        <v>4964</v>
      </c>
      <c r="O167" t="s">
        <v>762</v>
      </c>
      <c r="R167">
        <f>1</f>
        <v>1</v>
      </c>
      <c r="S167">
        <f>19.2</f>
        <v>19.2</v>
      </c>
      <c r="T167">
        <f>7.7</f>
        <v>7.7</v>
      </c>
      <c r="U167">
        <f>477</f>
        <v>477</v>
      </c>
      <c r="W167">
        <f>0.2</f>
        <v>0.2</v>
      </c>
      <c r="X167">
        <f>0</f>
        <v>0</v>
      </c>
      <c r="Y167">
        <f>0.21</f>
        <v>0.21</v>
      </c>
      <c r="Z167">
        <f>0</f>
        <v>0</v>
      </c>
      <c r="AA167" t="s">
        <v>158</v>
      </c>
      <c r="AB167" t="s">
        <v>158</v>
      </c>
      <c r="AC167">
        <f>0</f>
        <v>0</v>
      </c>
      <c r="AD167">
        <f>0</f>
        <v>0</v>
      </c>
      <c r="AE167">
        <f>0</f>
        <v>0</v>
      </c>
      <c r="AH167" t="s">
        <v>166</v>
      </c>
      <c r="AI167" t="s">
        <v>300</v>
      </c>
      <c r="AL167" t="s">
        <v>216</v>
      </c>
      <c r="AM167" t="s">
        <v>266</v>
      </c>
      <c r="AN167">
        <f>4.58</f>
        <v>4.58</v>
      </c>
      <c r="AO167">
        <f>0.092</f>
        <v>9.1999999999999998E-2</v>
      </c>
      <c r="AP167">
        <f>2.5</f>
        <v>2.5</v>
      </c>
      <c r="AQ167">
        <f>2.08</f>
        <v>2.08</v>
      </c>
      <c r="AR167">
        <f>0.051</f>
        <v>5.0999999999999997E-2</v>
      </c>
      <c r="AS167">
        <f>1.1</f>
        <v>1.1000000000000001</v>
      </c>
      <c r="AY167" t="s">
        <v>157</v>
      </c>
      <c r="AZ167" t="s">
        <v>208</v>
      </c>
      <c r="BA167">
        <f>0.0026</f>
        <v>2.5999999999999999E-3</v>
      </c>
      <c r="BB167">
        <f>4.4</f>
        <v>4.4000000000000004</v>
      </c>
      <c r="BC167" t="s">
        <v>209</v>
      </c>
      <c r="BD167">
        <f>0.1</f>
        <v>0.1</v>
      </c>
      <c r="BE167">
        <f>0.0035</f>
        <v>3.5000000000000001E-3</v>
      </c>
      <c r="BF167" t="s">
        <v>168</v>
      </c>
      <c r="BG167" t="s">
        <v>237</v>
      </c>
      <c r="BH167" t="s">
        <v>157</v>
      </c>
      <c r="BK167">
        <f>0.54</f>
        <v>0.54</v>
      </c>
    </row>
    <row r="168" spans="1:149" x14ac:dyDescent="0.25">
      <c r="A168" t="s">
        <v>763</v>
      </c>
      <c r="B168" t="s">
        <v>148</v>
      </c>
      <c r="C168" s="1">
        <v>45722</v>
      </c>
      <c r="D168" t="s">
        <v>242</v>
      </c>
      <c r="E168" t="s">
        <v>295</v>
      </c>
      <c r="F168" t="s">
        <v>764</v>
      </c>
      <c r="G168" t="s">
        <v>765</v>
      </c>
      <c r="H168">
        <v>890</v>
      </c>
      <c r="I168" t="s">
        <v>765</v>
      </c>
      <c r="J168">
        <v>1195</v>
      </c>
      <c r="K168" t="s">
        <v>5254</v>
      </c>
      <c r="L168" t="s">
        <v>393</v>
      </c>
      <c r="M168" t="s">
        <v>5322</v>
      </c>
      <c r="N168" t="s">
        <v>766</v>
      </c>
      <c r="O168" t="s">
        <v>767</v>
      </c>
      <c r="R168">
        <f>1</f>
        <v>1</v>
      </c>
      <c r="S168">
        <f>10.4</f>
        <v>10.4</v>
      </c>
      <c r="T168">
        <f>7.8</f>
        <v>7.8</v>
      </c>
      <c r="U168">
        <f>389</f>
        <v>389</v>
      </c>
      <c r="V168">
        <f>0.18</f>
        <v>0.18</v>
      </c>
      <c r="X168">
        <f>0</f>
        <v>0</v>
      </c>
      <c r="Y168" t="s">
        <v>157</v>
      </c>
      <c r="Z168">
        <f>0</f>
        <v>0</v>
      </c>
      <c r="AA168" t="s">
        <v>158</v>
      </c>
      <c r="AB168" t="s">
        <v>158</v>
      </c>
      <c r="AD168">
        <f>0</f>
        <v>0</v>
      </c>
      <c r="AE168">
        <f>0</f>
        <v>0</v>
      </c>
      <c r="AH168" t="s">
        <v>157</v>
      </c>
    </row>
    <row r="169" spans="1:149" x14ac:dyDescent="0.25">
      <c r="A169" t="s">
        <v>768</v>
      </c>
      <c r="B169" t="s">
        <v>148</v>
      </c>
      <c r="C169" s="1">
        <v>45715</v>
      </c>
      <c r="D169" t="s">
        <v>222</v>
      </c>
      <c r="E169" t="s">
        <v>223</v>
      </c>
      <c r="F169" t="s">
        <v>4723</v>
      </c>
      <c r="G169" t="s">
        <v>769</v>
      </c>
      <c r="H169">
        <v>245</v>
      </c>
      <c r="I169" t="s">
        <v>770</v>
      </c>
      <c r="J169">
        <v>1030</v>
      </c>
      <c r="K169" t="s">
        <v>5257</v>
      </c>
      <c r="L169" t="s">
        <v>771</v>
      </c>
      <c r="M169" t="s">
        <v>5323</v>
      </c>
      <c r="N169" t="s">
        <v>772</v>
      </c>
      <c r="O169" t="s">
        <v>773</v>
      </c>
      <c r="Q169" t="s">
        <v>6298</v>
      </c>
      <c r="R169">
        <f>1</f>
        <v>1</v>
      </c>
      <c r="S169">
        <f>8.7</f>
        <v>8.6999999999999993</v>
      </c>
      <c r="T169">
        <f>8</f>
        <v>8</v>
      </c>
      <c r="U169">
        <f>234</f>
        <v>234</v>
      </c>
      <c r="V169">
        <f>0.09</f>
        <v>0.09</v>
      </c>
      <c r="X169">
        <f>1</f>
        <v>1</v>
      </c>
      <c r="Y169">
        <f>0.08</f>
        <v>0.08</v>
      </c>
      <c r="Z169">
        <f>0</f>
        <v>0</v>
      </c>
      <c r="AA169">
        <f>0</f>
        <v>0</v>
      </c>
      <c r="AB169">
        <f>0</f>
        <v>0</v>
      </c>
      <c r="AC169">
        <f>0</f>
        <v>0</v>
      </c>
      <c r="AD169">
        <f>0</f>
        <v>0</v>
      </c>
      <c r="AE169">
        <f>0</f>
        <v>0</v>
      </c>
      <c r="AH169" t="s">
        <v>166</v>
      </c>
      <c r="BB169">
        <f>29</f>
        <v>29</v>
      </c>
    </row>
    <row r="170" spans="1:149" x14ac:dyDescent="0.25">
      <c r="A170" t="s">
        <v>774</v>
      </c>
      <c r="B170" t="s">
        <v>148</v>
      </c>
      <c r="C170" s="1">
        <v>45761</v>
      </c>
      <c r="D170" t="s">
        <v>222</v>
      </c>
      <c r="E170" t="s">
        <v>223</v>
      </c>
      <c r="F170" t="s">
        <v>469</v>
      </c>
      <c r="G170" t="s">
        <v>775</v>
      </c>
      <c r="H170">
        <v>247</v>
      </c>
      <c r="I170" t="s">
        <v>775</v>
      </c>
      <c r="J170">
        <v>514</v>
      </c>
      <c r="K170" t="s">
        <v>5257</v>
      </c>
      <c r="L170" t="s">
        <v>431</v>
      </c>
      <c r="M170" t="s">
        <v>5323</v>
      </c>
      <c r="N170" t="s">
        <v>776</v>
      </c>
      <c r="O170" t="s">
        <v>777</v>
      </c>
      <c r="Q170" t="s">
        <v>6321</v>
      </c>
      <c r="R170">
        <f>1</f>
        <v>1</v>
      </c>
      <c r="S170">
        <f>12.6</f>
        <v>12.6</v>
      </c>
      <c r="T170">
        <f>8.1</f>
        <v>8.1</v>
      </c>
      <c r="U170">
        <f>197</f>
        <v>197</v>
      </c>
      <c r="V170">
        <f>0.08</f>
        <v>0.08</v>
      </c>
      <c r="X170">
        <f>1</f>
        <v>1</v>
      </c>
      <c r="Y170">
        <f>0.11</f>
        <v>0.11</v>
      </c>
      <c r="Z170">
        <f>0</f>
        <v>0</v>
      </c>
      <c r="AA170">
        <f>0</f>
        <v>0</v>
      </c>
      <c r="AB170">
        <f>0</f>
        <v>0</v>
      </c>
      <c r="AC170">
        <f>0</f>
        <v>0</v>
      </c>
      <c r="AD170">
        <f>0</f>
        <v>0</v>
      </c>
      <c r="AE170">
        <f>0</f>
        <v>0</v>
      </c>
      <c r="AH170" t="s">
        <v>166</v>
      </c>
    </row>
    <row r="171" spans="1:149" x14ac:dyDescent="0.25">
      <c r="A171" t="s">
        <v>778</v>
      </c>
      <c r="B171" t="s">
        <v>148</v>
      </c>
      <c r="C171" s="1">
        <v>45727</v>
      </c>
      <c r="D171" t="s">
        <v>175</v>
      </c>
      <c r="E171" t="s">
        <v>270</v>
      </c>
      <c r="F171" t="s">
        <v>354</v>
      </c>
      <c r="G171" t="s">
        <v>6540</v>
      </c>
      <c r="H171">
        <v>692</v>
      </c>
      <c r="I171" t="s">
        <v>779</v>
      </c>
      <c r="J171">
        <v>9259</v>
      </c>
      <c r="K171" t="s">
        <v>5257</v>
      </c>
      <c r="L171" t="s">
        <v>355</v>
      </c>
      <c r="M171" t="s">
        <v>780</v>
      </c>
      <c r="N171" t="s">
        <v>781</v>
      </c>
      <c r="O171" t="s">
        <v>782</v>
      </c>
      <c r="R171">
        <f>1</f>
        <v>1</v>
      </c>
      <c r="S171">
        <f>9.2</f>
        <v>9.1999999999999993</v>
      </c>
      <c r="T171">
        <f>7.8</f>
        <v>7.8</v>
      </c>
      <c r="U171">
        <f>469</f>
        <v>469</v>
      </c>
      <c r="V171">
        <f>0.16</f>
        <v>0.16</v>
      </c>
      <c r="X171">
        <f>0</f>
        <v>0</v>
      </c>
      <c r="Y171" t="s">
        <v>207</v>
      </c>
      <c r="Z171">
        <f>0</f>
        <v>0</v>
      </c>
      <c r="AA171" t="s">
        <v>158</v>
      </c>
      <c r="AB171" t="s">
        <v>158</v>
      </c>
      <c r="AC171">
        <f>0</f>
        <v>0</v>
      </c>
      <c r="AD171">
        <f>0</f>
        <v>0</v>
      </c>
      <c r="AE171">
        <f>0</f>
        <v>0</v>
      </c>
    </row>
    <row r="172" spans="1:149" x14ac:dyDescent="0.25">
      <c r="A172" t="s">
        <v>783</v>
      </c>
      <c r="B172" t="s">
        <v>148</v>
      </c>
      <c r="C172" s="1">
        <v>45722</v>
      </c>
      <c r="D172" t="s">
        <v>317</v>
      </c>
      <c r="E172" t="s">
        <v>318</v>
      </c>
      <c r="F172" t="s">
        <v>6566</v>
      </c>
      <c r="G172" t="s">
        <v>5105</v>
      </c>
      <c r="H172">
        <v>621</v>
      </c>
      <c r="I172" t="s">
        <v>5105</v>
      </c>
      <c r="J172">
        <v>3602</v>
      </c>
      <c r="K172" t="s">
        <v>5254</v>
      </c>
      <c r="L172" t="s">
        <v>4948</v>
      </c>
      <c r="M172" t="s">
        <v>5324</v>
      </c>
      <c r="N172" t="s">
        <v>5325</v>
      </c>
      <c r="O172" t="s">
        <v>784</v>
      </c>
      <c r="Q172" t="s">
        <v>6322</v>
      </c>
      <c r="R172">
        <f>1</f>
        <v>1</v>
      </c>
      <c r="S172">
        <f>8.1</f>
        <v>8.1</v>
      </c>
      <c r="T172">
        <f>7.9</f>
        <v>7.9</v>
      </c>
      <c r="U172">
        <f>185</f>
        <v>185</v>
      </c>
      <c r="X172">
        <f>0</f>
        <v>0</v>
      </c>
      <c r="Y172" t="s">
        <v>157</v>
      </c>
      <c r="Z172">
        <f>0</f>
        <v>0</v>
      </c>
      <c r="AA172">
        <f>2</f>
        <v>2</v>
      </c>
      <c r="AB172">
        <f>2</f>
        <v>2</v>
      </c>
      <c r="AD172">
        <f>0</f>
        <v>0</v>
      </c>
      <c r="AE172">
        <f>0</f>
        <v>0</v>
      </c>
      <c r="AH172" t="s">
        <v>157</v>
      </c>
      <c r="AI172" t="s">
        <v>167</v>
      </c>
      <c r="AL172" t="s">
        <v>168</v>
      </c>
      <c r="AM172" t="s">
        <v>216</v>
      </c>
      <c r="AN172">
        <f>4.7</f>
        <v>4.7</v>
      </c>
      <c r="AO172">
        <f>0.094</f>
        <v>9.4E-2</v>
      </c>
      <c r="AP172">
        <f>11</f>
        <v>11</v>
      </c>
      <c r="AQ172">
        <f>2.8</f>
        <v>2.8</v>
      </c>
      <c r="AR172" t="s">
        <v>167</v>
      </c>
      <c r="AS172">
        <f>2.1</f>
        <v>2.1</v>
      </c>
      <c r="AY172" t="s">
        <v>158</v>
      </c>
      <c r="AZ172" t="s">
        <v>158</v>
      </c>
      <c r="BA172" t="s">
        <v>216</v>
      </c>
      <c r="BB172">
        <f>11</f>
        <v>11</v>
      </c>
      <c r="BC172" t="s">
        <v>167</v>
      </c>
      <c r="BD172" t="s">
        <v>167</v>
      </c>
      <c r="BE172" t="s">
        <v>216</v>
      </c>
      <c r="BF172" t="s">
        <v>167</v>
      </c>
      <c r="BG172" t="s">
        <v>158</v>
      </c>
      <c r="BH172" t="s">
        <v>167</v>
      </c>
      <c r="BK172" t="s">
        <v>158</v>
      </c>
    </row>
    <row r="173" spans="1:149" x14ac:dyDescent="0.25">
      <c r="A173" t="s">
        <v>785</v>
      </c>
      <c r="B173" t="s">
        <v>148</v>
      </c>
      <c r="C173" s="1">
        <v>45713</v>
      </c>
      <c r="D173" t="s">
        <v>222</v>
      </c>
      <c r="E173" t="s">
        <v>223</v>
      </c>
      <c r="F173" t="s">
        <v>224</v>
      </c>
      <c r="G173" t="s">
        <v>786</v>
      </c>
      <c r="H173">
        <v>375</v>
      </c>
      <c r="I173" t="s">
        <v>786</v>
      </c>
      <c r="J173">
        <v>2053</v>
      </c>
      <c r="K173" t="s">
        <v>5254</v>
      </c>
      <c r="L173" t="s">
        <v>393</v>
      </c>
      <c r="M173" t="s">
        <v>5856</v>
      </c>
      <c r="N173" t="s">
        <v>5857</v>
      </c>
      <c r="O173" t="s">
        <v>787</v>
      </c>
      <c r="Q173" t="s">
        <v>5326</v>
      </c>
      <c r="R173">
        <f>1</f>
        <v>1</v>
      </c>
      <c r="S173">
        <f>8.5</f>
        <v>8.5</v>
      </c>
      <c r="T173">
        <f>8.2</f>
        <v>8.1999999999999993</v>
      </c>
      <c r="U173">
        <f>234</f>
        <v>234</v>
      </c>
      <c r="V173">
        <f>0.13</f>
        <v>0.13</v>
      </c>
      <c r="X173">
        <f>1</f>
        <v>1</v>
      </c>
      <c r="Y173">
        <f>0.2</f>
        <v>0.2</v>
      </c>
      <c r="Z173">
        <f>0</f>
        <v>0</v>
      </c>
      <c r="AA173">
        <f>0</f>
        <v>0</v>
      </c>
      <c r="AB173">
        <f>0</f>
        <v>0</v>
      </c>
      <c r="AD173">
        <f>0</f>
        <v>0</v>
      </c>
      <c r="AE173">
        <f>0</f>
        <v>0</v>
      </c>
      <c r="AH173" t="s">
        <v>166</v>
      </c>
    </row>
    <row r="174" spans="1:149" x14ac:dyDescent="0.25">
      <c r="A174" t="s">
        <v>788</v>
      </c>
      <c r="B174" t="s">
        <v>148</v>
      </c>
      <c r="C174" s="1">
        <v>45758</v>
      </c>
      <c r="D174" t="s">
        <v>222</v>
      </c>
      <c r="E174" t="s">
        <v>223</v>
      </c>
      <c r="F174" t="s">
        <v>469</v>
      </c>
      <c r="G174" t="s">
        <v>789</v>
      </c>
      <c r="H174">
        <v>417</v>
      </c>
      <c r="I174" t="s">
        <v>789</v>
      </c>
      <c r="J174">
        <v>752</v>
      </c>
      <c r="K174" t="s">
        <v>5257</v>
      </c>
      <c r="L174" t="s">
        <v>393</v>
      </c>
      <c r="M174" t="s">
        <v>790</v>
      </c>
      <c r="N174" t="s">
        <v>791</v>
      </c>
      <c r="O174" t="s">
        <v>792</v>
      </c>
      <c r="R174">
        <f>1</f>
        <v>1</v>
      </c>
      <c r="S174">
        <f>9.7</f>
        <v>9.6999999999999993</v>
      </c>
      <c r="T174">
        <f>8.2</f>
        <v>8.1999999999999993</v>
      </c>
      <c r="U174">
        <f>208</f>
        <v>208</v>
      </c>
      <c r="X174">
        <f>1</f>
        <v>1</v>
      </c>
      <c r="Y174">
        <f>0.15</f>
        <v>0.15</v>
      </c>
      <c r="Z174">
        <f>0</f>
        <v>0</v>
      </c>
      <c r="AA174">
        <f>0</f>
        <v>0</v>
      </c>
      <c r="AB174">
        <f>0</f>
        <v>0</v>
      </c>
      <c r="AC174">
        <f>0</f>
        <v>0</v>
      </c>
      <c r="AD174">
        <f>0</f>
        <v>0</v>
      </c>
      <c r="AE174">
        <f>0</f>
        <v>0</v>
      </c>
      <c r="AH174" t="s">
        <v>166</v>
      </c>
    </row>
    <row r="175" spans="1:149" x14ac:dyDescent="0.25">
      <c r="A175" t="s">
        <v>793</v>
      </c>
      <c r="B175" t="s">
        <v>148</v>
      </c>
      <c r="C175" s="1">
        <v>45729</v>
      </c>
      <c r="D175" t="s">
        <v>317</v>
      </c>
      <c r="E175" t="s">
        <v>318</v>
      </c>
      <c r="F175" t="s">
        <v>4965</v>
      </c>
      <c r="G175" t="s">
        <v>5106</v>
      </c>
      <c r="H175">
        <v>62</v>
      </c>
      <c r="I175" t="s">
        <v>5107</v>
      </c>
      <c r="J175">
        <v>4645</v>
      </c>
      <c r="K175" t="s">
        <v>5254</v>
      </c>
      <c r="L175" t="s">
        <v>794</v>
      </c>
      <c r="M175" t="s">
        <v>5327</v>
      </c>
      <c r="N175" t="s">
        <v>5328</v>
      </c>
      <c r="O175" t="s">
        <v>795</v>
      </c>
      <c r="Q175" t="s">
        <v>329</v>
      </c>
      <c r="R175">
        <f>1</f>
        <v>1</v>
      </c>
      <c r="S175">
        <f>8.8</f>
        <v>8.8000000000000007</v>
      </c>
      <c r="T175">
        <f>8</f>
        <v>8</v>
      </c>
      <c r="U175">
        <f>278</f>
        <v>278</v>
      </c>
      <c r="X175">
        <f>0</f>
        <v>0</v>
      </c>
      <c r="Y175" t="s">
        <v>157</v>
      </c>
      <c r="Z175">
        <f>0</f>
        <v>0</v>
      </c>
      <c r="AA175">
        <f>2</f>
        <v>2</v>
      </c>
      <c r="AB175">
        <f>1</f>
        <v>1</v>
      </c>
      <c r="AD175">
        <f>0</f>
        <v>0</v>
      </c>
      <c r="AE175">
        <f>0</f>
        <v>0</v>
      </c>
      <c r="AH175" t="s">
        <v>157</v>
      </c>
    </row>
    <row r="176" spans="1:149" x14ac:dyDescent="0.25">
      <c r="A176" t="s">
        <v>796</v>
      </c>
      <c r="B176" t="s">
        <v>148</v>
      </c>
      <c r="C176" s="1">
        <v>45796</v>
      </c>
      <c r="D176" t="s">
        <v>317</v>
      </c>
      <c r="E176" t="s">
        <v>318</v>
      </c>
      <c r="F176" t="s">
        <v>4965</v>
      </c>
      <c r="G176" t="s">
        <v>6567</v>
      </c>
      <c r="H176">
        <v>66</v>
      </c>
      <c r="I176" t="s">
        <v>6568</v>
      </c>
      <c r="J176">
        <v>2133</v>
      </c>
      <c r="K176" t="s">
        <v>5254</v>
      </c>
      <c r="L176" t="s">
        <v>4966</v>
      </c>
      <c r="M176" t="s">
        <v>5329</v>
      </c>
      <c r="N176" t="s">
        <v>5858</v>
      </c>
      <c r="O176" t="s">
        <v>797</v>
      </c>
      <c r="Q176" t="s">
        <v>329</v>
      </c>
      <c r="R176">
        <f>1</f>
        <v>1</v>
      </c>
      <c r="S176">
        <f>13.2</f>
        <v>13.2</v>
      </c>
      <c r="T176">
        <f>7.6</f>
        <v>7.6</v>
      </c>
      <c r="U176">
        <f>479</f>
        <v>479</v>
      </c>
      <c r="X176">
        <f>0</f>
        <v>0</v>
      </c>
      <c r="Y176" t="s">
        <v>157</v>
      </c>
      <c r="Z176">
        <f>0</f>
        <v>0</v>
      </c>
      <c r="AA176">
        <f>0</f>
        <v>0</v>
      </c>
      <c r="AB176">
        <f>0</f>
        <v>0</v>
      </c>
      <c r="AD176">
        <f>0</f>
        <v>0</v>
      </c>
      <c r="AE176">
        <f>0</f>
        <v>0</v>
      </c>
      <c r="AH176" t="s">
        <v>157</v>
      </c>
      <c r="AI176" t="s">
        <v>167</v>
      </c>
      <c r="AL176" t="s">
        <v>168</v>
      </c>
      <c r="AM176" t="s">
        <v>216</v>
      </c>
      <c r="AN176">
        <f>3.4</f>
        <v>3.4</v>
      </c>
      <c r="AO176">
        <f>0.068</f>
        <v>6.8000000000000005E-2</v>
      </c>
      <c r="AP176">
        <f>86</f>
        <v>86</v>
      </c>
      <c r="AQ176" t="s">
        <v>167</v>
      </c>
      <c r="AR176" t="s">
        <v>167</v>
      </c>
      <c r="AS176">
        <f>1.5</f>
        <v>1.5</v>
      </c>
      <c r="AY176" t="s">
        <v>158</v>
      </c>
      <c r="AZ176">
        <f>22</f>
        <v>22</v>
      </c>
      <c r="BA176" t="s">
        <v>216</v>
      </c>
      <c r="BB176" t="s">
        <v>158</v>
      </c>
      <c r="BC176" t="s">
        <v>167</v>
      </c>
      <c r="BD176" t="s">
        <v>167</v>
      </c>
      <c r="BE176" t="s">
        <v>216</v>
      </c>
      <c r="BF176" t="s">
        <v>167</v>
      </c>
      <c r="BG176" t="s">
        <v>158</v>
      </c>
      <c r="BH176" t="s">
        <v>167</v>
      </c>
      <c r="BK176" t="s">
        <v>158</v>
      </c>
      <c r="EP176" t="s">
        <v>251</v>
      </c>
      <c r="EQ176" t="s">
        <v>251</v>
      </c>
      <c r="ES176" t="s">
        <v>251</v>
      </c>
    </row>
    <row r="177" spans="1:148" x14ac:dyDescent="0.25">
      <c r="A177" t="s">
        <v>798</v>
      </c>
      <c r="B177" t="s">
        <v>148</v>
      </c>
      <c r="C177" s="1">
        <v>45729</v>
      </c>
      <c r="D177" t="s">
        <v>317</v>
      </c>
      <c r="E177" t="s">
        <v>318</v>
      </c>
      <c r="F177" t="s">
        <v>4965</v>
      </c>
      <c r="G177" t="s">
        <v>6569</v>
      </c>
      <c r="H177">
        <v>63</v>
      </c>
      <c r="I177" t="s">
        <v>6569</v>
      </c>
      <c r="J177">
        <v>4312</v>
      </c>
      <c r="K177" t="s">
        <v>5254</v>
      </c>
      <c r="L177" t="s">
        <v>180</v>
      </c>
      <c r="M177" t="s">
        <v>6570</v>
      </c>
      <c r="N177" t="s">
        <v>5330</v>
      </c>
      <c r="O177" t="s">
        <v>799</v>
      </c>
      <c r="Q177" t="s">
        <v>329</v>
      </c>
      <c r="R177">
        <f>1</f>
        <v>1</v>
      </c>
      <c r="S177">
        <f>9.4</f>
        <v>9.4</v>
      </c>
      <c r="T177">
        <f>8</f>
        <v>8</v>
      </c>
      <c r="U177">
        <f>279</f>
        <v>279</v>
      </c>
      <c r="X177">
        <f>0</f>
        <v>0</v>
      </c>
      <c r="Y177" t="s">
        <v>157</v>
      </c>
      <c r="Z177">
        <f>0</f>
        <v>0</v>
      </c>
      <c r="AA177">
        <f>0</f>
        <v>0</v>
      </c>
      <c r="AB177">
        <f>0</f>
        <v>0</v>
      </c>
      <c r="AD177">
        <f>0</f>
        <v>0</v>
      </c>
      <c r="AE177">
        <f>0</f>
        <v>0</v>
      </c>
      <c r="AH177" t="s">
        <v>157</v>
      </c>
    </row>
    <row r="178" spans="1:148" x14ac:dyDescent="0.25">
      <c r="A178" t="s">
        <v>800</v>
      </c>
      <c r="B178" t="s">
        <v>148</v>
      </c>
      <c r="C178" s="1">
        <v>45709</v>
      </c>
      <c r="D178" t="s">
        <v>317</v>
      </c>
      <c r="E178" t="s">
        <v>318</v>
      </c>
      <c r="F178" t="s">
        <v>360</v>
      </c>
      <c r="G178" t="s">
        <v>801</v>
      </c>
      <c r="H178">
        <v>339</v>
      </c>
      <c r="I178" t="s">
        <v>801</v>
      </c>
      <c r="J178">
        <v>6803</v>
      </c>
      <c r="K178" t="s">
        <v>5331</v>
      </c>
      <c r="L178" t="s">
        <v>350</v>
      </c>
      <c r="M178" t="s">
        <v>5332</v>
      </c>
      <c r="N178" t="s">
        <v>5333</v>
      </c>
      <c r="O178" t="s">
        <v>802</v>
      </c>
      <c r="Q178" t="s">
        <v>329</v>
      </c>
      <c r="R178">
        <f>1</f>
        <v>1</v>
      </c>
      <c r="S178">
        <f>8.9</f>
        <v>8.9</v>
      </c>
      <c r="T178">
        <f>8</f>
        <v>8</v>
      </c>
      <c r="U178">
        <f>265</f>
        <v>265</v>
      </c>
      <c r="V178" t="s">
        <v>207</v>
      </c>
      <c r="X178">
        <f>0</f>
        <v>0</v>
      </c>
      <c r="Y178" t="s">
        <v>157</v>
      </c>
      <c r="Z178">
        <f>0</f>
        <v>0</v>
      </c>
      <c r="AA178">
        <f>23</f>
        <v>23</v>
      </c>
      <c r="AB178">
        <f>20</f>
        <v>20</v>
      </c>
      <c r="AC178">
        <f>0</f>
        <v>0</v>
      </c>
      <c r="AD178">
        <f>0</f>
        <v>0</v>
      </c>
      <c r="AE178">
        <f>0</f>
        <v>0</v>
      </c>
      <c r="AH178" t="s">
        <v>157</v>
      </c>
    </row>
    <row r="179" spans="1:148" x14ac:dyDescent="0.25">
      <c r="A179" t="s">
        <v>803</v>
      </c>
      <c r="B179" t="s">
        <v>148</v>
      </c>
      <c r="C179" s="1">
        <v>45709</v>
      </c>
      <c r="D179" t="s">
        <v>317</v>
      </c>
      <c r="E179" t="s">
        <v>318</v>
      </c>
      <c r="F179" t="s">
        <v>360</v>
      </c>
      <c r="G179" t="s">
        <v>801</v>
      </c>
      <c r="H179">
        <v>339</v>
      </c>
      <c r="I179" t="s">
        <v>801</v>
      </c>
      <c r="J179">
        <v>6803</v>
      </c>
      <c r="K179" t="s">
        <v>5331</v>
      </c>
      <c r="L179" t="s">
        <v>350</v>
      </c>
      <c r="M179" t="s">
        <v>804</v>
      </c>
      <c r="N179" t="s">
        <v>805</v>
      </c>
      <c r="O179" t="s">
        <v>806</v>
      </c>
      <c r="Q179" t="s">
        <v>6323</v>
      </c>
      <c r="R179">
        <f>1</f>
        <v>1</v>
      </c>
      <c r="S179">
        <f>8.1</f>
        <v>8.1</v>
      </c>
      <c r="T179">
        <f>8</f>
        <v>8</v>
      </c>
      <c r="U179">
        <f>269</f>
        <v>269</v>
      </c>
      <c r="V179" t="s">
        <v>207</v>
      </c>
      <c r="X179">
        <f>0</f>
        <v>0</v>
      </c>
      <c r="Y179" t="s">
        <v>157</v>
      </c>
      <c r="Z179">
        <f>0</f>
        <v>0</v>
      </c>
      <c r="AA179">
        <f>0</f>
        <v>0</v>
      </c>
      <c r="AB179">
        <f>0</f>
        <v>0</v>
      </c>
      <c r="AC179">
        <f>0</f>
        <v>0</v>
      </c>
      <c r="AD179">
        <f>0</f>
        <v>0</v>
      </c>
      <c r="AE179">
        <f>0</f>
        <v>0</v>
      </c>
      <c r="AH179" t="s">
        <v>157</v>
      </c>
    </row>
    <row r="180" spans="1:148" x14ac:dyDescent="0.25">
      <c r="A180" t="s">
        <v>807</v>
      </c>
      <c r="B180" t="s">
        <v>148</v>
      </c>
      <c r="C180" s="1">
        <v>45747</v>
      </c>
      <c r="D180" t="s">
        <v>175</v>
      </c>
      <c r="E180" t="s">
        <v>176</v>
      </c>
      <c r="F180" t="s">
        <v>556</v>
      </c>
      <c r="G180" t="s">
        <v>808</v>
      </c>
      <c r="H180">
        <v>338</v>
      </c>
      <c r="I180" t="s">
        <v>808</v>
      </c>
      <c r="J180">
        <v>14369</v>
      </c>
      <c r="K180" t="s">
        <v>5254</v>
      </c>
      <c r="L180" t="s">
        <v>4724</v>
      </c>
      <c r="M180" t="s">
        <v>5334</v>
      </c>
      <c r="N180" t="s">
        <v>809</v>
      </c>
      <c r="O180" t="s">
        <v>810</v>
      </c>
      <c r="Q180" t="s">
        <v>6313</v>
      </c>
      <c r="R180">
        <f>1</f>
        <v>1</v>
      </c>
      <c r="S180">
        <f>11.6</f>
        <v>11.6</v>
      </c>
      <c r="T180">
        <f>7.5</f>
        <v>7.5</v>
      </c>
      <c r="U180">
        <f>486</f>
        <v>486</v>
      </c>
      <c r="X180">
        <f>0</f>
        <v>0</v>
      </c>
      <c r="Y180" t="s">
        <v>157</v>
      </c>
      <c r="Z180">
        <f>0</f>
        <v>0</v>
      </c>
      <c r="AA180" t="s">
        <v>158</v>
      </c>
      <c r="AB180" t="s">
        <v>158</v>
      </c>
      <c r="AD180">
        <f>0</f>
        <v>0</v>
      </c>
      <c r="AE180">
        <f>0</f>
        <v>0</v>
      </c>
    </row>
    <row r="181" spans="1:148" x14ac:dyDescent="0.25">
      <c r="A181" t="s">
        <v>811</v>
      </c>
      <c r="B181" t="s">
        <v>148</v>
      </c>
      <c r="C181" s="1">
        <v>45733</v>
      </c>
      <c r="D181" t="s">
        <v>317</v>
      </c>
      <c r="E181" t="s">
        <v>318</v>
      </c>
      <c r="F181" t="s">
        <v>360</v>
      </c>
      <c r="G181" t="s">
        <v>812</v>
      </c>
      <c r="H181">
        <v>340</v>
      </c>
      <c r="I181" t="s">
        <v>812</v>
      </c>
      <c r="J181">
        <v>3270</v>
      </c>
      <c r="K181" t="s">
        <v>5254</v>
      </c>
      <c r="L181" t="s">
        <v>180</v>
      </c>
      <c r="M181" t="s">
        <v>5335</v>
      </c>
      <c r="N181" t="s">
        <v>813</v>
      </c>
      <c r="O181" t="s">
        <v>814</v>
      </c>
      <c r="Q181" t="s">
        <v>329</v>
      </c>
      <c r="R181">
        <f>1</f>
        <v>1</v>
      </c>
      <c r="S181">
        <f>10.8</f>
        <v>10.8</v>
      </c>
      <c r="T181">
        <f>7.7</f>
        <v>7.7</v>
      </c>
      <c r="U181">
        <f>355</f>
        <v>355</v>
      </c>
      <c r="X181">
        <f>0</f>
        <v>0</v>
      </c>
      <c r="Y181" t="s">
        <v>157</v>
      </c>
      <c r="Z181">
        <f>0</f>
        <v>0</v>
      </c>
      <c r="AA181">
        <f>2</f>
        <v>2</v>
      </c>
      <c r="AB181">
        <f>2</f>
        <v>2</v>
      </c>
      <c r="AD181">
        <f>0</f>
        <v>0</v>
      </c>
      <c r="AE181">
        <f>0</f>
        <v>0</v>
      </c>
      <c r="AH181" t="s">
        <v>157</v>
      </c>
      <c r="AI181">
        <f>1.9</f>
        <v>1.9</v>
      </c>
      <c r="AL181" t="s">
        <v>168</v>
      </c>
      <c r="AM181" t="s">
        <v>216</v>
      </c>
      <c r="AN181">
        <f>4.3</f>
        <v>4.3</v>
      </c>
      <c r="AO181">
        <f>0.086</f>
        <v>8.5999999999999993E-2</v>
      </c>
      <c r="AP181">
        <f>35</f>
        <v>35</v>
      </c>
      <c r="AQ181">
        <f>4.2</f>
        <v>4.2</v>
      </c>
      <c r="AR181" t="s">
        <v>167</v>
      </c>
      <c r="AS181">
        <f>2.7</f>
        <v>2.7</v>
      </c>
      <c r="AY181" t="s">
        <v>158</v>
      </c>
      <c r="AZ181" t="s">
        <v>158</v>
      </c>
      <c r="BA181" t="s">
        <v>216</v>
      </c>
      <c r="BB181" t="s">
        <v>158</v>
      </c>
      <c r="BC181" t="s">
        <v>167</v>
      </c>
      <c r="BD181" t="s">
        <v>167</v>
      </c>
      <c r="BE181" t="s">
        <v>216</v>
      </c>
      <c r="BF181" t="s">
        <v>167</v>
      </c>
      <c r="BG181" t="s">
        <v>158</v>
      </c>
      <c r="BH181" t="s">
        <v>167</v>
      </c>
      <c r="BK181" t="s">
        <v>158</v>
      </c>
    </row>
    <row r="182" spans="1:148" x14ac:dyDescent="0.25">
      <c r="A182" t="s">
        <v>815</v>
      </c>
      <c r="B182" t="s">
        <v>148</v>
      </c>
      <c r="C182" s="1">
        <v>45719</v>
      </c>
      <c r="D182" t="s">
        <v>175</v>
      </c>
      <c r="E182" t="s">
        <v>176</v>
      </c>
      <c r="F182" t="s">
        <v>370</v>
      </c>
      <c r="G182" t="s">
        <v>6571</v>
      </c>
      <c r="H182">
        <v>336</v>
      </c>
      <c r="I182" t="s">
        <v>6572</v>
      </c>
      <c r="J182">
        <v>7857</v>
      </c>
      <c r="K182" t="s">
        <v>5254</v>
      </c>
      <c r="L182" t="s">
        <v>4966</v>
      </c>
      <c r="M182" t="s">
        <v>5336</v>
      </c>
      <c r="N182" t="s">
        <v>816</v>
      </c>
      <c r="O182" t="s">
        <v>817</v>
      </c>
      <c r="Q182" t="s">
        <v>329</v>
      </c>
      <c r="R182">
        <f>1</f>
        <v>1</v>
      </c>
      <c r="S182">
        <f>9.7</f>
        <v>9.6999999999999993</v>
      </c>
      <c r="T182">
        <f>7.5</f>
        <v>7.5</v>
      </c>
      <c r="U182">
        <f>526</f>
        <v>526</v>
      </c>
      <c r="X182">
        <f>0</f>
        <v>0</v>
      </c>
      <c r="Y182" t="s">
        <v>157</v>
      </c>
      <c r="Z182">
        <f>0</f>
        <v>0</v>
      </c>
      <c r="AA182">
        <f>12</f>
        <v>12</v>
      </c>
      <c r="AB182">
        <f>11</f>
        <v>11</v>
      </c>
      <c r="AD182">
        <f>0</f>
        <v>0</v>
      </c>
      <c r="AE182">
        <f>0</f>
        <v>0</v>
      </c>
      <c r="AH182" t="s">
        <v>157</v>
      </c>
      <c r="AI182" t="s">
        <v>167</v>
      </c>
      <c r="AL182" t="s">
        <v>168</v>
      </c>
      <c r="AM182" t="s">
        <v>216</v>
      </c>
      <c r="AN182">
        <f>6.1</f>
        <v>6.1</v>
      </c>
      <c r="AO182">
        <f>0.122</f>
        <v>0.122</v>
      </c>
      <c r="AP182">
        <f>9.2</f>
        <v>9.1999999999999993</v>
      </c>
      <c r="AQ182">
        <f>1.2</f>
        <v>1.2</v>
      </c>
      <c r="AR182" t="s">
        <v>167</v>
      </c>
      <c r="AS182">
        <f>0.66</f>
        <v>0.66</v>
      </c>
      <c r="AY182" t="s">
        <v>158</v>
      </c>
      <c r="AZ182" t="s">
        <v>158</v>
      </c>
      <c r="BA182" t="s">
        <v>216</v>
      </c>
      <c r="BB182" t="s">
        <v>158</v>
      </c>
      <c r="BC182" t="s">
        <v>167</v>
      </c>
      <c r="BD182" t="s">
        <v>167</v>
      </c>
      <c r="BE182" t="s">
        <v>216</v>
      </c>
      <c r="BF182" t="s">
        <v>167</v>
      </c>
      <c r="BG182" t="s">
        <v>158</v>
      </c>
      <c r="BH182" t="s">
        <v>167</v>
      </c>
      <c r="BK182" t="s">
        <v>158</v>
      </c>
    </row>
    <row r="183" spans="1:148" x14ac:dyDescent="0.25">
      <c r="A183" t="s">
        <v>818</v>
      </c>
      <c r="B183" t="s">
        <v>148</v>
      </c>
      <c r="C183" s="1">
        <v>45719</v>
      </c>
      <c r="D183" t="s">
        <v>175</v>
      </c>
      <c r="E183" t="s">
        <v>176</v>
      </c>
      <c r="F183" t="s">
        <v>370</v>
      </c>
      <c r="G183" t="s">
        <v>6571</v>
      </c>
      <c r="H183">
        <v>336</v>
      </c>
      <c r="I183" t="s">
        <v>6572</v>
      </c>
      <c r="J183">
        <v>7857</v>
      </c>
      <c r="K183" t="s">
        <v>5254</v>
      </c>
      <c r="L183" t="s">
        <v>4966</v>
      </c>
      <c r="M183" t="s">
        <v>5337</v>
      </c>
      <c r="N183" t="s">
        <v>819</v>
      </c>
      <c r="O183" t="s">
        <v>820</v>
      </c>
      <c r="Q183" t="s">
        <v>329</v>
      </c>
      <c r="R183">
        <f>1</f>
        <v>1</v>
      </c>
      <c r="S183">
        <f>7.9</f>
        <v>7.9</v>
      </c>
      <c r="T183">
        <f>7.5</f>
        <v>7.5</v>
      </c>
      <c r="U183">
        <f>525</f>
        <v>525</v>
      </c>
      <c r="X183">
        <f>0</f>
        <v>0</v>
      </c>
      <c r="Y183" t="s">
        <v>157</v>
      </c>
      <c r="Z183">
        <f>0</f>
        <v>0</v>
      </c>
      <c r="AA183">
        <f>0</f>
        <v>0</v>
      </c>
      <c r="AB183">
        <f>0</f>
        <v>0</v>
      </c>
      <c r="AD183">
        <f>0</f>
        <v>0</v>
      </c>
      <c r="AE183">
        <f>0</f>
        <v>0</v>
      </c>
      <c r="AH183" t="s">
        <v>157</v>
      </c>
    </row>
    <row r="184" spans="1:148" x14ac:dyDescent="0.25">
      <c r="A184" t="s">
        <v>821</v>
      </c>
      <c r="B184" t="s">
        <v>148</v>
      </c>
      <c r="C184" s="1">
        <v>45790</v>
      </c>
      <c r="D184" t="s">
        <v>317</v>
      </c>
      <c r="E184" t="s">
        <v>318</v>
      </c>
      <c r="F184" t="s">
        <v>5108</v>
      </c>
      <c r="G184" t="s">
        <v>5109</v>
      </c>
      <c r="H184">
        <v>106</v>
      </c>
      <c r="I184" t="s">
        <v>5109</v>
      </c>
      <c r="J184">
        <v>3216</v>
      </c>
      <c r="K184" t="s">
        <v>5254</v>
      </c>
      <c r="L184" t="s">
        <v>4966</v>
      </c>
      <c r="M184" t="s">
        <v>5338</v>
      </c>
      <c r="N184" t="s">
        <v>5110</v>
      </c>
      <c r="O184" t="s">
        <v>822</v>
      </c>
      <c r="Q184" t="s">
        <v>329</v>
      </c>
      <c r="R184">
        <f>1</f>
        <v>1</v>
      </c>
      <c r="S184">
        <f>14</f>
        <v>14</v>
      </c>
      <c r="T184">
        <f>8.1</f>
        <v>8.1</v>
      </c>
      <c r="U184">
        <f>265</f>
        <v>265</v>
      </c>
      <c r="X184">
        <f>0</f>
        <v>0</v>
      </c>
      <c r="Y184" t="s">
        <v>157</v>
      </c>
      <c r="Z184">
        <f>0</f>
        <v>0</v>
      </c>
      <c r="AA184">
        <f>36</f>
        <v>36</v>
      </c>
      <c r="AB184">
        <f>0</f>
        <v>0</v>
      </c>
      <c r="AD184">
        <f>0</f>
        <v>0</v>
      </c>
      <c r="AE184">
        <f>0</f>
        <v>0</v>
      </c>
      <c r="AH184" t="s">
        <v>157</v>
      </c>
      <c r="AI184" t="s">
        <v>167</v>
      </c>
      <c r="AL184" t="s">
        <v>168</v>
      </c>
      <c r="AM184" t="s">
        <v>216</v>
      </c>
      <c r="AN184">
        <f>3.3</f>
        <v>3.3</v>
      </c>
      <c r="AO184">
        <f>0.066</f>
        <v>6.6000000000000003E-2</v>
      </c>
      <c r="AP184">
        <f>11</f>
        <v>11</v>
      </c>
      <c r="AQ184" t="s">
        <v>167</v>
      </c>
      <c r="AR184" t="s">
        <v>167</v>
      </c>
      <c r="AS184">
        <f>0.88</f>
        <v>0.88</v>
      </c>
      <c r="AY184" t="s">
        <v>158</v>
      </c>
      <c r="AZ184" t="s">
        <v>158</v>
      </c>
      <c r="BA184" t="s">
        <v>216</v>
      </c>
      <c r="BB184" t="s">
        <v>158</v>
      </c>
      <c r="BC184" t="s">
        <v>167</v>
      </c>
      <c r="BD184" t="s">
        <v>167</v>
      </c>
      <c r="BE184" t="s">
        <v>216</v>
      </c>
      <c r="BF184" t="s">
        <v>167</v>
      </c>
      <c r="BG184" t="s">
        <v>158</v>
      </c>
      <c r="BH184" t="s">
        <v>167</v>
      </c>
      <c r="BK184" t="s">
        <v>158</v>
      </c>
    </row>
    <row r="185" spans="1:148" x14ac:dyDescent="0.25">
      <c r="A185" t="s">
        <v>823</v>
      </c>
      <c r="B185" t="s">
        <v>148</v>
      </c>
      <c r="C185" s="1">
        <v>45720</v>
      </c>
      <c r="D185" t="s">
        <v>618</v>
      </c>
      <c r="E185" t="s">
        <v>619</v>
      </c>
      <c r="F185" t="s">
        <v>5317</v>
      </c>
      <c r="G185" t="s">
        <v>5859</v>
      </c>
      <c r="H185">
        <v>23</v>
      </c>
      <c r="I185" t="s">
        <v>824</v>
      </c>
      <c r="J185">
        <v>4553</v>
      </c>
      <c r="K185" t="s">
        <v>5254</v>
      </c>
      <c r="L185" t="s">
        <v>387</v>
      </c>
      <c r="M185" t="s">
        <v>825</v>
      </c>
      <c r="N185" t="s">
        <v>5339</v>
      </c>
      <c r="O185" t="s">
        <v>826</v>
      </c>
      <c r="R185">
        <f>1</f>
        <v>1</v>
      </c>
      <c r="S185">
        <f>10.6</f>
        <v>10.6</v>
      </c>
      <c r="T185">
        <f>7.9</f>
        <v>7.9</v>
      </c>
      <c r="U185">
        <f>197</f>
        <v>197</v>
      </c>
      <c r="V185" t="s">
        <v>157</v>
      </c>
      <c r="X185">
        <f>0</f>
        <v>0</v>
      </c>
      <c r="Y185">
        <f>0.1</f>
        <v>0.1</v>
      </c>
      <c r="Z185">
        <f>0</f>
        <v>0</v>
      </c>
      <c r="AA185" t="s">
        <v>158</v>
      </c>
      <c r="AB185">
        <f>31</f>
        <v>31</v>
      </c>
      <c r="AD185">
        <f>0</f>
        <v>0</v>
      </c>
      <c r="AE185">
        <f>0</f>
        <v>0</v>
      </c>
      <c r="AH185" t="s">
        <v>157</v>
      </c>
    </row>
    <row r="186" spans="1:148" x14ac:dyDescent="0.25">
      <c r="A186" t="s">
        <v>827</v>
      </c>
      <c r="B186" t="s">
        <v>148</v>
      </c>
      <c r="C186" s="1">
        <v>45719</v>
      </c>
      <c r="D186" t="s">
        <v>618</v>
      </c>
      <c r="E186" t="s">
        <v>619</v>
      </c>
      <c r="F186" t="s">
        <v>730</v>
      </c>
      <c r="G186" t="s">
        <v>731</v>
      </c>
      <c r="H186">
        <v>818</v>
      </c>
      <c r="I186" t="s">
        <v>731</v>
      </c>
      <c r="J186">
        <v>7500</v>
      </c>
      <c r="K186" t="s">
        <v>5254</v>
      </c>
      <c r="L186" t="s">
        <v>387</v>
      </c>
      <c r="M186" t="s">
        <v>825</v>
      </c>
      <c r="N186" t="s">
        <v>828</v>
      </c>
      <c r="O186" t="s">
        <v>829</v>
      </c>
      <c r="R186">
        <f>1</f>
        <v>1</v>
      </c>
      <c r="S186">
        <f>12.1</f>
        <v>12.1</v>
      </c>
      <c r="T186">
        <f>7.7</f>
        <v>7.7</v>
      </c>
      <c r="U186">
        <f>334</f>
        <v>334</v>
      </c>
      <c r="V186">
        <f>0.12</f>
        <v>0.12</v>
      </c>
      <c r="X186">
        <f>0</f>
        <v>0</v>
      </c>
      <c r="Y186">
        <f>0.1</f>
        <v>0.1</v>
      </c>
      <c r="Z186">
        <f>0</f>
        <v>0</v>
      </c>
      <c r="AA186" t="s">
        <v>158</v>
      </c>
      <c r="AB186" t="s">
        <v>158</v>
      </c>
      <c r="AD186">
        <f>0</f>
        <v>0</v>
      </c>
      <c r="AE186">
        <f>0</f>
        <v>0</v>
      </c>
      <c r="AH186" t="s">
        <v>157</v>
      </c>
    </row>
    <row r="187" spans="1:148" x14ac:dyDescent="0.25">
      <c r="A187" t="s">
        <v>830</v>
      </c>
      <c r="B187" t="s">
        <v>148</v>
      </c>
      <c r="C187" s="1">
        <v>45736</v>
      </c>
      <c r="D187" t="s">
        <v>618</v>
      </c>
      <c r="E187" t="s">
        <v>619</v>
      </c>
      <c r="F187" t="s">
        <v>620</v>
      </c>
      <c r="G187" t="s">
        <v>6556</v>
      </c>
      <c r="H187">
        <v>8</v>
      </c>
      <c r="I187" t="s">
        <v>6556</v>
      </c>
      <c r="J187">
        <v>4770</v>
      </c>
      <c r="K187" t="s">
        <v>5257</v>
      </c>
      <c r="L187" t="s">
        <v>387</v>
      </c>
      <c r="M187" t="s">
        <v>6573</v>
      </c>
      <c r="N187" t="s">
        <v>6574</v>
      </c>
      <c r="O187" t="s">
        <v>831</v>
      </c>
      <c r="R187">
        <f>1</f>
        <v>1</v>
      </c>
      <c r="S187">
        <f>8.7</f>
        <v>8.6999999999999993</v>
      </c>
      <c r="T187">
        <f>7.4</f>
        <v>7.4</v>
      </c>
      <c r="U187">
        <f>296</f>
        <v>296</v>
      </c>
      <c r="X187">
        <f>0</f>
        <v>0</v>
      </c>
      <c r="Y187">
        <f>0.1</f>
        <v>0.1</v>
      </c>
      <c r="Z187">
        <f>0</f>
        <v>0</v>
      </c>
      <c r="AA187" t="s">
        <v>158</v>
      </c>
      <c r="AB187" t="s">
        <v>158</v>
      </c>
      <c r="AD187">
        <f>0</f>
        <v>0</v>
      </c>
      <c r="AE187">
        <f>0</f>
        <v>0</v>
      </c>
      <c r="AH187" t="s">
        <v>157</v>
      </c>
    </row>
    <row r="188" spans="1:148" x14ac:dyDescent="0.25">
      <c r="A188" t="s">
        <v>832</v>
      </c>
      <c r="B188" t="s">
        <v>148</v>
      </c>
      <c r="C188" s="1">
        <v>45719</v>
      </c>
      <c r="D188" t="s">
        <v>222</v>
      </c>
      <c r="E188" t="s">
        <v>223</v>
      </c>
      <c r="F188" t="s">
        <v>469</v>
      </c>
      <c r="G188" t="s">
        <v>6575</v>
      </c>
      <c r="H188">
        <v>437</v>
      </c>
      <c r="I188" t="s">
        <v>6575</v>
      </c>
      <c r="J188">
        <v>589</v>
      </c>
      <c r="K188" t="s">
        <v>5257</v>
      </c>
      <c r="L188" t="s">
        <v>4724</v>
      </c>
      <c r="M188" t="s">
        <v>5340</v>
      </c>
      <c r="N188" t="s">
        <v>4725</v>
      </c>
      <c r="O188" t="s">
        <v>833</v>
      </c>
      <c r="Q188" t="s">
        <v>6324</v>
      </c>
      <c r="R188">
        <f>1</f>
        <v>1</v>
      </c>
      <c r="S188">
        <f>9.5</f>
        <v>9.5</v>
      </c>
      <c r="T188">
        <f>8.2</f>
        <v>8.1999999999999993</v>
      </c>
      <c r="U188">
        <f>217</f>
        <v>217</v>
      </c>
      <c r="V188">
        <f>0.06</f>
        <v>0.06</v>
      </c>
      <c r="X188">
        <f>1</f>
        <v>1</v>
      </c>
      <c r="Y188">
        <f>0.09</f>
        <v>0.09</v>
      </c>
      <c r="Z188">
        <f>0</f>
        <v>0</v>
      </c>
      <c r="AA188">
        <f>3</f>
        <v>3</v>
      </c>
      <c r="AB188">
        <f>0</f>
        <v>0</v>
      </c>
      <c r="AC188">
        <f>0</f>
        <v>0</v>
      </c>
      <c r="AD188">
        <f>0</f>
        <v>0</v>
      </c>
      <c r="AE188">
        <f>0</f>
        <v>0</v>
      </c>
      <c r="AH188" t="s">
        <v>166</v>
      </c>
    </row>
    <row r="189" spans="1:148" x14ac:dyDescent="0.25">
      <c r="A189" t="s">
        <v>834</v>
      </c>
      <c r="B189" t="s">
        <v>148</v>
      </c>
      <c r="C189" s="1">
        <v>45736</v>
      </c>
      <c r="D189" t="s">
        <v>618</v>
      </c>
      <c r="E189" t="s">
        <v>619</v>
      </c>
      <c r="F189" t="s">
        <v>620</v>
      </c>
      <c r="G189" t="s">
        <v>6556</v>
      </c>
      <c r="H189">
        <v>8</v>
      </c>
      <c r="I189" t="s">
        <v>6556</v>
      </c>
      <c r="J189">
        <v>4770</v>
      </c>
      <c r="K189" t="s">
        <v>5257</v>
      </c>
      <c r="L189" t="s">
        <v>387</v>
      </c>
      <c r="M189" t="s">
        <v>5860</v>
      </c>
      <c r="N189" t="s">
        <v>5861</v>
      </c>
      <c r="O189" t="s">
        <v>835</v>
      </c>
      <c r="R189">
        <f>1</f>
        <v>1</v>
      </c>
      <c r="S189">
        <f>8.5</f>
        <v>8.5</v>
      </c>
      <c r="T189">
        <f>7.5</f>
        <v>7.5</v>
      </c>
      <c r="U189">
        <f>489</f>
        <v>489</v>
      </c>
      <c r="X189">
        <f>0</f>
        <v>0</v>
      </c>
      <c r="Y189">
        <f>0.1</f>
        <v>0.1</v>
      </c>
      <c r="Z189">
        <f>0</f>
        <v>0</v>
      </c>
      <c r="AA189" t="s">
        <v>158</v>
      </c>
      <c r="AB189" t="s">
        <v>158</v>
      </c>
      <c r="AD189">
        <f>0</f>
        <v>0</v>
      </c>
      <c r="AE189">
        <f>0</f>
        <v>0</v>
      </c>
      <c r="AH189" t="s">
        <v>157</v>
      </c>
      <c r="BI189" t="s">
        <v>836</v>
      </c>
    </row>
    <row r="190" spans="1:148" x14ac:dyDescent="0.25">
      <c r="A190" t="s">
        <v>837</v>
      </c>
      <c r="B190" t="s">
        <v>148</v>
      </c>
      <c r="C190" s="1">
        <v>45769</v>
      </c>
      <c r="D190" t="s">
        <v>222</v>
      </c>
      <c r="E190" t="s">
        <v>223</v>
      </c>
      <c r="F190" t="s">
        <v>224</v>
      </c>
      <c r="G190" t="s">
        <v>838</v>
      </c>
      <c r="H190">
        <v>374</v>
      </c>
      <c r="I190" t="s">
        <v>838</v>
      </c>
      <c r="J190">
        <v>899</v>
      </c>
      <c r="K190" t="s">
        <v>5257</v>
      </c>
      <c r="L190" t="s">
        <v>387</v>
      </c>
      <c r="M190" t="s">
        <v>839</v>
      </c>
      <c r="N190" t="s">
        <v>840</v>
      </c>
      <c r="R190">
        <f>1</f>
        <v>1</v>
      </c>
      <c r="S190">
        <f>16.4</f>
        <v>16.399999999999999</v>
      </c>
      <c r="T190">
        <f>8</f>
        <v>8</v>
      </c>
      <c r="U190">
        <f>253</f>
        <v>253</v>
      </c>
      <c r="X190">
        <f>1</f>
        <v>1</v>
      </c>
      <c r="Y190">
        <f>0.14</f>
        <v>0.14000000000000001</v>
      </c>
      <c r="Z190">
        <f>0</f>
        <v>0</v>
      </c>
      <c r="AA190">
        <f>0</f>
        <v>0</v>
      </c>
      <c r="AB190">
        <f>0</f>
        <v>0</v>
      </c>
      <c r="AC190">
        <f>0</f>
        <v>0</v>
      </c>
      <c r="AD190">
        <f>0</f>
        <v>0</v>
      </c>
      <c r="AE190">
        <f>0</f>
        <v>0</v>
      </c>
      <c r="AH190" t="s">
        <v>166</v>
      </c>
      <c r="AI190">
        <f>0.43</f>
        <v>0.43</v>
      </c>
      <c r="AL190" t="s">
        <v>168</v>
      </c>
      <c r="AM190" t="s">
        <v>164</v>
      </c>
      <c r="AN190">
        <f>5.1</f>
        <v>5.0999999999999996</v>
      </c>
      <c r="AO190">
        <f>0.1</f>
        <v>0.1</v>
      </c>
      <c r="AP190">
        <f>5.6</f>
        <v>5.6</v>
      </c>
      <c r="AQ190">
        <f>3.1</f>
        <v>3.1</v>
      </c>
      <c r="AR190" t="s">
        <v>167</v>
      </c>
      <c r="AS190">
        <f>1.8</f>
        <v>1.8</v>
      </c>
      <c r="AY190">
        <f>3</f>
        <v>3</v>
      </c>
      <c r="AZ190" t="s">
        <v>208</v>
      </c>
      <c r="BA190">
        <f>0.0023</f>
        <v>2.3E-3</v>
      </c>
      <c r="BB190">
        <f>2.3</f>
        <v>2.2999999999999998</v>
      </c>
      <c r="BC190">
        <f>0.067</f>
        <v>6.7000000000000004E-2</v>
      </c>
      <c r="BD190" t="s">
        <v>157</v>
      </c>
      <c r="BE190">
        <f>0.0019</f>
        <v>1.9E-3</v>
      </c>
      <c r="BF190" t="s">
        <v>168</v>
      </c>
      <c r="BG190" t="s">
        <v>237</v>
      </c>
      <c r="BH190" t="s">
        <v>157</v>
      </c>
      <c r="BK190">
        <f>0.14</f>
        <v>0.14000000000000001</v>
      </c>
      <c r="EL190">
        <f>1.2</f>
        <v>1.2</v>
      </c>
      <c r="EM190" t="s">
        <v>238</v>
      </c>
      <c r="EN190">
        <f>0.9</f>
        <v>0.9</v>
      </c>
      <c r="EO190">
        <f>1.1</f>
        <v>1.1000000000000001</v>
      </c>
      <c r="ER190">
        <f>3.2</f>
        <v>3.2</v>
      </c>
    </row>
    <row r="191" spans="1:148" x14ac:dyDescent="0.25">
      <c r="A191" t="s">
        <v>841</v>
      </c>
      <c r="B191" t="s">
        <v>148</v>
      </c>
      <c r="C191" s="1">
        <v>45825</v>
      </c>
      <c r="D191" t="s">
        <v>317</v>
      </c>
      <c r="E191" t="s">
        <v>318</v>
      </c>
      <c r="F191" t="s">
        <v>842</v>
      </c>
      <c r="G191" t="s">
        <v>843</v>
      </c>
      <c r="H191">
        <v>124</v>
      </c>
      <c r="I191" t="s">
        <v>843</v>
      </c>
      <c r="J191">
        <v>1285</v>
      </c>
      <c r="K191" t="s">
        <v>5254</v>
      </c>
      <c r="L191" t="s">
        <v>4966</v>
      </c>
      <c r="M191" t="s">
        <v>5341</v>
      </c>
      <c r="N191" t="s">
        <v>5862</v>
      </c>
      <c r="O191" t="s">
        <v>844</v>
      </c>
      <c r="Q191" t="s">
        <v>845</v>
      </c>
      <c r="R191">
        <f>1</f>
        <v>1</v>
      </c>
      <c r="S191">
        <f>13</f>
        <v>13</v>
      </c>
      <c r="T191">
        <f>7.8</f>
        <v>7.8</v>
      </c>
      <c r="U191">
        <f>235</f>
        <v>235</v>
      </c>
      <c r="X191">
        <f>0</f>
        <v>0</v>
      </c>
      <c r="Y191" t="s">
        <v>157</v>
      </c>
      <c r="Z191">
        <f>0</f>
        <v>0</v>
      </c>
      <c r="AA191">
        <f>60</f>
        <v>60</v>
      </c>
      <c r="AB191">
        <f>0</f>
        <v>0</v>
      </c>
      <c r="AD191">
        <f>0</f>
        <v>0</v>
      </c>
      <c r="AE191">
        <f>0</f>
        <v>0</v>
      </c>
      <c r="AH191" t="s">
        <v>157</v>
      </c>
      <c r="AI191" t="s">
        <v>167</v>
      </c>
      <c r="AL191" t="s">
        <v>168</v>
      </c>
      <c r="AM191" t="s">
        <v>216</v>
      </c>
      <c r="AN191">
        <f>4.6</f>
        <v>4.5999999999999996</v>
      </c>
      <c r="AO191">
        <f>0.092</f>
        <v>9.1999999999999998E-2</v>
      </c>
      <c r="AP191">
        <f>3.3</f>
        <v>3.3</v>
      </c>
      <c r="AQ191" t="s">
        <v>167</v>
      </c>
      <c r="AR191" t="s">
        <v>167</v>
      </c>
      <c r="AS191">
        <f>0.39</f>
        <v>0.39</v>
      </c>
      <c r="AY191" t="s">
        <v>158</v>
      </c>
      <c r="AZ191" t="s">
        <v>158</v>
      </c>
      <c r="BA191" t="s">
        <v>216</v>
      </c>
      <c r="BB191" t="s">
        <v>158</v>
      </c>
      <c r="BC191" t="s">
        <v>167</v>
      </c>
      <c r="BD191" t="s">
        <v>167</v>
      </c>
      <c r="BE191" t="s">
        <v>216</v>
      </c>
      <c r="BF191" t="s">
        <v>167</v>
      </c>
      <c r="BG191" t="s">
        <v>158</v>
      </c>
      <c r="BH191" t="s">
        <v>167</v>
      </c>
      <c r="BK191" t="s">
        <v>158</v>
      </c>
    </row>
    <row r="192" spans="1:148" x14ac:dyDescent="0.25">
      <c r="A192" t="s">
        <v>846</v>
      </c>
      <c r="B192" t="s">
        <v>148</v>
      </c>
      <c r="C192" s="1">
        <v>45726</v>
      </c>
      <c r="D192" t="s">
        <v>317</v>
      </c>
      <c r="E192" t="s">
        <v>318</v>
      </c>
      <c r="F192" t="s">
        <v>847</v>
      </c>
      <c r="G192" t="s">
        <v>848</v>
      </c>
      <c r="H192">
        <v>988</v>
      </c>
      <c r="I192" t="s">
        <v>849</v>
      </c>
      <c r="J192">
        <v>3256</v>
      </c>
      <c r="K192" t="s">
        <v>5254</v>
      </c>
      <c r="L192" t="s">
        <v>4967</v>
      </c>
      <c r="M192" t="s">
        <v>5342</v>
      </c>
      <c r="N192" t="s">
        <v>5343</v>
      </c>
      <c r="O192" t="s">
        <v>850</v>
      </c>
      <c r="Q192" t="s">
        <v>329</v>
      </c>
      <c r="R192">
        <f>1</f>
        <v>1</v>
      </c>
      <c r="S192">
        <f>8.6</f>
        <v>8.6</v>
      </c>
      <c r="T192">
        <f>7.9</f>
        <v>7.9</v>
      </c>
      <c r="U192">
        <f>309</f>
        <v>309</v>
      </c>
      <c r="X192">
        <f>0</f>
        <v>0</v>
      </c>
      <c r="Y192" t="s">
        <v>157</v>
      </c>
      <c r="Z192">
        <f>0</f>
        <v>0</v>
      </c>
      <c r="AA192">
        <f>0</f>
        <v>0</v>
      </c>
      <c r="AB192">
        <f>0</f>
        <v>0</v>
      </c>
      <c r="AD192">
        <f>0</f>
        <v>0</v>
      </c>
      <c r="AE192">
        <f>0</f>
        <v>0</v>
      </c>
      <c r="AH192" t="s">
        <v>157</v>
      </c>
    </row>
    <row r="193" spans="1:148" x14ac:dyDescent="0.25">
      <c r="A193" t="s">
        <v>851</v>
      </c>
      <c r="B193" t="s">
        <v>148</v>
      </c>
      <c r="C193" s="1">
        <v>45799</v>
      </c>
      <c r="D193" t="s">
        <v>317</v>
      </c>
      <c r="E193" t="s">
        <v>318</v>
      </c>
      <c r="F193" t="s">
        <v>847</v>
      </c>
      <c r="G193" t="s">
        <v>852</v>
      </c>
      <c r="H193">
        <v>989</v>
      </c>
      <c r="I193" t="s">
        <v>852</v>
      </c>
      <c r="J193">
        <v>1086</v>
      </c>
      <c r="K193" t="s">
        <v>5254</v>
      </c>
      <c r="L193" t="s">
        <v>4966</v>
      </c>
      <c r="M193" t="s">
        <v>5344</v>
      </c>
      <c r="N193" t="s">
        <v>4726</v>
      </c>
      <c r="O193" t="s">
        <v>853</v>
      </c>
      <c r="Q193" t="s">
        <v>329</v>
      </c>
      <c r="R193">
        <f>1</f>
        <v>1</v>
      </c>
      <c r="S193">
        <f>8.5</f>
        <v>8.5</v>
      </c>
      <c r="T193">
        <f>7.8</f>
        <v>7.8</v>
      </c>
      <c r="U193">
        <f>252</f>
        <v>252</v>
      </c>
      <c r="X193">
        <f>0</f>
        <v>0</v>
      </c>
      <c r="Y193" t="s">
        <v>157</v>
      </c>
      <c r="Z193">
        <f>0</f>
        <v>0</v>
      </c>
      <c r="AA193">
        <f>2</f>
        <v>2</v>
      </c>
      <c r="AB193">
        <f>2</f>
        <v>2</v>
      </c>
      <c r="AD193">
        <f>0</f>
        <v>0</v>
      </c>
      <c r="AE193">
        <f>0</f>
        <v>0</v>
      </c>
      <c r="AH193" t="s">
        <v>157</v>
      </c>
      <c r="AI193" t="s">
        <v>167</v>
      </c>
      <c r="AL193" t="s">
        <v>168</v>
      </c>
      <c r="AM193" t="s">
        <v>216</v>
      </c>
      <c r="AN193">
        <f>1.8</f>
        <v>1.8</v>
      </c>
      <c r="AO193">
        <f>0.036</f>
        <v>3.5999999999999997E-2</v>
      </c>
      <c r="AP193">
        <f>1.8</f>
        <v>1.8</v>
      </c>
      <c r="AQ193">
        <f>3.7</f>
        <v>3.7</v>
      </c>
      <c r="AR193" t="s">
        <v>167</v>
      </c>
      <c r="AS193">
        <f>2.4</f>
        <v>2.4</v>
      </c>
      <c r="AY193" t="s">
        <v>158</v>
      </c>
      <c r="AZ193" t="s">
        <v>158</v>
      </c>
      <c r="BA193" t="s">
        <v>216</v>
      </c>
      <c r="BB193" t="s">
        <v>158</v>
      </c>
      <c r="BC193" t="s">
        <v>167</v>
      </c>
      <c r="BD193" t="s">
        <v>167</v>
      </c>
      <c r="BE193" t="s">
        <v>216</v>
      </c>
      <c r="BF193" t="s">
        <v>167</v>
      </c>
      <c r="BG193" t="s">
        <v>158</v>
      </c>
      <c r="BH193" t="s">
        <v>167</v>
      </c>
      <c r="BK193" t="s">
        <v>158</v>
      </c>
    </row>
    <row r="194" spans="1:148" x14ac:dyDescent="0.25">
      <c r="A194" t="s">
        <v>854</v>
      </c>
      <c r="B194" t="s">
        <v>148</v>
      </c>
      <c r="C194" s="1">
        <v>45734</v>
      </c>
      <c r="D194" t="s">
        <v>317</v>
      </c>
      <c r="E194" t="s">
        <v>318</v>
      </c>
      <c r="F194" t="s">
        <v>360</v>
      </c>
      <c r="G194" t="s">
        <v>855</v>
      </c>
      <c r="H194">
        <v>1059</v>
      </c>
      <c r="I194" t="s">
        <v>856</v>
      </c>
      <c r="J194">
        <v>1137</v>
      </c>
      <c r="K194" t="s">
        <v>5331</v>
      </c>
      <c r="L194" t="s">
        <v>4948</v>
      </c>
      <c r="M194" t="s">
        <v>5345</v>
      </c>
      <c r="N194" t="s">
        <v>857</v>
      </c>
      <c r="O194" t="s">
        <v>858</v>
      </c>
      <c r="Q194" t="s">
        <v>329</v>
      </c>
      <c r="R194">
        <f>1</f>
        <v>1</v>
      </c>
      <c r="S194">
        <f>9.6</f>
        <v>9.6</v>
      </c>
      <c r="T194">
        <f>7.8</f>
        <v>7.8</v>
      </c>
      <c r="U194">
        <f>303</f>
        <v>303</v>
      </c>
      <c r="X194">
        <f>0</f>
        <v>0</v>
      </c>
      <c r="Y194" t="s">
        <v>157</v>
      </c>
      <c r="Z194">
        <f>0</f>
        <v>0</v>
      </c>
      <c r="AA194">
        <f>0</f>
        <v>0</v>
      </c>
      <c r="AB194">
        <f>0</f>
        <v>0</v>
      </c>
      <c r="AC194">
        <f>0</f>
        <v>0</v>
      </c>
      <c r="AD194">
        <f>0</f>
        <v>0</v>
      </c>
      <c r="AE194">
        <f>0</f>
        <v>0</v>
      </c>
      <c r="AH194" t="s">
        <v>157</v>
      </c>
    </row>
    <row r="195" spans="1:148" x14ac:dyDescent="0.25">
      <c r="A195" t="s">
        <v>859</v>
      </c>
      <c r="B195" t="s">
        <v>148</v>
      </c>
      <c r="C195" s="1">
        <v>45722</v>
      </c>
      <c r="D195" t="s">
        <v>317</v>
      </c>
      <c r="E195" t="s">
        <v>318</v>
      </c>
      <c r="F195" t="s">
        <v>6576</v>
      </c>
      <c r="G195" t="s">
        <v>5111</v>
      </c>
      <c r="H195">
        <v>1091</v>
      </c>
      <c r="I195" t="s">
        <v>5112</v>
      </c>
      <c r="J195">
        <v>2000</v>
      </c>
      <c r="K195" t="s">
        <v>5254</v>
      </c>
      <c r="L195" t="s">
        <v>393</v>
      </c>
      <c r="M195" t="s">
        <v>5346</v>
      </c>
      <c r="N195" t="s">
        <v>860</v>
      </c>
      <c r="O195" t="s">
        <v>861</v>
      </c>
      <c r="Q195" t="s">
        <v>347</v>
      </c>
      <c r="R195">
        <f>1</f>
        <v>1</v>
      </c>
      <c r="S195">
        <f>8.1</f>
        <v>8.1</v>
      </c>
      <c r="T195">
        <f>8</f>
        <v>8</v>
      </c>
      <c r="U195">
        <f>293</f>
        <v>293</v>
      </c>
      <c r="V195">
        <f>0.14</f>
        <v>0.14000000000000001</v>
      </c>
      <c r="X195">
        <f>0</f>
        <v>0</v>
      </c>
      <c r="Y195" t="s">
        <v>157</v>
      </c>
      <c r="Z195">
        <f>0</f>
        <v>0</v>
      </c>
      <c r="AA195">
        <f>1</f>
        <v>1</v>
      </c>
      <c r="AB195">
        <f>0</f>
        <v>0</v>
      </c>
      <c r="AD195">
        <f>0</f>
        <v>0</v>
      </c>
      <c r="AE195">
        <f>0</f>
        <v>0</v>
      </c>
      <c r="AH195" t="s">
        <v>157</v>
      </c>
    </row>
    <row r="196" spans="1:148" x14ac:dyDescent="0.25">
      <c r="A196" t="s">
        <v>862</v>
      </c>
      <c r="B196" t="s">
        <v>148</v>
      </c>
      <c r="C196" s="1">
        <v>45728</v>
      </c>
      <c r="D196" t="s">
        <v>242</v>
      </c>
      <c r="E196" t="s">
        <v>243</v>
      </c>
      <c r="F196" t="s">
        <v>4727</v>
      </c>
      <c r="G196" t="s">
        <v>863</v>
      </c>
      <c r="H196">
        <v>1123</v>
      </c>
      <c r="I196" t="s">
        <v>863</v>
      </c>
      <c r="J196">
        <v>1300</v>
      </c>
      <c r="K196" t="s">
        <v>5254</v>
      </c>
      <c r="L196" t="s">
        <v>393</v>
      </c>
      <c r="M196" t="s">
        <v>5347</v>
      </c>
      <c r="N196" t="s">
        <v>864</v>
      </c>
      <c r="O196" t="s">
        <v>865</v>
      </c>
      <c r="R196">
        <f>1</f>
        <v>1</v>
      </c>
      <c r="S196">
        <f>11.4</f>
        <v>11.4</v>
      </c>
      <c r="T196">
        <f>7.5</f>
        <v>7.5</v>
      </c>
      <c r="U196">
        <f>422</f>
        <v>422</v>
      </c>
      <c r="X196">
        <f>1</f>
        <v>1</v>
      </c>
      <c r="Y196">
        <f>1.4</f>
        <v>1.4</v>
      </c>
      <c r="Z196">
        <f>0</f>
        <v>0</v>
      </c>
      <c r="AA196" t="s">
        <v>158</v>
      </c>
      <c r="AB196" t="s">
        <v>158</v>
      </c>
      <c r="AD196">
        <f>0</f>
        <v>0</v>
      </c>
      <c r="AE196">
        <f>0</f>
        <v>0</v>
      </c>
      <c r="AH196" t="s">
        <v>157</v>
      </c>
    </row>
    <row r="197" spans="1:148" x14ac:dyDescent="0.25">
      <c r="A197" t="s">
        <v>866</v>
      </c>
      <c r="B197" t="s">
        <v>148</v>
      </c>
      <c r="C197" s="1">
        <v>45728</v>
      </c>
      <c r="D197" t="s">
        <v>242</v>
      </c>
      <c r="E197" t="s">
        <v>243</v>
      </c>
      <c r="F197" t="s">
        <v>5098</v>
      </c>
      <c r="G197" t="s">
        <v>867</v>
      </c>
      <c r="H197">
        <v>1125</v>
      </c>
      <c r="I197" t="s">
        <v>867</v>
      </c>
      <c r="J197">
        <v>2531</v>
      </c>
      <c r="K197" t="s">
        <v>5254</v>
      </c>
      <c r="L197" t="s">
        <v>387</v>
      </c>
      <c r="M197" t="s">
        <v>868</v>
      </c>
      <c r="N197" t="s">
        <v>869</v>
      </c>
      <c r="O197" t="s">
        <v>870</v>
      </c>
      <c r="R197">
        <f>1</f>
        <v>1</v>
      </c>
      <c r="S197">
        <f>10.3</f>
        <v>10.3</v>
      </c>
      <c r="T197">
        <f>7.8</f>
        <v>7.8</v>
      </c>
      <c r="U197">
        <f>297</f>
        <v>297</v>
      </c>
      <c r="V197">
        <f>0.27</f>
        <v>0.27</v>
      </c>
      <c r="X197">
        <f>1</f>
        <v>1</v>
      </c>
      <c r="Y197" t="s">
        <v>157</v>
      </c>
      <c r="Z197">
        <f>0</f>
        <v>0</v>
      </c>
      <c r="AA197" t="s">
        <v>158</v>
      </c>
      <c r="AB197" t="s">
        <v>158</v>
      </c>
      <c r="AD197">
        <f>0</f>
        <v>0</v>
      </c>
      <c r="AE197">
        <f>0</f>
        <v>0</v>
      </c>
      <c r="AH197" t="s">
        <v>157</v>
      </c>
    </row>
    <row r="198" spans="1:148" x14ac:dyDescent="0.25">
      <c r="A198" t="s">
        <v>871</v>
      </c>
      <c r="B198" t="s">
        <v>148</v>
      </c>
      <c r="C198" s="1">
        <v>45728</v>
      </c>
      <c r="D198" t="s">
        <v>242</v>
      </c>
      <c r="E198" t="s">
        <v>243</v>
      </c>
      <c r="F198" t="s">
        <v>5098</v>
      </c>
      <c r="G198" t="s">
        <v>872</v>
      </c>
      <c r="H198">
        <v>1126</v>
      </c>
      <c r="I198" t="s">
        <v>872</v>
      </c>
      <c r="J198">
        <v>9637</v>
      </c>
      <c r="K198" t="s">
        <v>5257</v>
      </c>
      <c r="L198" t="s">
        <v>387</v>
      </c>
      <c r="M198" t="s">
        <v>5348</v>
      </c>
      <c r="N198" t="s">
        <v>4728</v>
      </c>
      <c r="O198" t="s">
        <v>873</v>
      </c>
      <c r="R198">
        <f>1</f>
        <v>1</v>
      </c>
      <c r="S198">
        <f>12.3</f>
        <v>12.3</v>
      </c>
      <c r="T198">
        <f>7.8</f>
        <v>7.8</v>
      </c>
      <c r="U198">
        <f>344</f>
        <v>344</v>
      </c>
      <c r="V198">
        <f>0.25</f>
        <v>0.25</v>
      </c>
      <c r="X198">
        <f>1</f>
        <v>1</v>
      </c>
      <c r="Y198" t="s">
        <v>157</v>
      </c>
      <c r="Z198">
        <f>0</f>
        <v>0</v>
      </c>
      <c r="AA198" t="s">
        <v>158</v>
      </c>
      <c r="AB198" t="s">
        <v>158</v>
      </c>
      <c r="AC198">
        <f>0</f>
        <v>0</v>
      </c>
      <c r="AD198">
        <f>0</f>
        <v>0</v>
      </c>
      <c r="AE198">
        <f>0</f>
        <v>0</v>
      </c>
      <c r="AH198" t="s">
        <v>157</v>
      </c>
    </row>
    <row r="199" spans="1:148" x14ac:dyDescent="0.25">
      <c r="A199" t="s">
        <v>874</v>
      </c>
      <c r="B199" t="s">
        <v>148</v>
      </c>
      <c r="C199" s="1">
        <v>45729</v>
      </c>
      <c r="D199" t="s">
        <v>242</v>
      </c>
      <c r="E199" t="s">
        <v>243</v>
      </c>
      <c r="F199" t="s">
        <v>5349</v>
      </c>
      <c r="G199" t="s">
        <v>5863</v>
      </c>
      <c r="H199">
        <v>1128</v>
      </c>
      <c r="I199" t="s">
        <v>5863</v>
      </c>
      <c r="J199">
        <v>5130</v>
      </c>
      <c r="K199" t="s">
        <v>5254</v>
      </c>
      <c r="L199" t="s">
        <v>393</v>
      </c>
      <c r="M199" t="s">
        <v>5350</v>
      </c>
      <c r="N199" t="s">
        <v>5351</v>
      </c>
      <c r="O199" t="s">
        <v>875</v>
      </c>
      <c r="R199">
        <f>1</f>
        <v>1</v>
      </c>
      <c r="S199">
        <f>11.2</f>
        <v>11.2</v>
      </c>
      <c r="T199">
        <f>7.8</f>
        <v>7.8</v>
      </c>
      <c r="U199">
        <f>443</f>
        <v>443</v>
      </c>
      <c r="V199">
        <f>0.08</f>
        <v>0.08</v>
      </c>
      <c r="X199">
        <f>0</f>
        <v>0</v>
      </c>
      <c r="Y199" t="s">
        <v>157</v>
      </c>
      <c r="Z199">
        <f>0</f>
        <v>0</v>
      </c>
      <c r="AA199" t="s">
        <v>158</v>
      </c>
      <c r="AB199" t="s">
        <v>158</v>
      </c>
      <c r="AD199">
        <f>0</f>
        <v>0</v>
      </c>
      <c r="AE199">
        <f>0</f>
        <v>0</v>
      </c>
      <c r="AH199" t="s">
        <v>157</v>
      </c>
    </row>
    <row r="200" spans="1:148" x14ac:dyDescent="0.25">
      <c r="A200" t="s">
        <v>876</v>
      </c>
      <c r="B200" t="s">
        <v>148</v>
      </c>
      <c r="C200" s="1">
        <v>45729</v>
      </c>
      <c r="D200" t="s">
        <v>242</v>
      </c>
      <c r="E200" t="s">
        <v>243</v>
      </c>
      <c r="F200" t="s">
        <v>5349</v>
      </c>
      <c r="G200" t="s">
        <v>5863</v>
      </c>
      <c r="H200">
        <v>1128</v>
      </c>
      <c r="I200" t="s">
        <v>5863</v>
      </c>
      <c r="J200">
        <v>5130</v>
      </c>
      <c r="K200" t="s">
        <v>5254</v>
      </c>
      <c r="L200" t="s">
        <v>393</v>
      </c>
      <c r="M200" t="s">
        <v>5352</v>
      </c>
      <c r="N200" t="s">
        <v>5353</v>
      </c>
      <c r="O200" t="s">
        <v>877</v>
      </c>
      <c r="R200">
        <f>1</f>
        <v>1</v>
      </c>
      <c r="S200">
        <f>10.8</f>
        <v>10.8</v>
      </c>
      <c r="T200">
        <f>7.9</f>
        <v>7.9</v>
      </c>
      <c r="U200">
        <f>528</f>
        <v>528</v>
      </c>
      <c r="X200">
        <f>0</f>
        <v>0</v>
      </c>
      <c r="Y200" t="s">
        <v>157</v>
      </c>
      <c r="Z200">
        <f>0</f>
        <v>0</v>
      </c>
      <c r="AA200" t="s">
        <v>158</v>
      </c>
      <c r="AB200" t="s">
        <v>158</v>
      </c>
      <c r="AD200">
        <f>0</f>
        <v>0</v>
      </c>
      <c r="AE200">
        <f>0</f>
        <v>0</v>
      </c>
      <c r="AH200" t="s">
        <v>157</v>
      </c>
    </row>
    <row r="201" spans="1:148" x14ac:dyDescent="0.25">
      <c r="A201" t="s">
        <v>878</v>
      </c>
      <c r="B201" t="s">
        <v>148</v>
      </c>
      <c r="C201" s="1">
        <v>45719</v>
      </c>
      <c r="D201" t="s">
        <v>242</v>
      </c>
      <c r="E201" t="s">
        <v>295</v>
      </c>
      <c r="F201" t="s">
        <v>6577</v>
      </c>
      <c r="G201" t="s">
        <v>6578</v>
      </c>
      <c r="H201">
        <v>1130</v>
      </c>
      <c r="I201" t="s">
        <v>6578</v>
      </c>
      <c r="J201">
        <v>2600</v>
      </c>
      <c r="K201" t="s">
        <v>5254</v>
      </c>
      <c r="L201" t="s">
        <v>4724</v>
      </c>
      <c r="M201" t="s">
        <v>4729</v>
      </c>
      <c r="N201" t="s">
        <v>5864</v>
      </c>
      <c r="O201" t="s">
        <v>879</v>
      </c>
      <c r="R201">
        <f>1</f>
        <v>1</v>
      </c>
      <c r="S201">
        <f>11.5</f>
        <v>11.5</v>
      </c>
      <c r="T201">
        <f>7.7</f>
        <v>7.7</v>
      </c>
      <c r="U201">
        <f>456</f>
        <v>456</v>
      </c>
      <c r="V201">
        <f>0.18</f>
        <v>0.18</v>
      </c>
      <c r="X201">
        <f>0</f>
        <v>0</v>
      </c>
      <c r="Y201" t="s">
        <v>157</v>
      </c>
      <c r="Z201">
        <f>0</f>
        <v>0</v>
      </c>
      <c r="AA201" t="s">
        <v>158</v>
      </c>
      <c r="AB201" t="s">
        <v>158</v>
      </c>
      <c r="AD201">
        <f>0</f>
        <v>0</v>
      </c>
      <c r="AE201">
        <f>0</f>
        <v>0</v>
      </c>
      <c r="AH201" t="s">
        <v>157</v>
      </c>
    </row>
    <row r="202" spans="1:148" x14ac:dyDescent="0.25">
      <c r="A202" t="s">
        <v>880</v>
      </c>
      <c r="B202" t="s">
        <v>148</v>
      </c>
      <c r="C202" s="1">
        <v>45825</v>
      </c>
      <c r="D202" t="s">
        <v>242</v>
      </c>
      <c r="E202" t="s">
        <v>243</v>
      </c>
      <c r="F202" t="s">
        <v>5349</v>
      </c>
      <c r="G202" t="s">
        <v>881</v>
      </c>
      <c r="H202">
        <v>1132</v>
      </c>
      <c r="I202" t="s">
        <v>881</v>
      </c>
      <c r="J202">
        <v>1430</v>
      </c>
      <c r="K202" t="s">
        <v>5254</v>
      </c>
      <c r="L202" t="s">
        <v>431</v>
      </c>
      <c r="M202" t="s">
        <v>5865</v>
      </c>
      <c r="N202" t="s">
        <v>5866</v>
      </c>
      <c r="O202" t="s">
        <v>882</v>
      </c>
      <c r="R202">
        <f>1</f>
        <v>1</v>
      </c>
      <c r="S202">
        <f>17.4</f>
        <v>17.399999999999999</v>
      </c>
      <c r="T202">
        <f>7.7</f>
        <v>7.7</v>
      </c>
      <c r="U202">
        <f>386</f>
        <v>386</v>
      </c>
      <c r="V202">
        <f>0.05</f>
        <v>0.05</v>
      </c>
      <c r="X202">
        <f>0</f>
        <v>0</v>
      </c>
      <c r="Y202">
        <f>0.11</f>
        <v>0.11</v>
      </c>
      <c r="Z202">
        <f>0</f>
        <v>0</v>
      </c>
      <c r="AA202" t="s">
        <v>158</v>
      </c>
      <c r="AB202" t="s">
        <v>158</v>
      </c>
      <c r="AD202">
        <f>0</f>
        <v>0</v>
      </c>
      <c r="AE202">
        <f>0</f>
        <v>0</v>
      </c>
      <c r="AH202" t="s">
        <v>157</v>
      </c>
      <c r="AI202" t="s">
        <v>238</v>
      </c>
      <c r="AL202" t="s">
        <v>164</v>
      </c>
      <c r="AM202" t="s">
        <v>165</v>
      </c>
      <c r="AN202">
        <f>6.6</f>
        <v>6.6</v>
      </c>
      <c r="AO202">
        <f>0.13</f>
        <v>0.13</v>
      </c>
      <c r="AP202">
        <f>8.4</f>
        <v>8.4</v>
      </c>
      <c r="AQ202">
        <f>1.1</f>
        <v>1.1000000000000001</v>
      </c>
      <c r="AR202" t="s">
        <v>157</v>
      </c>
      <c r="AS202">
        <f>0.73</f>
        <v>0.73</v>
      </c>
      <c r="AY202" t="s">
        <v>167</v>
      </c>
      <c r="AZ202" t="s">
        <v>158</v>
      </c>
      <c r="BA202" t="s">
        <v>216</v>
      </c>
      <c r="BB202" t="s">
        <v>158</v>
      </c>
      <c r="BC202" t="s">
        <v>166</v>
      </c>
      <c r="BD202" t="s">
        <v>167</v>
      </c>
      <c r="BE202">
        <f>0.0081</f>
        <v>8.0999999999999996E-3</v>
      </c>
      <c r="BF202" t="s">
        <v>168</v>
      </c>
      <c r="BG202" t="s">
        <v>167</v>
      </c>
      <c r="BH202">
        <f>1.1</f>
        <v>1.1000000000000001</v>
      </c>
      <c r="BK202">
        <f>0.49</f>
        <v>0.49</v>
      </c>
      <c r="EL202">
        <f>0.28</f>
        <v>0.28000000000000003</v>
      </c>
      <c r="EM202" t="s">
        <v>166</v>
      </c>
      <c r="EN202">
        <f>0.48</f>
        <v>0.48</v>
      </c>
      <c r="EO202">
        <f>0.42</f>
        <v>0.42</v>
      </c>
      <c r="ER202">
        <f>1.2</f>
        <v>1.2</v>
      </c>
    </row>
    <row r="203" spans="1:148" x14ac:dyDescent="0.25">
      <c r="A203" t="s">
        <v>883</v>
      </c>
      <c r="B203" t="s">
        <v>148</v>
      </c>
      <c r="C203" s="1">
        <v>45726</v>
      </c>
      <c r="D203" t="s">
        <v>242</v>
      </c>
      <c r="E203" t="s">
        <v>243</v>
      </c>
      <c r="F203" t="s">
        <v>884</v>
      </c>
      <c r="G203" t="s">
        <v>6579</v>
      </c>
      <c r="H203">
        <v>1808</v>
      </c>
      <c r="I203" t="s">
        <v>885</v>
      </c>
      <c r="J203">
        <v>6688</v>
      </c>
      <c r="K203" t="s">
        <v>5254</v>
      </c>
      <c r="L203" t="s">
        <v>387</v>
      </c>
      <c r="M203" t="s">
        <v>4730</v>
      </c>
      <c r="N203" t="s">
        <v>4731</v>
      </c>
      <c r="O203" t="s">
        <v>886</v>
      </c>
      <c r="R203">
        <f>1</f>
        <v>1</v>
      </c>
      <c r="S203">
        <f>11.4</f>
        <v>11.4</v>
      </c>
      <c r="T203">
        <f>8.1</f>
        <v>8.1</v>
      </c>
      <c r="U203">
        <f>304</f>
        <v>304</v>
      </c>
      <c r="V203">
        <f>0.16</f>
        <v>0.16</v>
      </c>
      <c r="X203">
        <f>0</f>
        <v>0</v>
      </c>
      <c r="Y203" t="s">
        <v>157</v>
      </c>
      <c r="Z203">
        <f>0</f>
        <v>0</v>
      </c>
      <c r="AA203" t="s">
        <v>158</v>
      </c>
      <c r="AB203" t="s">
        <v>158</v>
      </c>
      <c r="AD203">
        <f>0</f>
        <v>0</v>
      </c>
      <c r="AE203">
        <f>0</f>
        <v>0</v>
      </c>
      <c r="AH203" t="s">
        <v>157</v>
      </c>
    </row>
    <row r="204" spans="1:148" x14ac:dyDescent="0.25">
      <c r="A204" t="s">
        <v>887</v>
      </c>
      <c r="B204" t="s">
        <v>148</v>
      </c>
      <c r="C204" s="1">
        <v>45722</v>
      </c>
      <c r="D204" t="s">
        <v>242</v>
      </c>
      <c r="E204" t="s">
        <v>295</v>
      </c>
      <c r="F204" t="s">
        <v>764</v>
      </c>
      <c r="G204" t="s">
        <v>888</v>
      </c>
      <c r="H204">
        <v>1144</v>
      </c>
      <c r="I204" t="s">
        <v>888</v>
      </c>
      <c r="J204">
        <v>5410</v>
      </c>
      <c r="K204" t="s">
        <v>5254</v>
      </c>
      <c r="L204" t="s">
        <v>439</v>
      </c>
      <c r="M204" t="s">
        <v>889</v>
      </c>
      <c r="N204" t="s">
        <v>890</v>
      </c>
      <c r="O204" t="s">
        <v>891</v>
      </c>
      <c r="R204">
        <f>1</f>
        <v>1</v>
      </c>
      <c r="S204">
        <f>10</f>
        <v>10</v>
      </c>
      <c r="T204">
        <f>8.1</f>
        <v>8.1</v>
      </c>
      <c r="U204">
        <f>425</f>
        <v>425</v>
      </c>
      <c r="V204">
        <f>0.15</f>
        <v>0.15</v>
      </c>
      <c r="X204">
        <f>0</f>
        <v>0</v>
      </c>
      <c r="Y204">
        <f>0.58</f>
        <v>0.57999999999999996</v>
      </c>
      <c r="Z204">
        <f>0</f>
        <v>0</v>
      </c>
      <c r="AA204" t="s">
        <v>158</v>
      </c>
      <c r="AB204">
        <f>42</f>
        <v>42</v>
      </c>
      <c r="AD204">
        <f>0</f>
        <v>0</v>
      </c>
      <c r="AE204">
        <f>0</f>
        <v>0</v>
      </c>
      <c r="AH204" t="s">
        <v>157</v>
      </c>
    </row>
    <row r="205" spans="1:148" x14ac:dyDescent="0.25">
      <c r="A205" t="s">
        <v>892</v>
      </c>
      <c r="B205" t="s">
        <v>148</v>
      </c>
      <c r="C205" s="1">
        <v>45722</v>
      </c>
      <c r="D205" t="s">
        <v>242</v>
      </c>
      <c r="E205" t="s">
        <v>295</v>
      </c>
      <c r="F205" t="s">
        <v>764</v>
      </c>
      <c r="G205" t="s">
        <v>888</v>
      </c>
      <c r="H205">
        <v>1144</v>
      </c>
      <c r="I205" t="s">
        <v>888</v>
      </c>
      <c r="J205">
        <v>5410</v>
      </c>
      <c r="K205" t="s">
        <v>5254</v>
      </c>
      <c r="L205" t="s">
        <v>439</v>
      </c>
      <c r="M205" t="s">
        <v>5354</v>
      </c>
      <c r="N205" t="s">
        <v>893</v>
      </c>
      <c r="O205" t="s">
        <v>894</v>
      </c>
      <c r="R205">
        <f>1</f>
        <v>1</v>
      </c>
      <c r="S205">
        <f>10.7</f>
        <v>10.7</v>
      </c>
      <c r="T205">
        <f>7.4</f>
        <v>7.4</v>
      </c>
      <c r="U205">
        <f>585</f>
        <v>585</v>
      </c>
      <c r="V205" t="s">
        <v>209</v>
      </c>
      <c r="X205">
        <f>0</f>
        <v>0</v>
      </c>
      <c r="Y205" t="s">
        <v>157</v>
      </c>
      <c r="Z205">
        <f>0</f>
        <v>0</v>
      </c>
      <c r="AA205" t="s">
        <v>158</v>
      </c>
      <c r="AB205" t="s">
        <v>158</v>
      </c>
      <c r="AD205">
        <f>0</f>
        <v>0</v>
      </c>
      <c r="AE205">
        <f>0</f>
        <v>0</v>
      </c>
      <c r="AH205" t="s">
        <v>157</v>
      </c>
    </row>
    <row r="206" spans="1:148" x14ac:dyDescent="0.25">
      <c r="A206" t="s">
        <v>895</v>
      </c>
      <c r="B206" t="s">
        <v>148</v>
      </c>
      <c r="C206" s="1">
        <v>45728</v>
      </c>
      <c r="D206" t="s">
        <v>242</v>
      </c>
      <c r="E206" t="s">
        <v>243</v>
      </c>
      <c r="F206" t="s">
        <v>5098</v>
      </c>
      <c r="G206" t="s">
        <v>5867</v>
      </c>
      <c r="H206">
        <v>1145</v>
      </c>
      <c r="I206" t="s">
        <v>5867</v>
      </c>
      <c r="J206">
        <v>4356</v>
      </c>
      <c r="K206" t="s">
        <v>5254</v>
      </c>
      <c r="L206" t="s">
        <v>387</v>
      </c>
      <c r="M206" t="s">
        <v>5868</v>
      </c>
      <c r="N206" t="s">
        <v>5869</v>
      </c>
      <c r="O206" t="s">
        <v>896</v>
      </c>
      <c r="R206">
        <f>1</f>
        <v>1</v>
      </c>
      <c r="S206">
        <f>9.7</f>
        <v>9.6999999999999993</v>
      </c>
      <c r="T206">
        <f>7.9</f>
        <v>7.9</v>
      </c>
      <c r="U206">
        <f>301</f>
        <v>301</v>
      </c>
      <c r="V206">
        <f>0.33</f>
        <v>0.33</v>
      </c>
      <c r="X206">
        <f>1</f>
        <v>1</v>
      </c>
      <c r="Y206" t="s">
        <v>157</v>
      </c>
      <c r="Z206">
        <f>0</f>
        <v>0</v>
      </c>
      <c r="AA206" t="s">
        <v>158</v>
      </c>
      <c r="AB206" t="s">
        <v>158</v>
      </c>
      <c r="AD206">
        <f>0</f>
        <v>0</v>
      </c>
      <c r="AE206">
        <f>0</f>
        <v>0</v>
      </c>
      <c r="AH206" t="s">
        <v>157</v>
      </c>
    </row>
    <row r="207" spans="1:148" x14ac:dyDescent="0.25">
      <c r="A207" t="s">
        <v>897</v>
      </c>
      <c r="B207" t="s">
        <v>148</v>
      </c>
      <c r="C207" s="1">
        <v>45728</v>
      </c>
      <c r="D207" t="s">
        <v>242</v>
      </c>
      <c r="E207" t="s">
        <v>243</v>
      </c>
      <c r="F207" t="s">
        <v>5098</v>
      </c>
      <c r="G207" t="s">
        <v>898</v>
      </c>
      <c r="H207">
        <v>1148</v>
      </c>
      <c r="I207" t="s">
        <v>898</v>
      </c>
      <c r="J207">
        <v>4086</v>
      </c>
      <c r="K207" t="s">
        <v>5254</v>
      </c>
      <c r="L207" t="s">
        <v>387</v>
      </c>
      <c r="M207" t="s">
        <v>899</v>
      </c>
      <c r="N207" t="s">
        <v>900</v>
      </c>
      <c r="O207" t="s">
        <v>901</v>
      </c>
      <c r="R207">
        <f>1</f>
        <v>1</v>
      </c>
      <c r="S207">
        <f>10.6</f>
        <v>10.6</v>
      </c>
      <c r="T207">
        <f>7.9</f>
        <v>7.9</v>
      </c>
      <c r="U207">
        <f>290</f>
        <v>290</v>
      </c>
      <c r="V207">
        <f>0.27</f>
        <v>0.27</v>
      </c>
      <c r="X207">
        <f>1</f>
        <v>1</v>
      </c>
      <c r="Y207" t="s">
        <v>157</v>
      </c>
      <c r="Z207">
        <f>0</f>
        <v>0</v>
      </c>
      <c r="AA207" t="s">
        <v>158</v>
      </c>
      <c r="AB207" t="s">
        <v>158</v>
      </c>
      <c r="AD207">
        <f>0</f>
        <v>0</v>
      </c>
      <c r="AE207">
        <f>0</f>
        <v>0</v>
      </c>
      <c r="AH207" t="s">
        <v>157</v>
      </c>
    </row>
    <row r="208" spans="1:148" x14ac:dyDescent="0.25">
      <c r="A208" t="s">
        <v>902</v>
      </c>
      <c r="B208" t="s">
        <v>148</v>
      </c>
      <c r="C208" s="1">
        <v>45785</v>
      </c>
      <c r="D208" t="s">
        <v>242</v>
      </c>
      <c r="E208" t="s">
        <v>243</v>
      </c>
      <c r="F208" t="s">
        <v>5284</v>
      </c>
      <c r="G208" t="s">
        <v>903</v>
      </c>
      <c r="H208">
        <v>1152</v>
      </c>
      <c r="I208" t="s">
        <v>903</v>
      </c>
      <c r="J208">
        <v>1106</v>
      </c>
      <c r="K208" t="s">
        <v>5254</v>
      </c>
      <c r="L208" t="s">
        <v>393</v>
      </c>
      <c r="M208" t="s">
        <v>5355</v>
      </c>
      <c r="N208" t="s">
        <v>904</v>
      </c>
      <c r="O208" t="s">
        <v>905</v>
      </c>
      <c r="R208">
        <f>1</f>
        <v>1</v>
      </c>
      <c r="S208">
        <f>15.1</f>
        <v>15.1</v>
      </c>
      <c r="T208">
        <f>7.3</f>
        <v>7.3</v>
      </c>
      <c r="U208">
        <f>544</f>
        <v>544</v>
      </c>
      <c r="X208">
        <f>1</f>
        <v>1</v>
      </c>
      <c r="Y208" t="s">
        <v>157</v>
      </c>
      <c r="Z208">
        <f>0</f>
        <v>0</v>
      </c>
      <c r="AA208" t="s">
        <v>158</v>
      </c>
      <c r="AB208" t="s">
        <v>158</v>
      </c>
      <c r="AD208">
        <f>0</f>
        <v>0</v>
      </c>
      <c r="AE208">
        <f>0</f>
        <v>0</v>
      </c>
      <c r="AH208" t="s">
        <v>157</v>
      </c>
      <c r="AI208" t="s">
        <v>238</v>
      </c>
      <c r="AL208" t="s">
        <v>164</v>
      </c>
      <c r="AM208" t="s">
        <v>165</v>
      </c>
      <c r="AN208">
        <f>5.3</f>
        <v>5.3</v>
      </c>
      <c r="AO208">
        <f>0.11</f>
        <v>0.11</v>
      </c>
      <c r="AP208">
        <f>16</f>
        <v>16</v>
      </c>
      <c r="AQ208">
        <f>2.1</f>
        <v>2.1</v>
      </c>
      <c r="AR208" t="s">
        <v>157</v>
      </c>
      <c r="AS208">
        <f>0.94</f>
        <v>0.94</v>
      </c>
      <c r="AY208" t="s">
        <v>167</v>
      </c>
      <c r="AZ208" t="s">
        <v>158</v>
      </c>
      <c r="BA208" t="s">
        <v>216</v>
      </c>
      <c r="BB208" t="s">
        <v>158</v>
      </c>
      <c r="BC208" t="s">
        <v>166</v>
      </c>
      <c r="BD208" t="s">
        <v>167</v>
      </c>
      <c r="BE208">
        <f>0.0018</f>
        <v>1.8E-3</v>
      </c>
      <c r="BF208" t="s">
        <v>168</v>
      </c>
      <c r="BG208" t="s">
        <v>167</v>
      </c>
      <c r="BH208" t="s">
        <v>167</v>
      </c>
      <c r="BK208">
        <f>0.52</f>
        <v>0.52</v>
      </c>
      <c r="EL208">
        <f>0.44</f>
        <v>0.44</v>
      </c>
      <c r="EM208" t="s">
        <v>166</v>
      </c>
      <c r="EN208">
        <f>0.42</f>
        <v>0.42</v>
      </c>
      <c r="EO208">
        <f>0.34</f>
        <v>0.34</v>
      </c>
      <c r="ER208">
        <f>1.2</f>
        <v>1.2</v>
      </c>
    </row>
    <row r="209" spans="1:148" x14ac:dyDescent="0.25">
      <c r="A209" t="s">
        <v>906</v>
      </c>
      <c r="B209" t="s">
        <v>148</v>
      </c>
      <c r="C209" s="1">
        <v>45817</v>
      </c>
      <c r="D209" t="s">
        <v>242</v>
      </c>
      <c r="E209" t="s">
        <v>243</v>
      </c>
      <c r="F209" t="s">
        <v>5284</v>
      </c>
      <c r="G209" t="s">
        <v>5113</v>
      </c>
      <c r="H209">
        <v>1165</v>
      </c>
      <c r="I209" t="s">
        <v>5113</v>
      </c>
      <c r="J209">
        <v>2660</v>
      </c>
      <c r="K209" t="s">
        <v>5257</v>
      </c>
      <c r="L209" t="s">
        <v>393</v>
      </c>
      <c r="M209" t="s">
        <v>5356</v>
      </c>
      <c r="N209" t="s">
        <v>4732</v>
      </c>
      <c r="O209" t="s">
        <v>907</v>
      </c>
      <c r="Q209" t="s">
        <v>6325</v>
      </c>
      <c r="R209">
        <f>1</f>
        <v>1</v>
      </c>
      <c r="S209">
        <f>16.3</f>
        <v>16.3</v>
      </c>
      <c r="T209">
        <f>7.9</f>
        <v>7.9</v>
      </c>
      <c r="U209">
        <f>436</f>
        <v>436</v>
      </c>
      <c r="X209">
        <f>0</f>
        <v>0</v>
      </c>
      <c r="Y209">
        <f>0.4</f>
        <v>0.4</v>
      </c>
      <c r="Z209">
        <f>0</f>
        <v>0</v>
      </c>
      <c r="AA209" t="s">
        <v>158</v>
      </c>
      <c r="AB209" t="s">
        <v>158</v>
      </c>
      <c r="AC209">
        <f>0</f>
        <v>0</v>
      </c>
      <c r="AD209">
        <f>0</f>
        <v>0</v>
      </c>
      <c r="AE209">
        <f>0</f>
        <v>0</v>
      </c>
      <c r="AH209" t="s">
        <v>157</v>
      </c>
      <c r="AI209" t="s">
        <v>238</v>
      </c>
      <c r="AL209" t="s">
        <v>164</v>
      </c>
      <c r="AM209" t="s">
        <v>165</v>
      </c>
      <c r="AN209">
        <f>3.6</f>
        <v>3.6</v>
      </c>
      <c r="AO209">
        <f>0.07</f>
        <v>7.0000000000000007E-2</v>
      </c>
      <c r="AP209">
        <f>12</f>
        <v>12</v>
      </c>
      <c r="AQ209">
        <f>2.1</f>
        <v>2.1</v>
      </c>
      <c r="AR209" t="s">
        <v>157</v>
      </c>
      <c r="AS209">
        <f>1.6</f>
        <v>1.6</v>
      </c>
      <c r="AY209" t="s">
        <v>167</v>
      </c>
      <c r="AZ209" t="s">
        <v>158</v>
      </c>
      <c r="BA209" t="s">
        <v>216</v>
      </c>
      <c r="BB209">
        <f>18</f>
        <v>18</v>
      </c>
      <c r="BC209" t="s">
        <v>166</v>
      </c>
      <c r="BD209" t="s">
        <v>167</v>
      </c>
      <c r="BE209">
        <f>0.0024</f>
        <v>2.3999999999999998E-3</v>
      </c>
      <c r="BF209">
        <f>0.023</f>
        <v>2.3E-2</v>
      </c>
      <c r="BG209" t="s">
        <v>167</v>
      </c>
      <c r="BH209" t="s">
        <v>167</v>
      </c>
      <c r="BK209">
        <f>0.41</f>
        <v>0.41</v>
      </c>
      <c r="BL209" t="s">
        <v>168</v>
      </c>
      <c r="BM209" t="s">
        <v>168</v>
      </c>
      <c r="BN209" t="s">
        <v>168</v>
      </c>
      <c r="BO209" t="s">
        <v>168</v>
      </c>
      <c r="BP209" t="s">
        <v>168</v>
      </c>
      <c r="BQ209" t="s">
        <v>168</v>
      </c>
      <c r="BR209" t="s">
        <v>168</v>
      </c>
      <c r="BS209" t="s">
        <v>168</v>
      </c>
      <c r="BT209" t="s">
        <v>216</v>
      </c>
      <c r="BU209" t="s">
        <v>168</v>
      </c>
      <c r="BV209" t="s">
        <v>209</v>
      </c>
      <c r="BW209" t="s">
        <v>209</v>
      </c>
      <c r="BX209" t="s">
        <v>209</v>
      </c>
      <c r="BY209" t="s">
        <v>209</v>
      </c>
      <c r="BZ209" t="s">
        <v>216</v>
      </c>
      <c r="CA209" t="s">
        <v>216</v>
      </c>
      <c r="CB209" t="s">
        <v>168</v>
      </c>
      <c r="CC209" t="s">
        <v>168</v>
      </c>
      <c r="CD209" t="s">
        <v>216</v>
      </c>
      <c r="CE209" t="s">
        <v>209</v>
      </c>
      <c r="CF209" t="s">
        <v>168</v>
      </c>
      <c r="CG209" t="s">
        <v>168</v>
      </c>
      <c r="CH209" t="s">
        <v>165</v>
      </c>
      <c r="CI209" t="s">
        <v>216</v>
      </c>
      <c r="CJ209" t="s">
        <v>216</v>
      </c>
      <c r="CK209" t="s">
        <v>216</v>
      </c>
      <c r="CL209" t="s">
        <v>216</v>
      </c>
      <c r="CM209" t="s">
        <v>216</v>
      </c>
      <c r="CN209" t="s">
        <v>216</v>
      </c>
      <c r="CO209" t="s">
        <v>216</v>
      </c>
      <c r="CP209" t="s">
        <v>216</v>
      </c>
      <c r="CQ209" t="s">
        <v>216</v>
      </c>
      <c r="CR209" t="s">
        <v>216</v>
      </c>
      <c r="CS209" t="s">
        <v>216</v>
      </c>
      <c r="CT209" t="s">
        <v>216</v>
      </c>
      <c r="CU209" t="s">
        <v>216</v>
      </c>
      <c r="CV209" t="s">
        <v>216</v>
      </c>
      <c r="CW209" t="s">
        <v>216</v>
      </c>
      <c r="CX209" t="s">
        <v>216</v>
      </c>
      <c r="CY209" t="s">
        <v>216</v>
      </c>
      <c r="CZ209" t="s">
        <v>216</v>
      </c>
      <c r="DA209" t="s">
        <v>168</v>
      </c>
      <c r="DB209" t="s">
        <v>216</v>
      </c>
      <c r="DC209" t="s">
        <v>216</v>
      </c>
      <c r="DD209" t="s">
        <v>216</v>
      </c>
      <c r="DE209" t="s">
        <v>168</v>
      </c>
      <c r="DF209" t="s">
        <v>168</v>
      </c>
      <c r="DG209" t="s">
        <v>216</v>
      </c>
      <c r="DH209" t="s">
        <v>216</v>
      </c>
      <c r="DI209" t="s">
        <v>216</v>
      </c>
      <c r="DJ209" t="s">
        <v>216</v>
      </c>
      <c r="DK209" t="s">
        <v>168</v>
      </c>
      <c r="DL209" t="s">
        <v>216</v>
      </c>
      <c r="DM209" t="s">
        <v>216</v>
      </c>
      <c r="DN209" t="s">
        <v>216</v>
      </c>
      <c r="DO209" t="s">
        <v>216</v>
      </c>
      <c r="DP209" t="s">
        <v>168</v>
      </c>
      <c r="DQ209" t="s">
        <v>216</v>
      </c>
      <c r="DR209" t="s">
        <v>168</v>
      </c>
      <c r="DS209" t="s">
        <v>168</v>
      </c>
      <c r="DT209" t="s">
        <v>168</v>
      </c>
      <c r="DU209" t="s">
        <v>168</v>
      </c>
      <c r="DV209" t="s">
        <v>168</v>
      </c>
      <c r="DW209" t="s">
        <v>168</v>
      </c>
      <c r="DX209" t="s">
        <v>168</v>
      </c>
      <c r="DY209" t="s">
        <v>168</v>
      </c>
      <c r="DZ209" t="s">
        <v>209</v>
      </c>
      <c r="EA209" t="s">
        <v>216</v>
      </c>
      <c r="EB209" t="s">
        <v>168</v>
      </c>
      <c r="EC209" t="s">
        <v>168</v>
      </c>
      <c r="ED209" t="s">
        <v>209</v>
      </c>
      <c r="EE209" t="s">
        <v>168</v>
      </c>
      <c r="EL209">
        <f>0.35</f>
        <v>0.35</v>
      </c>
      <c r="EM209" t="s">
        <v>166</v>
      </c>
      <c r="EN209">
        <f>0.48</f>
        <v>0.48</v>
      </c>
      <c r="EO209">
        <f>0.48</f>
        <v>0.48</v>
      </c>
      <c r="ER209">
        <f>1.3</f>
        <v>1.3</v>
      </c>
    </row>
    <row r="210" spans="1:148" x14ac:dyDescent="0.25">
      <c r="A210" t="s">
        <v>908</v>
      </c>
      <c r="B210" t="s">
        <v>148</v>
      </c>
      <c r="C210" s="1">
        <v>45742</v>
      </c>
      <c r="D210" t="s">
        <v>222</v>
      </c>
      <c r="E210" t="s">
        <v>223</v>
      </c>
      <c r="F210" t="s">
        <v>224</v>
      </c>
      <c r="G210" t="s">
        <v>909</v>
      </c>
      <c r="H210">
        <v>246</v>
      </c>
      <c r="I210" t="s">
        <v>909</v>
      </c>
      <c r="J210">
        <v>782</v>
      </c>
      <c r="K210" t="s">
        <v>5257</v>
      </c>
      <c r="L210" t="s">
        <v>4963</v>
      </c>
      <c r="M210" t="s">
        <v>910</v>
      </c>
      <c r="N210" t="s">
        <v>5357</v>
      </c>
      <c r="O210" t="s">
        <v>911</v>
      </c>
      <c r="Q210" t="s">
        <v>6326</v>
      </c>
      <c r="R210">
        <f>1</f>
        <v>1</v>
      </c>
      <c r="S210">
        <f>10.1</f>
        <v>10.1</v>
      </c>
      <c r="T210">
        <f>7.9</f>
        <v>7.9</v>
      </c>
      <c r="U210">
        <f>286</f>
        <v>286</v>
      </c>
      <c r="X210">
        <f>1</f>
        <v>1</v>
      </c>
      <c r="Y210">
        <f>0.12</f>
        <v>0.12</v>
      </c>
      <c r="Z210">
        <f>0</f>
        <v>0</v>
      </c>
      <c r="AA210">
        <f>0</f>
        <v>0</v>
      </c>
      <c r="AB210">
        <f>1</f>
        <v>1</v>
      </c>
      <c r="AC210">
        <f>0</f>
        <v>0</v>
      </c>
      <c r="AD210">
        <f>0</f>
        <v>0</v>
      </c>
      <c r="AE210">
        <f>0</f>
        <v>0</v>
      </c>
      <c r="AH210" t="s">
        <v>166</v>
      </c>
      <c r="AI210">
        <f>0.6</f>
        <v>0.6</v>
      </c>
      <c r="AL210" t="s">
        <v>168</v>
      </c>
      <c r="AM210" t="s">
        <v>164</v>
      </c>
      <c r="AN210">
        <f>6.1</f>
        <v>6.1</v>
      </c>
      <c r="AO210">
        <f>0.12</f>
        <v>0.12</v>
      </c>
      <c r="AP210">
        <f>3.3</f>
        <v>3.3</v>
      </c>
      <c r="AQ210">
        <f>2.1</f>
        <v>2.1</v>
      </c>
      <c r="AR210" t="s">
        <v>167</v>
      </c>
      <c r="AS210">
        <f>1.5</f>
        <v>1.5</v>
      </c>
      <c r="AY210" t="s">
        <v>157</v>
      </c>
      <c r="AZ210" t="s">
        <v>208</v>
      </c>
      <c r="BA210">
        <f>0.0048</f>
        <v>4.7999999999999996E-3</v>
      </c>
      <c r="BB210">
        <f>37</f>
        <v>37</v>
      </c>
      <c r="BC210">
        <f>0.051</f>
        <v>5.0999999999999997E-2</v>
      </c>
      <c r="BD210" t="s">
        <v>157</v>
      </c>
      <c r="BE210">
        <f>0.0033</f>
        <v>3.3E-3</v>
      </c>
      <c r="BF210" t="s">
        <v>168</v>
      </c>
      <c r="BG210" t="s">
        <v>237</v>
      </c>
      <c r="BH210" t="s">
        <v>157</v>
      </c>
      <c r="BK210">
        <f>0.19</f>
        <v>0.19</v>
      </c>
      <c r="EL210">
        <f>5.4</f>
        <v>5.4</v>
      </c>
      <c r="EM210" t="s">
        <v>238</v>
      </c>
      <c r="EN210">
        <f>1.8</f>
        <v>1.8</v>
      </c>
      <c r="EO210" t="s">
        <v>238</v>
      </c>
      <c r="ER210">
        <f>7.2</f>
        <v>7.2</v>
      </c>
    </row>
    <row r="211" spans="1:148" x14ac:dyDescent="0.25">
      <c r="A211" t="s">
        <v>912</v>
      </c>
      <c r="B211" t="s">
        <v>148</v>
      </c>
      <c r="C211" s="1">
        <v>45713</v>
      </c>
      <c r="D211" t="s">
        <v>242</v>
      </c>
      <c r="E211" t="s">
        <v>243</v>
      </c>
      <c r="F211" t="s">
        <v>253</v>
      </c>
      <c r="G211" t="s">
        <v>5774</v>
      </c>
      <c r="H211">
        <v>213</v>
      </c>
      <c r="I211" t="s">
        <v>5358</v>
      </c>
      <c r="J211">
        <v>4310</v>
      </c>
      <c r="K211" t="s">
        <v>5257</v>
      </c>
      <c r="L211" t="s">
        <v>913</v>
      </c>
      <c r="M211" t="s">
        <v>5359</v>
      </c>
      <c r="N211" t="s">
        <v>5360</v>
      </c>
      <c r="O211" t="s">
        <v>914</v>
      </c>
      <c r="R211">
        <f>1</f>
        <v>1</v>
      </c>
      <c r="S211">
        <f>10.9</f>
        <v>10.9</v>
      </c>
      <c r="T211">
        <f>7.2</f>
        <v>7.2</v>
      </c>
      <c r="U211">
        <f>295</f>
        <v>295</v>
      </c>
      <c r="V211">
        <f>0.13</f>
        <v>0.13</v>
      </c>
      <c r="X211">
        <f>0</f>
        <v>0</v>
      </c>
      <c r="Y211" t="s">
        <v>157</v>
      </c>
      <c r="Z211">
        <f>0</f>
        <v>0</v>
      </c>
      <c r="AA211" t="s">
        <v>158</v>
      </c>
      <c r="AB211" t="s">
        <v>158</v>
      </c>
      <c r="AC211">
        <f>0</f>
        <v>0</v>
      </c>
      <c r="AD211">
        <f>0</f>
        <v>0</v>
      </c>
      <c r="AE211">
        <f>0</f>
        <v>0</v>
      </c>
      <c r="AH211" t="s">
        <v>157</v>
      </c>
    </row>
    <row r="212" spans="1:148" x14ac:dyDescent="0.25">
      <c r="A212" t="s">
        <v>915</v>
      </c>
      <c r="B212" t="s">
        <v>148</v>
      </c>
      <c r="C212" s="1">
        <v>45719</v>
      </c>
      <c r="D212" t="s">
        <v>242</v>
      </c>
      <c r="E212" t="s">
        <v>295</v>
      </c>
      <c r="F212" t="s">
        <v>4944</v>
      </c>
      <c r="G212" t="s">
        <v>5870</v>
      </c>
      <c r="H212">
        <v>1108</v>
      </c>
      <c r="I212" t="s">
        <v>5870</v>
      </c>
      <c r="J212">
        <v>1104</v>
      </c>
      <c r="K212" t="s">
        <v>5254</v>
      </c>
      <c r="L212" t="s">
        <v>154</v>
      </c>
      <c r="M212" t="s">
        <v>5871</v>
      </c>
      <c r="N212" t="s">
        <v>5361</v>
      </c>
      <c r="O212" t="s">
        <v>916</v>
      </c>
      <c r="R212">
        <f>1</f>
        <v>1</v>
      </c>
      <c r="S212">
        <f>9.6</f>
        <v>9.6</v>
      </c>
      <c r="T212">
        <f>7.6</f>
        <v>7.6</v>
      </c>
      <c r="U212">
        <f>568</f>
        <v>568</v>
      </c>
      <c r="V212">
        <f>0.23</f>
        <v>0.23</v>
      </c>
      <c r="X212">
        <f>0</f>
        <v>0</v>
      </c>
      <c r="Y212" t="s">
        <v>207</v>
      </c>
      <c r="Z212">
        <f>0</f>
        <v>0</v>
      </c>
      <c r="AA212" t="s">
        <v>158</v>
      </c>
      <c r="AB212" t="s">
        <v>158</v>
      </c>
      <c r="AD212">
        <f>0</f>
        <v>0</v>
      </c>
      <c r="AE212">
        <f>0</f>
        <v>0</v>
      </c>
    </row>
    <row r="213" spans="1:148" x14ac:dyDescent="0.25">
      <c r="A213" t="s">
        <v>917</v>
      </c>
      <c r="B213" t="s">
        <v>148</v>
      </c>
      <c r="C213" s="1">
        <v>45741</v>
      </c>
      <c r="D213" t="s">
        <v>175</v>
      </c>
      <c r="E213" t="s">
        <v>649</v>
      </c>
      <c r="F213" t="s">
        <v>918</v>
      </c>
      <c r="G213" t="s">
        <v>919</v>
      </c>
      <c r="H213">
        <v>44</v>
      </c>
      <c r="I213" t="s">
        <v>920</v>
      </c>
      <c r="J213">
        <v>10558</v>
      </c>
      <c r="K213" t="s">
        <v>5257</v>
      </c>
      <c r="L213" t="s">
        <v>431</v>
      </c>
      <c r="M213" t="s">
        <v>5872</v>
      </c>
      <c r="N213" t="s">
        <v>921</v>
      </c>
      <c r="O213" t="s">
        <v>922</v>
      </c>
      <c r="R213">
        <f>1</f>
        <v>1</v>
      </c>
      <c r="S213">
        <f>16</f>
        <v>16</v>
      </c>
      <c r="T213">
        <f>7.9</f>
        <v>7.9</v>
      </c>
      <c r="U213">
        <f>364</f>
        <v>364</v>
      </c>
      <c r="V213">
        <f>0.15</f>
        <v>0.15</v>
      </c>
      <c r="X213">
        <f>0</f>
        <v>0</v>
      </c>
      <c r="Y213" t="s">
        <v>157</v>
      </c>
      <c r="Z213">
        <f>0</f>
        <v>0</v>
      </c>
      <c r="AA213" t="s">
        <v>158</v>
      </c>
      <c r="AB213" t="s">
        <v>158</v>
      </c>
      <c r="AC213">
        <f>0</f>
        <v>0</v>
      </c>
      <c r="AD213">
        <f>0</f>
        <v>0</v>
      </c>
      <c r="AE213">
        <f>0</f>
        <v>0</v>
      </c>
      <c r="AH213" t="s">
        <v>157</v>
      </c>
    </row>
    <row r="214" spans="1:148" x14ac:dyDescent="0.25">
      <c r="A214" t="s">
        <v>923</v>
      </c>
      <c r="B214" t="s">
        <v>148</v>
      </c>
      <c r="C214" s="1">
        <v>45873</v>
      </c>
      <c r="D214" t="s">
        <v>222</v>
      </c>
      <c r="E214" t="s">
        <v>223</v>
      </c>
      <c r="F214" t="s">
        <v>429</v>
      </c>
      <c r="G214" t="s">
        <v>6580</v>
      </c>
      <c r="H214">
        <v>1271</v>
      </c>
      <c r="I214" t="s">
        <v>6581</v>
      </c>
      <c r="J214">
        <v>757</v>
      </c>
      <c r="K214" t="s">
        <v>5254</v>
      </c>
      <c r="L214" t="s">
        <v>431</v>
      </c>
      <c r="M214" t="s">
        <v>6582</v>
      </c>
      <c r="N214" t="s">
        <v>6583</v>
      </c>
      <c r="O214" t="s">
        <v>924</v>
      </c>
      <c r="Q214" t="s">
        <v>925</v>
      </c>
      <c r="R214">
        <f>1</f>
        <v>1</v>
      </c>
      <c r="S214">
        <f>11.2</f>
        <v>11.2</v>
      </c>
      <c r="T214">
        <f>8</f>
        <v>8</v>
      </c>
      <c r="U214">
        <f>359</f>
        <v>359</v>
      </c>
      <c r="V214">
        <f>0.17</f>
        <v>0.17</v>
      </c>
      <c r="X214">
        <f>1</f>
        <v>1</v>
      </c>
      <c r="Y214">
        <f>0.06</f>
        <v>0.06</v>
      </c>
      <c r="Z214">
        <f>0</f>
        <v>0</v>
      </c>
      <c r="AA214">
        <f>0</f>
        <v>0</v>
      </c>
      <c r="AB214">
        <f>0</f>
        <v>0</v>
      </c>
      <c r="AD214">
        <f>0</f>
        <v>0</v>
      </c>
      <c r="AE214">
        <f>0</f>
        <v>0</v>
      </c>
      <c r="AH214" t="s">
        <v>166</v>
      </c>
      <c r="AI214">
        <f>0.31</f>
        <v>0.31</v>
      </c>
      <c r="AL214" t="s">
        <v>168</v>
      </c>
      <c r="AM214" t="s">
        <v>164</v>
      </c>
      <c r="AN214">
        <f>4.2</f>
        <v>4.2</v>
      </c>
      <c r="AO214">
        <f>0.08</f>
        <v>0.08</v>
      </c>
      <c r="AP214">
        <f>3.9</f>
        <v>3.9</v>
      </c>
      <c r="AQ214">
        <f>14</f>
        <v>14</v>
      </c>
      <c r="AR214" t="s">
        <v>167</v>
      </c>
      <c r="AS214">
        <f>8.1</f>
        <v>8.1</v>
      </c>
      <c r="AY214" t="s">
        <v>157</v>
      </c>
      <c r="AZ214" t="s">
        <v>208</v>
      </c>
      <c r="BA214" t="s">
        <v>473</v>
      </c>
      <c r="BB214">
        <f>1.7</f>
        <v>1.7</v>
      </c>
      <c r="BC214">
        <f>0.077</f>
        <v>7.6999999999999999E-2</v>
      </c>
      <c r="BD214" t="s">
        <v>157</v>
      </c>
      <c r="BE214">
        <f>0.00038</f>
        <v>3.8000000000000002E-4</v>
      </c>
      <c r="BF214" t="s">
        <v>168</v>
      </c>
      <c r="BG214" t="s">
        <v>237</v>
      </c>
      <c r="BH214" t="s">
        <v>157</v>
      </c>
      <c r="BJ214">
        <f>0.013</f>
        <v>1.2999999999999999E-2</v>
      </c>
      <c r="BK214">
        <f>0.36</f>
        <v>0.36</v>
      </c>
      <c r="EL214" t="s">
        <v>238</v>
      </c>
      <c r="EM214" t="s">
        <v>238</v>
      </c>
      <c r="EN214" t="s">
        <v>238</v>
      </c>
      <c r="EO214" t="s">
        <v>238</v>
      </c>
      <c r="ER214" t="s">
        <v>238</v>
      </c>
    </row>
    <row r="215" spans="1:148" x14ac:dyDescent="0.25">
      <c r="A215" t="s">
        <v>926</v>
      </c>
      <c r="B215" t="s">
        <v>148</v>
      </c>
      <c r="C215" s="1">
        <v>45722</v>
      </c>
      <c r="D215" t="s">
        <v>311</v>
      </c>
      <c r="E215" t="s">
        <v>312</v>
      </c>
      <c r="F215" t="s">
        <v>349</v>
      </c>
      <c r="G215" t="s">
        <v>5114</v>
      </c>
      <c r="H215">
        <v>847</v>
      </c>
      <c r="I215" t="s">
        <v>5115</v>
      </c>
      <c r="J215">
        <v>4074</v>
      </c>
      <c r="K215" t="s">
        <v>5257</v>
      </c>
      <c r="L215" t="s">
        <v>927</v>
      </c>
      <c r="M215" t="s">
        <v>928</v>
      </c>
      <c r="N215" t="s">
        <v>929</v>
      </c>
      <c r="O215" t="s">
        <v>930</v>
      </c>
      <c r="R215">
        <f>1</f>
        <v>1</v>
      </c>
      <c r="S215">
        <f>9.4</f>
        <v>9.4</v>
      </c>
      <c r="T215">
        <f>7.8</f>
        <v>7.8</v>
      </c>
      <c r="U215">
        <f>272</f>
        <v>272</v>
      </c>
      <c r="V215">
        <f>0.22</f>
        <v>0.22</v>
      </c>
      <c r="X215">
        <f>0</f>
        <v>0</v>
      </c>
      <c r="Y215" t="s">
        <v>157</v>
      </c>
      <c r="Z215">
        <f>0</f>
        <v>0</v>
      </c>
      <c r="AA215" t="s">
        <v>158</v>
      </c>
      <c r="AB215" t="s">
        <v>158</v>
      </c>
      <c r="AC215">
        <f>0</f>
        <v>0</v>
      </c>
      <c r="AD215">
        <f>0</f>
        <v>0</v>
      </c>
      <c r="AE215">
        <f>0</f>
        <v>0</v>
      </c>
      <c r="AH215" t="s">
        <v>157</v>
      </c>
    </row>
    <row r="216" spans="1:148" x14ac:dyDescent="0.25">
      <c r="A216" t="s">
        <v>931</v>
      </c>
      <c r="B216" t="s">
        <v>148</v>
      </c>
      <c r="C216" s="1">
        <v>45785</v>
      </c>
      <c r="D216" t="s">
        <v>311</v>
      </c>
      <c r="E216" t="s">
        <v>312</v>
      </c>
      <c r="F216" t="s">
        <v>424</v>
      </c>
      <c r="G216" t="s">
        <v>425</v>
      </c>
      <c r="H216">
        <v>802</v>
      </c>
      <c r="I216" t="s">
        <v>4733</v>
      </c>
      <c r="J216">
        <v>7796</v>
      </c>
      <c r="K216" t="s">
        <v>5254</v>
      </c>
      <c r="L216" t="s">
        <v>439</v>
      </c>
      <c r="M216" t="s">
        <v>932</v>
      </c>
      <c r="N216" t="s">
        <v>933</v>
      </c>
      <c r="O216" t="s">
        <v>934</v>
      </c>
      <c r="R216">
        <f>1</f>
        <v>1</v>
      </c>
      <c r="S216">
        <f>15.6</f>
        <v>15.6</v>
      </c>
      <c r="T216">
        <f>7.3</f>
        <v>7.3</v>
      </c>
      <c r="U216">
        <f>555</f>
        <v>555</v>
      </c>
      <c r="X216">
        <f>0</f>
        <v>0</v>
      </c>
      <c r="Y216" t="s">
        <v>157</v>
      </c>
      <c r="Z216">
        <f>0</f>
        <v>0</v>
      </c>
      <c r="AA216" t="s">
        <v>158</v>
      </c>
      <c r="AB216" t="s">
        <v>158</v>
      </c>
      <c r="AD216">
        <f>0</f>
        <v>0</v>
      </c>
      <c r="AE216">
        <f>0</f>
        <v>0</v>
      </c>
      <c r="AH216" t="s">
        <v>157</v>
      </c>
      <c r="AI216" t="s">
        <v>238</v>
      </c>
      <c r="AL216" t="s">
        <v>164</v>
      </c>
      <c r="AM216" t="s">
        <v>165</v>
      </c>
      <c r="AN216">
        <f>23</f>
        <v>23</v>
      </c>
      <c r="AO216">
        <f>0.46</f>
        <v>0.46</v>
      </c>
      <c r="AP216">
        <f>18</f>
        <v>18</v>
      </c>
      <c r="AQ216">
        <f>24</f>
        <v>24</v>
      </c>
      <c r="AR216" t="s">
        <v>157</v>
      </c>
      <c r="AS216">
        <f>13</f>
        <v>13</v>
      </c>
      <c r="AY216" t="s">
        <v>167</v>
      </c>
      <c r="AZ216" t="s">
        <v>158</v>
      </c>
      <c r="BA216">
        <f>0.036</f>
        <v>3.5999999999999997E-2</v>
      </c>
      <c r="BB216" t="s">
        <v>158</v>
      </c>
      <c r="BC216" t="s">
        <v>166</v>
      </c>
      <c r="BD216" t="s">
        <v>167</v>
      </c>
      <c r="BE216">
        <f>0.012</f>
        <v>1.2E-2</v>
      </c>
      <c r="BF216" t="s">
        <v>168</v>
      </c>
      <c r="BG216" t="s">
        <v>167</v>
      </c>
      <c r="BH216" t="s">
        <v>167</v>
      </c>
      <c r="BK216">
        <f>0.54</f>
        <v>0.54</v>
      </c>
      <c r="BL216" t="s">
        <v>168</v>
      </c>
      <c r="BM216" t="s">
        <v>168</v>
      </c>
      <c r="BN216" t="s">
        <v>168</v>
      </c>
      <c r="BO216" t="s">
        <v>168</v>
      </c>
      <c r="BP216" t="s">
        <v>168</v>
      </c>
      <c r="BQ216" t="s">
        <v>168</v>
      </c>
      <c r="BR216" t="s">
        <v>168</v>
      </c>
      <c r="BS216" t="s">
        <v>168</v>
      </c>
      <c r="BT216" t="s">
        <v>209</v>
      </c>
      <c r="BU216" t="s">
        <v>168</v>
      </c>
      <c r="BV216" t="s">
        <v>209</v>
      </c>
      <c r="BW216" t="s">
        <v>209</v>
      </c>
      <c r="BX216" t="s">
        <v>209</v>
      </c>
      <c r="BY216" t="s">
        <v>209</v>
      </c>
      <c r="BZ216" t="s">
        <v>216</v>
      </c>
      <c r="CA216" t="s">
        <v>216</v>
      </c>
      <c r="CB216" t="s">
        <v>168</v>
      </c>
      <c r="CC216" t="s">
        <v>168</v>
      </c>
      <c r="CD216" t="s">
        <v>216</v>
      </c>
      <c r="CE216" t="s">
        <v>209</v>
      </c>
      <c r="CF216" t="s">
        <v>168</v>
      </c>
      <c r="CG216" t="s">
        <v>168</v>
      </c>
      <c r="CH216" t="s">
        <v>165</v>
      </c>
      <c r="CI216">
        <f>0.014</f>
        <v>1.4E-2</v>
      </c>
      <c r="CJ216" t="s">
        <v>216</v>
      </c>
      <c r="CK216" t="s">
        <v>216</v>
      </c>
      <c r="CL216" t="s">
        <v>216</v>
      </c>
      <c r="CM216" t="s">
        <v>216</v>
      </c>
      <c r="CN216" t="s">
        <v>216</v>
      </c>
      <c r="CO216" t="s">
        <v>216</v>
      </c>
      <c r="CP216" t="s">
        <v>216</v>
      </c>
      <c r="CQ216" t="s">
        <v>216</v>
      </c>
      <c r="CR216" t="s">
        <v>216</v>
      </c>
      <c r="CS216" t="s">
        <v>216</v>
      </c>
      <c r="CT216" t="s">
        <v>216</v>
      </c>
      <c r="CU216" t="s">
        <v>216</v>
      </c>
      <c r="CV216" t="s">
        <v>216</v>
      </c>
      <c r="CW216" t="s">
        <v>216</v>
      </c>
      <c r="CX216" t="s">
        <v>216</v>
      </c>
      <c r="CY216" t="s">
        <v>216</v>
      </c>
      <c r="CZ216" t="s">
        <v>216</v>
      </c>
      <c r="DA216" t="s">
        <v>168</v>
      </c>
      <c r="DB216" t="s">
        <v>216</v>
      </c>
      <c r="DC216" t="s">
        <v>216</v>
      </c>
      <c r="DD216" t="s">
        <v>216</v>
      </c>
      <c r="DE216" t="s">
        <v>168</v>
      </c>
      <c r="DF216" t="s">
        <v>168</v>
      </c>
      <c r="DG216" t="s">
        <v>216</v>
      </c>
      <c r="DH216" t="s">
        <v>216</v>
      </c>
      <c r="DI216" t="s">
        <v>216</v>
      </c>
      <c r="DJ216" t="s">
        <v>216</v>
      </c>
      <c r="DK216" t="s">
        <v>168</v>
      </c>
      <c r="DL216" t="s">
        <v>216</v>
      </c>
      <c r="DM216" t="s">
        <v>216</v>
      </c>
      <c r="DN216" t="s">
        <v>216</v>
      </c>
      <c r="DO216" t="s">
        <v>216</v>
      </c>
      <c r="DP216" t="s">
        <v>168</v>
      </c>
      <c r="DQ216" t="s">
        <v>216</v>
      </c>
      <c r="DR216" t="s">
        <v>168</v>
      </c>
      <c r="DS216" t="s">
        <v>168</v>
      </c>
      <c r="DT216" t="s">
        <v>168</v>
      </c>
      <c r="DU216" t="s">
        <v>168</v>
      </c>
      <c r="DV216" t="s">
        <v>168</v>
      </c>
      <c r="DW216" t="s">
        <v>168</v>
      </c>
      <c r="DX216" t="s">
        <v>168</v>
      </c>
      <c r="DY216" t="s">
        <v>168</v>
      </c>
      <c r="DZ216" t="s">
        <v>209</v>
      </c>
      <c r="EA216" t="s">
        <v>216</v>
      </c>
      <c r="EB216" t="s">
        <v>168</v>
      </c>
      <c r="EC216" t="s">
        <v>168</v>
      </c>
      <c r="ED216" t="s">
        <v>209</v>
      </c>
      <c r="EE216" t="s">
        <v>168</v>
      </c>
      <c r="EL216">
        <f>0.19</f>
        <v>0.19</v>
      </c>
      <c r="EM216">
        <f>0.5</f>
        <v>0.5</v>
      </c>
      <c r="EN216">
        <f>0.31</f>
        <v>0.31</v>
      </c>
      <c r="EO216">
        <f>0.53</f>
        <v>0.53</v>
      </c>
      <c r="ER216">
        <f>1.5</f>
        <v>1.5</v>
      </c>
    </row>
    <row r="217" spans="1:148" x14ac:dyDescent="0.25">
      <c r="A217" t="s">
        <v>935</v>
      </c>
      <c r="B217" t="s">
        <v>148</v>
      </c>
      <c r="C217" s="1">
        <v>45761</v>
      </c>
      <c r="D217" t="s">
        <v>222</v>
      </c>
      <c r="E217" t="s">
        <v>223</v>
      </c>
      <c r="F217" t="s">
        <v>469</v>
      </c>
      <c r="G217" t="s">
        <v>936</v>
      </c>
      <c r="H217">
        <v>252</v>
      </c>
      <c r="I217" t="s">
        <v>936</v>
      </c>
      <c r="J217">
        <v>800</v>
      </c>
      <c r="K217" t="s">
        <v>5257</v>
      </c>
      <c r="L217" t="s">
        <v>393</v>
      </c>
      <c r="M217" t="s">
        <v>937</v>
      </c>
      <c r="N217" t="s">
        <v>938</v>
      </c>
      <c r="O217" t="s">
        <v>939</v>
      </c>
      <c r="R217">
        <f>1</f>
        <v>1</v>
      </c>
      <c r="S217">
        <f>11.7</f>
        <v>11.7</v>
      </c>
      <c r="T217">
        <f>8</f>
        <v>8</v>
      </c>
      <c r="U217">
        <f>283</f>
        <v>283</v>
      </c>
      <c r="V217">
        <f>0.12</f>
        <v>0.12</v>
      </c>
      <c r="X217">
        <f>1</f>
        <v>1</v>
      </c>
      <c r="Y217">
        <f>0.13</f>
        <v>0.13</v>
      </c>
      <c r="Z217">
        <f>0</f>
        <v>0</v>
      </c>
      <c r="AA217">
        <f>0</f>
        <v>0</v>
      </c>
      <c r="AB217">
        <f>0</f>
        <v>0</v>
      </c>
      <c r="AC217">
        <f>0</f>
        <v>0</v>
      </c>
      <c r="AD217">
        <f>0</f>
        <v>0</v>
      </c>
      <c r="AE217">
        <f>0</f>
        <v>0</v>
      </c>
      <c r="AH217" t="s">
        <v>166</v>
      </c>
    </row>
    <row r="218" spans="1:148" x14ac:dyDescent="0.25">
      <c r="A218" t="s">
        <v>940</v>
      </c>
      <c r="B218" t="s">
        <v>148</v>
      </c>
      <c r="C218" s="1">
        <v>45789</v>
      </c>
      <c r="D218" t="s">
        <v>222</v>
      </c>
      <c r="E218" t="s">
        <v>223</v>
      </c>
      <c r="F218" t="s">
        <v>429</v>
      </c>
      <c r="G218" t="s">
        <v>6584</v>
      </c>
      <c r="H218">
        <v>1351</v>
      </c>
      <c r="I218" t="s">
        <v>6584</v>
      </c>
      <c r="J218">
        <v>648</v>
      </c>
      <c r="K218" t="s">
        <v>5254</v>
      </c>
      <c r="L218" t="s">
        <v>431</v>
      </c>
      <c r="M218" t="s">
        <v>4734</v>
      </c>
      <c r="N218" t="s">
        <v>4735</v>
      </c>
      <c r="O218" t="s">
        <v>941</v>
      </c>
      <c r="Q218" t="s">
        <v>6298</v>
      </c>
      <c r="R218">
        <f>1</f>
        <v>1</v>
      </c>
      <c r="S218">
        <f>13.2</f>
        <v>13.2</v>
      </c>
      <c r="T218">
        <f>7.9</f>
        <v>7.9</v>
      </c>
      <c r="U218">
        <f>325</f>
        <v>325</v>
      </c>
      <c r="X218">
        <f>1</f>
        <v>1</v>
      </c>
      <c r="Y218">
        <f>0.09</f>
        <v>0.09</v>
      </c>
      <c r="Z218">
        <f>0</f>
        <v>0</v>
      </c>
      <c r="AA218">
        <f>0</f>
        <v>0</v>
      </c>
      <c r="AB218">
        <f>0</f>
        <v>0</v>
      </c>
      <c r="AD218">
        <f>0</f>
        <v>0</v>
      </c>
      <c r="AE218">
        <f>0</f>
        <v>0</v>
      </c>
      <c r="AH218" t="s">
        <v>166</v>
      </c>
    </row>
    <row r="219" spans="1:148" x14ac:dyDescent="0.25">
      <c r="A219" t="s">
        <v>942</v>
      </c>
      <c r="B219" t="s">
        <v>148</v>
      </c>
      <c r="C219" s="1">
        <v>45713</v>
      </c>
      <c r="D219" t="s">
        <v>311</v>
      </c>
      <c r="E219" t="s">
        <v>312</v>
      </c>
      <c r="F219" t="s">
        <v>424</v>
      </c>
      <c r="G219" t="s">
        <v>425</v>
      </c>
      <c r="H219">
        <v>806</v>
      </c>
      <c r="I219" t="s">
        <v>4736</v>
      </c>
      <c r="J219">
        <v>4002</v>
      </c>
      <c r="K219" t="s">
        <v>5254</v>
      </c>
      <c r="L219" t="s">
        <v>387</v>
      </c>
      <c r="M219" t="s">
        <v>4737</v>
      </c>
      <c r="N219" t="s">
        <v>943</v>
      </c>
      <c r="O219" t="s">
        <v>944</v>
      </c>
      <c r="R219">
        <f>1</f>
        <v>1</v>
      </c>
      <c r="S219">
        <f>7.1</f>
        <v>7.1</v>
      </c>
      <c r="T219">
        <f>7.4</f>
        <v>7.4</v>
      </c>
      <c r="U219">
        <f>516</f>
        <v>516</v>
      </c>
      <c r="V219">
        <f>0.24</f>
        <v>0.24</v>
      </c>
      <c r="X219">
        <f>0</f>
        <v>0</v>
      </c>
      <c r="Y219" t="s">
        <v>157</v>
      </c>
      <c r="Z219">
        <f>0</f>
        <v>0</v>
      </c>
      <c r="AA219" t="s">
        <v>158</v>
      </c>
      <c r="AB219" t="s">
        <v>158</v>
      </c>
      <c r="AD219">
        <f>0</f>
        <v>0</v>
      </c>
      <c r="AE219">
        <f>0</f>
        <v>0</v>
      </c>
      <c r="AH219" t="s">
        <v>157</v>
      </c>
    </row>
    <row r="220" spans="1:148" x14ac:dyDescent="0.25">
      <c r="A220" t="s">
        <v>945</v>
      </c>
      <c r="B220" t="s">
        <v>148</v>
      </c>
      <c r="C220" s="1">
        <v>45719</v>
      </c>
      <c r="D220" t="s">
        <v>222</v>
      </c>
      <c r="E220" t="s">
        <v>223</v>
      </c>
      <c r="F220" t="s">
        <v>224</v>
      </c>
      <c r="G220" t="s">
        <v>6585</v>
      </c>
      <c r="H220">
        <v>244</v>
      </c>
      <c r="I220" t="s">
        <v>6585</v>
      </c>
      <c r="J220">
        <v>850</v>
      </c>
      <c r="K220" t="s">
        <v>5257</v>
      </c>
      <c r="L220" t="s">
        <v>4963</v>
      </c>
      <c r="M220" t="s">
        <v>5873</v>
      </c>
      <c r="N220" t="s">
        <v>946</v>
      </c>
      <c r="O220" t="s">
        <v>947</v>
      </c>
      <c r="Q220" t="s">
        <v>6298</v>
      </c>
      <c r="R220">
        <f>1</f>
        <v>1</v>
      </c>
      <c r="S220">
        <f>11.4</f>
        <v>11.4</v>
      </c>
      <c r="T220">
        <f>8.3</f>
        <v>8.3000000000000007</v>
      </c>
      <c r="U220">
        <f>328</f>
        <v>328</v>
      </c>
      <c r="V220">
        <f>0.11</f>
        <v>0.11</v>
      </c>
      <c r="X220">
        <f>1</f>
        <v>1</v>
      </c>
      <c r="Y220">
        <f>0.09</f>
        <v>0.09</v>
      </c>
      <c r="Z220">
        <f>0</f>
        <v>0</v>
      </c>
      <c r="AA220">
        <f>0</f>
        <v>0</v>
      </c>
      <c r="AB220">
        <f>0</f>
        <v>0</v>
      </c>
      <c r="AC220">
        <f>0</f>
        <v>0</v>
      </c>
      <c r="AD220">
        <f>0</f>
        <v>0</v>
      </c>
      <c r="AE220">
        <f>0</f>
        <v>0</v>
      </c>
      <c r="AH220" t="s">
        <v>166</v>
      </c>
    </row>
    <row r="221" spans="1:148" x14ac:dyDescent="0.25">
      <c r="A221" t="s">
        <v>948</v>
      </c>
      <c r="B221" t="s">
        <v>148</v>
      </c>
      <c r="C221" s="1">
        <v>45715</v>
      </c>
      <c r="D221" t="s">
        <v>222</v>
      </c>
      <c r="E221" t="s">
        <v>223</v>
      </c>
      <c r="F221" t="s">
        <v>4723</v>
      </c>
      <c r="G221" t="s">
        <v>949</v>
      </c>
      <c r="H221">
        <v>241</v>
      </c>
      <c r="I221" t="s">
        <v>949</v>
      </c>
      <c r="J221">
        <v>1832</v>
      </c>
      <c r="K221" t="s">
        <v>5257</v>
      </c>
      <c r="L221" t="s">
        <v>4968</v>
      </c>
      <c r="M221" t="s">
        <v>950</v>
      </c>
      <c r="N221" t="s">
        <v>951</v>
      </c>
      <c r="O221" t="s">
        <v>952</v>
      </c>
      <c r="Q221" t="s">
        <v>5362</v>
      </c>
      <c r="R221">
        <f>1</f>
        <v>1</v>
      </c>
      <c r="S221">
        <f>8.5</f>
        <v>8.5</v>
      </c>
      <c r="T221">
        <f>8.3</f>
        <v>8.3000000000000007</v>
      </c>
      <c r="U221">
        <f>270</f>
        <v>270</v>
      </c>
      <c r="V221" t="s">
        <v>209</v>
      </c>
      <c r="X221">
        <f>1</f>
        <v>1</v>
      </c>
      <c r="Y221">
        <f>0.02</f>
        <v>0.02</v>
      </c>
      <c r="Z221">
        <f>0</f>
        <v>0</v>
      </c>
      <c r="AA221">
        <f>0</f>
        <v>0</v>
      </c>
      <c r="AB221">
        <f>0</f>
        <v>0</v>
      </c>
      <c r="AC221">
        <f>0</f>
        <v>0</v>
      </c>
      <c r="AD221">
        <f>0</f>
        <v>0</v>
      </c>
      <c r="AE221">
        <f>0</f>
        <v>0</v>
      </c>
      <c r="AH221" t="s">
        <v>166</v>
      </c>
    </row>
    <row r="222" spans="1:148" x14ac:dyDescent="0.25">
      <c r="A222" t="s">
        <v>953</v>
      </c>
      <c r="B222" t="s">
        <v>148</v>
      </c>
      <c r="C222" s="1">
        <v>45728</v>
      </c>
      <c r="D222" t="s">
        <v>242</v>
      </c>
      <c r="E222" t="s">
        <v>243</v>
      </c>
      <c r="F222" t="s">
        <v>391</v>
      </c>
      <c r="G222" t="s">
        <v>392</v>
      </c>
      <c r="H222">
        <v>1124</v>
      </c>
      <c r="I222" t="s">
        <v>392</v>
      </c>
      <c r="J222">
        <v>11300</v>
      </c>
      <c r="K222" t="s">
        <v>5254</v>
      </c>
      <c r="L222" t="s">
        <v>393</v>
      </c>
      <c r="M222" t="s">
        <v>954</v>
      </c>
      <c r="N222" t="s">
        <v>955</v>
      </c>
      <c r="O222" t="s">
        <v>956</v>
      </c>
      <c r="R222">
        <f>1</f>
        <v>1</v>
      </c>
      <c r="S222">
        <f>10.3</f>
        <v>10.3</v>
      </c>
      <c r="T222">
        <f>7.6</f>
        <v>7.6</v>
      </c>
      <c r="U222">
        <f>425</f>
        <v>425</v>
      </c>
      <c r="V222">
        <f>0.17</f>
        <v>0.17</v>
      </c>
      <c r="X222">
        <f>1</f>
        <v>1</v>
      </c>
      <c r="Y222" t="s">
        <v>157</v>
      </c>
      <c r="Z222">
        <f>0</f>
        <v>0</v>
      </c>
      <c r="AA222" t="s">
        <v>158</v>
      </c>
      <c r="AB222" t="s">
        <v>158</v>
      </c>
      <c r="AD222">
        <f>0</f>
        <v>0</v>
      </c>
      <c r="AE222">
        <f>0</f>
        <v>0</v>
      </c>
      <c r="AH222" t="s">
        <v>157</v>
      </c>
    </row>
    <row r="223" spans="1:148" x14ac:dyDescent="0.25">
      <c r="A223" t="s">
        <v>957</v>
      </c>
      <c r="B223" t="s">
        <v>148</v>
      </c>
      <c r="C223" s="1">
        <v>45800</v>
      </c>
      <c r="D223" t="s">
        <v>317</v>
      </c>
      <c r="E223" t="s">
        <v>318</v>
      </c>
      <c r="F223" t="s">
        <v>325</v>
      </c>
      <c r="G223" t="s">
        <v>958</v>
      </c>
      <c r="H223">
        <v>1498</v>
      </c>
      <c r="I223" t="s">
        <v>959</v>
      </c>
      <c r="J223">
        <v>3704</v>
      </c>
      <c r="K223" t="s">
        <v>5254</v>
      </c>
      <c r="L223" t="s">
        <v>431</v>
      </c>
      <c r="M223" t="s">
        <v>4738</v>
      </c>
      <c r="N223" t="s">
        <v>5363</v>
      </c>
      <c r="O223" t="s">
        <v>960</v>
      </c>
      <c r="Q223" t="s">
        <v>6327</v>
      </c>
      <c r="R223">
        <f>1</f>
        <v>1</v>
      </c>
      <c r="S223">
        <f>10.6</f>
        <v>10.6</v>
      </c>
      <c r="T223">
        <f>7.9</f>
        <v>7.9</v>
      </c>
      <c r="U223">
        <f>234</f>
        <v>234</v>
      </c>
      <c r="X223">
        <f>0</f>
        <v>0</v>
      </c>
      <c r="Y223" t="s">
        <v>157</v>
      </c>
      <c r="Z223">
        <f>0</f>
        <v>0</v>
      </c>
      <c r="AA223">
        <f>0</f>
        <v>0</v>
      </c>
      <c r="AB223">
        <f>0</f>
        <v>0</v>
      </c>
      <c r="AD223">
        <f>0</f>
        <v>0</v>
      </c>
      <c r="AE223">
        <f>0</f>
        <v>0</v>
      </c>
      <c r="AH223" t="s">
        <v>157</v>
      </c>
      <c r="AI223" t="s">
        <v>167</v>
      </c>
      <c r="AL223" t="s">
        <v>168</v>
      </c>
      <c r="AM223" t="s">
        <v>216</v>
      </c>
      <c r="AN223">
        <f>2.3</f>
        <v>2.2999999999999998</v>
      </c>
      <c r="AO223">
        <f>0.046</f>
        <v>4.5999999999999999E-2</v>
      </c>
      <c r="AP223">
        <f>1.7</f>
        <v>1.7</v>
      </c>
      <c r="AQ223">
        <f>1.4</f>
        <v>1.4</v>
      </c>
      <c r="AR223" t="s">
        <v>167</v>
      </c>
      <c r="AS223">
        <f>0.81</f>
        <v>0.81</v>
      </c>
      <c r="AY223" t="s">
        <v>158</v>
      </c>
      <c r="AZ223" t="s">
        <v>158</v>
      </c>
      <c r="BA223" t="s">
        <v>216</v>
      </c>
      <c r="BB223" t="s">
        <v>158</v>
      </c>
      <c r="BC223" t="s">
        <v>167</v>
      </c>
      <c r="BD223" t="s">
        <v>167</v>
      </c>
      <c r="BE223" t="s">
        <v>216</v>
      </c>
      <c r="BF223" t="s">
        <v>167</v>
      </c>
      <c r="BG223" t="s">
        <v>158</v>
      </c>
      <c r="BH223" t="s">
        <v>167</v>
      </c>
      <c r="BK223" t="s">
        <v>158</v>
      </c>
    </row>
    <row r="224" spans="1:148" x14ac:dyDescent="0.25">
      <c r="A224" t="s">
        <v>961</v>
      </c>
      <c r="B224" t="s">
        <v>148</v>
      </c>
      <c r="C224" s="1">
        <v>45721</v>
      </c>
      <c r="D224" t="s">
        <v>317</v>
      </c>
      <c r="E224" t="s">
        <v>318</v>
      </c>
      <c r="F224" t="s">
        <v>338</v>
      </c>
      <c r="G224" t="s">
        <v>962</v>
      </c>
      <c r="H224">
        <v>887</v>
      </c>
      <c r="I224" t="s">
        <v>962</v>
      </c>
      <c r="J224">
        <v>1025</v>
      </c>
      <c r="K224" t="s">
        <v>5254</v>
      </c>
      <c r="L224" t="s">
        <v>180</v>
      </c>
      <c r="M224" t="s">
        <v>4969</v>
      </c>
      <c r="N224" t="s">
        <v>5116</v>
      </c>
      <c r="O224" t="s">
        <v>963</v>
      </c>
      <c r="Q224" t="s">
        <v>6301</v>
      </c>
      <c r="R224">
        <f>1</f>
        <v>1</v>
      </c>
      <c r="S224">
        <f>7.1</f>
        <v>7.1</v>
      </c>
      <c r="T224">
        <f>8.1</f>
        <v>8.1</v>
      </c>
      <c r="U224">
        <f>224</f>
        <v>224</v>
      </c>
      <c r="X224">
        <f>0</f>
        <v>0</v>
      </c>
      <c r="Y224">
        <f>0.14</f>
        <v>0.14000000000000001</v>
      </c>
      <c r="Z224">
        <f>0</f>
        <v>0</v>
      </c>
      <c r="AA224">
        <f>1</f>
        <v>1</v>
      </c>
      <c r="AB224">
        <f>1</f>
        <v>1</v>
      </c>
      <c r="AD224">
        <f>0</f>
        <v>0</v>
      </c>
      <c r="AE224">
        <f>0</f>
        <v>0</v>
      </c>
      <c r="AH224" t="s">
        <v>157</v>
      </c>
    </row>
    <row r="225" spans="1:63" x14ac:dyDescent="0.25">
      <c r="A225" t="s">
        <v>964</v>
      </c>
      <c r="B225" t="s">
        <v>268</v>
      </c>
      <c r="C225" s="1">
        <v>45756</v>
      </c>
      <c r="D225" t="s">
        <v>222</v>
      </c>
      <c r="E225" t="s">
        <v>223</v>
      </c>
      <c r="F225" t="s">
        <v>469</v>
      </c>
      <c r="G225" t="s">
        <v>5874</v>
      </c>
      <c r="H225">
        <v>253</v>
      </c>
      <c r="I225" t="s">
        <v>5874</v>
      </c>
      <c r="J225">
        <v>677</v>
      </c>
      <c r="K225" t="s">
        <v>5257</v>
      </c>
      <c r="L225" t="s">
        <v>4947</v>
      </c>
      <c r="M225" t="s">
        <v>5364</v>
      </c>
      <c r="N225" t="s">
        <v>5875</v>
      </c>
      <c r="O225" t="s">
        <v>965</v>
      </c>
      <c r="Q225" t="s">
        <v>4970</v>
      </c>
      <c r="R225">
        <f>1</f>
        <v>1</v>
      </c>
      <c r="S225">
        <f>9</f>
        <v>9</v>
      </c>
      <c r="T225">
        <f>8</f>
        <v>8</v>
      </c>
      <c r="U225">
        <f>375</f>
        <v>375</v>
      </c>
      <c r="V225">
        <f>0.08</f>
        <v>0.08</v>
      </c>
      <c r="X225">
        <f>1</f>
        <v>1</v>
      </c>
      <c r="Y225">
        <f>0.22</f>
        <v>0.22</v>
      </c>
      <c r="Z225">
        <f>0</f>
        <v>0</v>
      </c>
      <c r="AA225">
        <f>0</f>
        <v>0</v>
      </c>
      <c r="AB225">
        <f>0</f>
        <v>0</v>
      </c>
      <c r="AC225">
        <f>1</f>
        <v>1</v>
      </c>
      <c r="AD225">
        <f>0</f>
        <v>0</v>
      </c>
      <c r="AE225">
        <f>0</f>
        <v>0</v>
      </c>
      <c r="AH225" t="s">
        <v>166</v>
      </c>
    </row>
    <row r="226" spans="1:63" x14ac:dyDescent="0.25">
      <c r="A226" t="s">
        <v>966</v>
      </c>
      <c r="B226" t="s">
        <v>148</v>
      </c>
      <c r="C226" s="1">
        <v>45722</v>
      </c>
      <c r="D226" t="s">
        <v>269</v>
      </c>
      <c r="E226" t="s">
        <v>270</v>
      </c>
      <c r="F226" t="s">
        <v>6531</v>
      </c>
      <c r="G226" t="s">
        <v>6532</v>
      </c>
      <c r="H226">
        <v>796</v>
      </c>
      <c r="I226" t="s">
        <v>6533</v>
      </c>
      <c r="J226">
        <v>12713</v>
      </c>
      <c r="K226" t="s">
        <v>5257</v>
      </c>
      <c r="L226" t="s">
        <v>302</v>
      </c>
      <c r="M226" t="s">
        <v>967</v>
      </c>
      <c r="N226" t="s">
        <v>5365</v>
      </c>
      <c r="O226" t="s">
        <v>968</v>
      </c>
      <c r="R226">
        <f>1</f>
        <v>1</v>
      </c>
      <c r="S226">
        <f>9.2</f>
        <v>9.1999999999999993</v>
      </c>
      <c r="T226">
        <f>7.9</f>
        <v>7.9</v>
      </c>
      <c r="U226">
        <f>335</f>
        <v>335</v>
      </c>
      <c r="W226">
        <f>0.15</f>
        <v>0.15</v>
      </c>
      <c r="X226">
        <f>0</f>
        <v>0</v>
      </c>
      <c r="Y226" t="s">
        <v>207</v>
      </c>
      <c r="Z226">
        <f>0</f>
        <v>0</v>
      </c>
      <c r="AA226" t="s">
        <v>158</v>
      </c>
      <c r="AB226" t="s">
        <v>158</v>
      </c>
      <c r="AC226">
        <f>0</f>
        <v>0</v>
      </c>
      <c r="AD226">
        <f>0</f>
        <v>0</v>
      </c>
      <c r="AE226">
        <f>0</f>
        <v>0</v>
      </c>
    </row>
    <row r="227" spans="1:63" x14ac:dyDescent="0.25">
      <c r="A227" t="s">
        <v>969</v>
      </c>
      <c r="B227" t="s">
        <v>148</v>
      </c>
      <c r="C227" s="1">
        <v>45860</v>
      </c>
      <c r="D227" t="s">
        <v>242</v>
      </c>
      <c r="E227" t="s">
        <v>295</v>
      </c>
      <c r="F227" t="s">
        <v>5366</v>
      </c>
      <c r="G227" t="s">
        <v>5876</v>
      </c>
      <c r="H227">
        <v>831</v>
      </c>
      <c r="I227" t="s">
        <v>5876</v>
      </c>
      <c r="J227">
        <v>1100</v>
      </c>
      <c r="K227" t="s">
        <v>5254</v>
      </c>
      <c r="L227" t="s">
        <v>393</v>
      </c>
      <c r="M227" t="s">
        <v>970</v>
      </c>
      <c r="N227" t="s">
        <v>5367</v>
      </c>
      <c r="O227" t="s">
        <v>971</v>
      </c>
      <c r="R227">
        <f>1</f>
        <v>1</v>
      </c>
      <c r="S227">
        <f>18.2</f>
        <v>18.2</v>
      </c>
      <c r="T227">
        <f>7.4</f>
        <v>7.4</v>
      </c>
      <c r="U227">
        <f>449</f>
        <v>449</v>
      </c>
      <c r="V227">
        <f>0.07</f>
        <v>7.0000000000000007E-2</v>
      </c>
      <c r="X227">
        <f>0</f>
        <v>0</v>
      </c>
      <c r="Y227" t="s">
        <v>157</v>
      </c>
      <c r="Z227">
        <f>0</f>
        <v>0</v>
      </c>
      <c r="AA227" t="s">
        <v>158</v>
      </c>
      <c r="AB227" t="s">
        <v>158</v>
      </c>
      <c r="AD227">
        <f>0</f>
        <v>0</v>
      </c>
      <c r="AE227">
        <f>0</f>
        <v>0</v>
      </c>
      <c r="AH227" t="s">
        <v>157</v>
      </c>
      <c r="AI227" t="s">
        <v>238</v>
      </c>
      <c r="AL227" t="s">
        <v>164</v>
      </c>
      <c r="AM227" t="s">
        <v>165</v>
      </c>
      <c r="AN227">
        <f>6.6</f>
        <v>6.6</v>
      </c>
      <c r="AO227">
        <f>0.13</f>
        <v>0.13</v>
      </c>
      <c r="AP227">
        <f>6.9</f>
        <v>6.9</v>
      </c>
      <c r="AQ227">
        <f>2.7</f>
        <v>2.7</v>
      </c>
      <c r="AR227" t="s">
        <v>157</v>
      </c>
      <c r="AS227">
        <f>1.5</f>
        <v>1.5</v>
      </c>
      <c r="AY227" t="s">
        <v>167</v>
      </c>
      <c r="AZ227" t="s">
        <v>158</v>
      </c>
      <c r="BA227" t="s">
        <v>216</v>
      </c>
      <c r="BB227" t="s">
        <v>158</v>
      </c>
      <c r="BC227" t="s">
        <v>166</v>
      </c>
      <c r="BD227" t="s">
        <v>167</v>
      </c>
      <c r="BE227">
        <f>0.0031</f>
        <v>3.0999999999999999E-3</v>
      </c>
      <c r="BF227" t="s">
        <v>168</v>
      </c>
      <c r="BG227" t="s">
        <v>167</v>
      </c>
      <c r="BH227" t="s">
        <v>167</v>
      </c>
      <c r="BK227">
        <f>0.33</f>
        <v>0.33</v>
      </c>
    </row>
    <row r="228" spans="1:63" x14ac:dyDescent="0.25">
      <c r="A228" t="s">
        <v>972</v>
      </c>
      <c r="B228" t="s">
        <v>148</v>
      </c>
      <c r="C228" s="1">
        <v>45720</v>
      </c>
      <c r="D228" t="s">
        <v>175</v>
      </c>
      <c r="E228" t="s">
        <v>649</v>
      </c>
      <c r="F228" t="s">
        <v>685</v>
      </c>
      <c r="G228" t="s">
        <v>6559</v>
      </c>
      <c r="H228">
        <v>1022</v>
      </c>
      <c r="I228" t="s">
        <v>6559</v>
      </c>
      <c r="J228">
        <v>8960</v>
      </c>
      <c r="K228" t="s">
        <v>5257</v>
      </c>
      <c r="L228" t="s">
        <v>154</v>
      </c>
      <c r="M228" t="s">
        <v>973</v>
      </c>
      <c r="N228" t="s">
        <v>974</v>
      </c>
      <c r="O228" t="s">
        <v>975</v>
      </c>
      <c r="R228">
        <f>1</f>
        <v>1</v>
      </c>
      <c r="S228">
        <f>9.5</f>
        <v>9.5</v>
      </c>
      <c r="T228">
        <f>7.7</f>
        <v>7.7</v>
      </c>
      <c r="U228">
        <f>518</f>
        <v>518</v>
      </c>
      <c r="V228">
        <f>0.18</f>
        <v>0.18</v>
      </c>
      <c r="X228">
        <f>1</f>
        <v>1</v>
      </c>
      <c r="Y228">
        <f>0.2</f>
        <v>0.2</v>
      </c>
      <c r="Z228">
        <f>0</f>
        <v>0</v>
      </c>
      <c r="AA228" t="s">
        <v>158</v>
      </c>
      <c r="AB228" t="s">
        <v>158</v>
      </c>
      <c r="AC228">
        <f>0</f>
        <v>0</v>
      </c>
      <c r="AD228">
        <f>0</f>
        <v>0</v>
      </c>
      <c r="AE228">
        <f>0</f>
        <v>0</v>
      </c>
    </row>
    <row r="229" spans="1:63" x14ac:dyDescent="0.25">
      <c r="A229" t="s">
        <v>976</v>
      </c>
      <c r="B229" t="s">
        <v>148</v>
      </c>
      <c r="C229" s="1">
        <v>45714</v>
      </c>
      <c r="D229" t="s">
        <v>175</v>
      </c>
      <c r="E229" t="s">
        <v>176</v>
      </c>
      <c r="F229" t="s">
        <v>690</v>
      </c>
      <c r="G229" t="s">
        <v>691</v>
      </c>
      <c r="H229">
        <v>1021</v>
      </c>
      <c r="I229" t="s">
        <v>692</v>
      </c>
      <c r="J229">
        <v>9974</v>
      </c>
      <c r="K229" t="s">
        <v>5254</v>
      </c>
      <c r="L229" t="s">
        <v>4963</v>
      </c>
      <c r="M229" t="s">
        <v>977</v>
      </c>
      <c r="N229" t="s">
        <v>5368</v>
      </c>
      <c r="O229" t="s">
        <v>978</v>
      </c>
      <c r="R229">
        <f>1</f>
        <v>1</v>
      </c>
      <c r="S229">
        <f>7.8</f>
        <v>7.8</v>
      </c>
      <c r="T229">
        <f>7.5</f>
        <v>7.5</v>
      </c>
      <c r="U229">
        <f>406</f>
        <v>406</v>
      </c>
      <c r="X229">
        <f>0</f>
        <v>0</v>
      </c>
      <c r="Y229" t="s">
        <v>157</v>
      </c>
      <c r="Z229">
        <f>0</f>
        <v>0</v>
      </c>
      <c r="AA229" t="s">
        <v>158</v>
      </c>
      <c r="AB229" t="s">
        <v>158</v>
      </c>
      <c r="AC229">
        <f>0</f>
        <v>0</v>
      </c>
      <c r="AD229">
        <f>0</f>
        <v>0</v>
      </c>
      <c r="AE229">
        <f>0</f>
        <v>0</v>
      </c>
    </row>
    <row r="230" spans="1:63" x14ac:dyDescent="0.25">
      <c r="A230" t="s">
        <v>979</v>
      </c>
      <c r="B230" t="s">
        <v>268</v>
      </c>
      <c r="C230" s="1">
        <v>45741</v>
      </c>
      <c r="D230" t="s">
        <v>175</v>
      </c>
      <c r="E230" t="s">
        <v>649</v>
      </c>
      <c r="F230" t="s">
        <v>918</v>
      </c>
      <c r="G230" t="s">
        <v>919</v>
      </c>
      <c r="H230">
        <v>44</v>
      </c>
      <c r="I230" t="s">
        <v>920</v>
      </c>
      <c r="J230">
        <v>10558</v>
      </c>
      <c r="K230" t="s">
        <v>5257</v>
      </c>
      <c r="L230" t="s">
        <v>431</v>
      </c>
      <c r="M230" t="s">
        <v>980</v>
      </c>
      <c r="N230" t="s">
        <v>981</v>
      </c>
      <c r="O230" t="s">
        <v>982</v>
      </c>
      <c r="Q230" t="s">
        <v>6328</v>
      </c>
      <c r="R230">
        <f>1</f>
        <v>1</v>
      </c>
      <c r="S230">
        <f>11</f>
        <v>11</v>
      </c>
      <c r="T230">
        <f>8</f>
        <v>8</v>
      </c>
      <c r="U230">
        <f>361</f>
        <v>361</v>
      </c>
      <c r="X230">
        <f>0</f>
        <v>0</v>
      </c>
      <c r="Y230">
        <f>0.12</f>
        <v>0.12</v>
      </c>
      <c r="Z230">
        <f>0</f>
        <v>0</v>
      </c>
      <c r="AA230" t="s">
        <v>705</v>
      </c>
      <c r="AB230" t="s">
        <v>705</v>
      </c>
      <c r="AC230">
        <f>0</f>
        <v>0</v>
      </c>
      <c r="AD230">
        <f>0</f>
        <v>0</v>
      </c>
      <c r="AE230">
        <f>0</f>
        <v>0</v>
      </c>
      <c r="AH230" t="s">
        <v>157</v>
      </c>
    </row>
    <row r="231" spans="1:63" x14ac:dyDescent="0.25">
      <c r="A231" t="s">
        <v>983</v>
      </c>
      <c r="B231" t="s">
        <v>148</v>
      </c>
      <c r="C231" s="1">
        <v>45716</v>
      </c>
      <c r="D231" t="s">
        <v>618</v>
      </c>
      <c r="E231" t="s">
        <v>619</v>
      </c>
      <c r="F231" t="s">
        <v>620</v>
      </c>
      <c r="G231" t="s">
        <v>6556</v>
      </c>
      <c r="H231">
        <v>8</v>
      </c>
      <c r="I231" t="s">
        <v>6556</v>
      </c>
      <c r="J231">
        <v>4770</v>
      </c>
      <c r="K231" t="s">
        <v>5257</v>
      </c>
      <c r="L231" t="s">
        <v>387</v>
      </c>
      <c r="M231" t="s">
        <v>5877</v>
      </c>
      <c r="N231" t="s">
        <v>5878</v>
      </c>
      <c r="O231" t="s">
        <v>984</v>
      </c>
      <c r="R231">
        <f>1</f>
        <v>1</v>
      </c>
      <c r="S231">
        <f>9.1</f>
        <v>9.1</v>
      </c>
      <c r="T231">
        <f>7.5</f>
        <v>7.5</v>
      </c>
      <c r="U231">
        <f>466</f>
        <v>466</v>
      </c>
      <c r="X231">
        <f>0</f>
        <v>0</v>
      </c>
      <c r="Y231">
        <f>0.1</f>
        <v>0.1</v>
      </c>
      <c r="Z231">
        <f>0</f>
        <v>0</v>
      </c>
      <c r="AA231" t="s">
        <v>158</v>
      </c>
      <c r="AB231" t="s">
        <v>158</v>
      </c>
      <c r="AD231">
        <f>0</f>
        <v>0</v>
      </c>
      <c r="AE231">
        <f>0</f>
        <v>0</v>
      </c>
      <c r="AH231" t="s">
        <v>157</v>
      </c>
      <c r="BI231" t="s">
        <v>836</v>
      </c>
    </row>
    <row r="232" spans="1:63" x14ac:dyDescent="0.25">
      <c r="A232" t="s">
        <v>985</v>
      </c>
      <c r="B232" t="s">
        <v>268</v>
      </c>
      <c r="C232" s="1">
        <v>45716</v>
      </c>
      <c r="D232" t="s">
        <v>618</v>
      </c>
      <c r="E232" t="s">
        <v>619</v>
      </c>
      <c r="F232" t="s">
        <v>620</v>
      </c>
      <c r="G232" t="s">
        <v>6556</v>
      </c>
      <c r="H232">
        <v>8</v>
      </c>
      <c r="I232" t="s">
        <v>6556</v>
      </c>
      <c r="J232">
        <v>4770</v>
      </c>
      <c r="K232" t="s">
        <v>5257</v>
      </c>
      <c r="L232" t="s">
        <v>387</v>
      </c>
      <c r="M232" t="s">
        <v>5369</v>
      </c>
      <c r="N232" t="s">
        <v>5879</v>
      </c>
      <c r="O232" t="s">
        <v>986</v>
      </c>
      <c r="R232">
        <f>1</f>
        <v>1</v>
      </c>
      <c r="S232">
        <f>6.4</f>
        <v>6.4</v>
      </c>
      <c r="T232">
        <f>7.5</f>
        <v>7.5</v>
      </c>
      <c r="U232">
        <f>296</f>
        <v>296</v>
      </c>
      <c r="X232">
        <f>0</f>
        <v>0</v>
      </c>
      <c r="Y232">
        <f>0.1</f>
        <v>0.1</v>
      </c>
      <c r="Z232">
        <f>0</f>
        <v>0</v>
      </c>
      <c r="AA232">
        <f>69</f>
        <v>69</v>
      </c>
      <c r="AB232" t="s">
        <v>158</v>
      </c>
      <c r="AD232">
        <f>0</f>
        <v>0</v>
      </c>
      <c r="AE232">
        <f>21</f>
        <v>21</v>
      </c>
      <c r="AH232" t="s">
        <v>157</v>
      </c>
    </row>
    <row r="233" spans="1:63" x14ac:dyDescent="0.25">
      <c r="A233" t="s">
        <v>987</v>
      </c>
      <c r="B233" t="s">
        <v>148</v>
      </c>
      <c r="C233" s="1">
        <v>45720</v>
      </c>
      <c r="D233" t="s">
        <v>311</v>
      </c>
      <c r="E233" t="s">
        <v>312</v>
      </c>
      <c r="F233" t="s">
        <v>418</v>
      </c>
      <c r="G233" t="s">
        <v>419</v>
      </c>
      <c r="H233">
        <v>1589</v>
      </c>
      <c r="I233" t="s">
        <v>5370</v>
      </c>
      <c r="J233">
        <v>8400</v>
      </c>
      <c r="K233" t="s">
        <v>5254</v>
      </c>
      <c r="M233" t="s">
        <v>5880</v>
      </c>
      <c r="N233" t="s">
        <v>988</v>
      </c>
      <c r="O233" t="s">
        <v>989</v>
      </c>
      <c r="R233">
        <f>1</f>
        <v>1</v>
      </c>
      <c r="S233">
        <f>10.6</f>
        <v>10.6</v>
      </c>
      <c r="T233">
        <f>7.6</f>
        <v>7.6</v>
      </c>
      <c r="U233">
        <f>481</f>
        <v>481</v>
      </c>
      <c r="X233">
        <f>0</f>
        <v>0</v>
      </c>
      <c r="Y233" t="s">
        <v>157</v>
      </c>
      <c r="Z233">
        <f>0</f>
        <v>0</v>
      </c>
      <c r="AA233">
        <f>50</f>
        <v>50</v>
      </c>
      <c r="AB233">
        <f>58</f>
        <v>58</v>
      </c>
      <c r="AD233">
        <f>0</f>
        <v>0</v>
      </c>
      <c r="AE233">
        <f>0</f>
        <v>0</v>
      </c>
      <c r="AH233" t="s">
        <v>157</v>
      </c>
    </row>
    <row r="234" spans="1:63" x14ac:dyDescent="0.25">
      <c r="A234" t="s">
        <v>990</v>
      </c>
      <c r="B234" t="s">
        <v>148</v>
      </c>
      <c r="C234" s="1">
        <v>45721</v>
      </c>
      <c r="D234" t="s">
        <v>311</v>
      </c>
      <c r="E234" t="s">
        <v>312</v>
      </c>
      <c r="F234" t="s">
        <v>418</v>
      </c>
      <c r="G234" t="s">
        <v>419</v>
      </c>
      <c r="H234">
        <v>1588</v>
      </c>
      <c r="I234" t="s">
        <v>5371</v>
      </c>
      <c r="J234">
        <v>12100</v>
      </c>
      <c r="K234" t="s">
        <v>5254</v>
      </c>
      <c r="M234" t="s">
        <v>5881</v>
      </c>
      <c r="N234" t="s">
        <v>5372</v>
      </c>
      <c r="O234" t="s">
        <v>991</v>
      </c>
      <c r="R234">
        <f>1</f>
        <v>1</v>
      </c>
      <c r="S234">
        <f>10.1</f>
        <v>10.1</v>
      </c>
      <c r="T234">
        <f>7.1</f>
        <v>7.1</v>
      </c>
      <c r="U234">
        <f>471</f>
        <v>471</v>
      </c>
      <c r="X234">
        <f>0</f>
        <v>0</v>
      </c>
      <c r="Y234">
        <f>0.1</f>
        <v>0.1</v>
      </c>
      <c r="Z234">
        <f>0</f>
        <v>0</v>
      </c>
      <c r="AA234" t="s">
        <v>158</v>
      </c>
      <c r="AB234" t="s">
        <v>158</v>
      </c>
      <c r="AD234">
        <f>0</f>
        <v>0</v>
      </c>
      <c r="AE234">
        <f>0</f>
        <v>0</v>
      </c>
      <c r="AH234" t="s">
        <v>157</v>
      </c>
    </row>
    <row r="235" spans="1:63" x14ac:dyDescent="0.25">
      <c r="A235" t="s">
        <v>992</v>
      </c>
      <c r="B235" t="s">
        <v>148</v>
      </c>
      <c r="C235" s="1">
        <v>45720</v>
      </c>
      <c r="D235" t="s">
        <v>311</v>
      </c>
      <c r="E235" t="s">
        <v>312</v>
      </c>
      <c r="F235" t="s">
        <v>418</v>
      </c>
      <c r="G235" t="s">
        <v>419</v>
      </c>
      <c r="H235">
        <v>1586</v>
      </c>
      <c r="I235" t="s">
        <v>993</v>
      </c>
      <c r="J235">
        <v>7900</v>
      </c>
      <c r="K235" t="s">
        <v>5254</v>
      </c>
      <c r="M235" t="s">
        <v>5882</v>
      </c>
      <c r="N235" t="s">
        <v>4971</v>
      </c>
      <c r="O235" t="s">
        <v>994</v>
      </c>
      <c r="R235">
        <f>1</f>
        <v>1</v>
      </c>
      <c r="S235">
        <f>11.1</f>
        <v>11.1</v>
      </c>
      <c r="T235">
        <f>7.6</f>
        <v>7.6</v>
      </c>
      <c r="U235">
        <f>492</f>
        <v>492</v>
      </c>
      <c r="X235">
        <f>0</f>
        <v>0</v>
      </c>
      <c r="Y235" t="s">
        <v>157</v>
      </c>
      <c r="Z235">
        <f>0</f>
        <v>0</v>
      </c>
      <c r="AA235" t="s">
        <v>158</v>
      </c>
      <c r="AB235" t="s">
        <v>158</v>
      </c>
      <c r="AD235">
        <f>0</f>
        <v>0</v>
      </c>
      <c r="AE235">
        <f>0</f>
        <v>0</v>
      </c>
      <c r="AH235" t="s">
        <v>157</v>
      </c>
    </row>
    <row r="236" spans="1:63" x14ac:dyDescent="0.25">
      <c r="A236" t="s">
        <v>995</v>
      </c>
      <c r="B236" t="s">
        <v>148</v>
      </c>
      <c r="C236" s="1">
        <v>45721</v>
      </c>
      <c r="D236" t="s">
        <v>311</v>
      </c>
      <c r="E236" t="s">
        <v>312</v>
      </c>
      <c r="F236" t="s">
        <v>418</v>
      </c>
      <c r="G236" t="s">
        <v>419</v>
      </c>
      <c r="H236">
        <v>1585</v>
      </c>
      <c r="I236" t="s">
        <v>996</v>
      </c>
      <c r="J236">
        <v>8100</v>
      </c>
      <c r="K236" t="s">
        <v>5254</v>
      </c>
      <c r="L236" t="s">
        <v>726</v>
      </c>
      <c r="M236" t="s">
        <v>5883</v>
      </c>
      <c r="N236" t="s">
        <v>5117</v>
      </c>
      <c r="O236" t="s">
        <v>997</v>
      </c>
      <c r="R236">
        <f>1</f>
        <v>1</v>
      </c>
      <c r="S236">
        <f>11.4</f>
        <v>11.4</v>
      </c>
      <c r="T236">
        <f>7.7</f>
        <v>7.7</v>
      </c>
      <c r="U236">
        <f>391</f>
        <v>391</v>
      </c>
      <c r="V236" t="s">
        <v>157</v>
      </c>
      <c r="X236">
        <f>0</f>
        <v>0</v>
      </c>
      <c r="Y236">
        <f>0.1</f>
        <v>0.1</v>
      </c>
      <c r="Z236">
        <f>0</f>
        <v>0</v>
      </c>
      <c r="AA236" t="s">
        <v>158</v>
      </c>
      <c r="AB236" t="s">
        <v>158</v>
      </c>
      <c r="AD236">
        <f>0</f>
        <v>0</v>
      </c>
      <c r="AE236">
        <f>0</f>
        <v>0</v>
      </c>
      <c r="AH236" t="s">
        <v>157</v>
      </c>
    </row>
    <row r="237" spans="1:63" x14ac:dyDescent="0.25">
      <c r="A237" t="s">
        <v>998</v>
      </c>
      <c r="B237" t="s">
        <v>148</v>
      </c>
      <c r="C237" s="1">
        <v>45721</v>
      </c>
      <c r="D237" t="s">
        <v>175</v>
      </c>
      <c r="E237" t="s">
        <v>284</v>
      </c>
      <c r="F237" t="s">
        <v>678</v>
      </c>
      <c r="G237" t="s">
        <v>679</v>
      </c>
      <c r="H237">
        <v>642</v>
      </c>
      <c r="I237" t="s">
        <v>680</v>
      </c>
      <c r="J237">
        <v>9359</v>
      </c>
      <c r="K237" t="s">
        <v>5257</v>
      </c>
      <c r="L237" t="s">
        <v>681</v>
      </c>
      <c r="M237" t="s">
        <v>999</v>
      </c>
      <c r="N237" t="s">
        <v>1000</v>
      </c>
      <c r="O237" t="s">
        <v>1001</v>
      </c>
      <c r="R237">
        <f>1</f>
        <v>1</v>
      </c>
      <c r="S237">
        <f>7.5</f>
        <v>7.5</v>
      </c>
      <c r="T237">
        <f>7.6</f>
        <v>7.6</v>
      </c>
      <c r="U237">
        <f>467</f>
        <v>467</v>
      </c>
      <c r="W237">
        <f>0.13</f>
        <v>0.13</v>
      </c>
      <c r="X237">
        <f>0</f>
        <v>0</v>
      </c>
      <c r="Y237" t="s">
        <v>157</v>
      </c>
      <c r="Z237">
        <f>0</f>
        <v>0</v>
      </c>
      <c r="AA237" t="s">
        <v>158</v>
      </c>
      <c r="AB237" t="s">
        <v>158</v>
      </c>
      <c r="AC237">
        <f>0</f>
        <v>0</v>
      </c>
      <c r="AD237">
        <f>0</f>
        <v>0</v>
      </c>
      <c r="AE237">
        <f>0</f>
        <v>0</v>
      </c>
    </row>
    <row r="238" spans="1:63" x14ac:dyDescent="0.25">
      <c r="A238" t="s">
        <v>1002</v>
      </c>
      <c r="B238" t="s">
        <v>148</v>
      </c>
      <c r="C238" s="1">
        <v>45716</v>
      </c>
      <c r="D238" t="s">
        <v>618</v>
      </c>
      <c r="E238" t="s">
        <v>619</v>
      </c>
      <c r="F238" t="s">
        <v>620</v>
      </c>
      <c r="G238" t="s">
        <v>6556</v>
      </c>
      <c r="H238">
        <v>8</v>
      </c>
      <c r="I238" t="s">
        <v>6556</v>
      </c>
      <c r="J238">
        <v>4770</v>
      </c>
      <c r="K238" t="s">
        <v>5257</v>
      </c>
      <c r="L238" t="s">
        <v>387</v>
      </c>
      <c r="M238" t="s">
        <v>1003</v>
      </c>
      <c r="N238" t="s">
        <v>5884</v>
      </c>
      <c r="O238" t="s">
        <v>1004</v>
      </c>
      <c r="R238">
        <f>1</f>
        <v>1</v>
      </c>
      <c r="S238">
        <f>10.3</f>
        <v>10.3</v>
      </c>
      <c r="T238">
        <f>7.5</f>
        <v>7.5</v>
      </c>
      <c r="U238">
        <f>469</f>
        <v>469</v>
      </c>
      <c r="X238">
        <f>0</f>
        <v>0</v>
      </c>
      <c r="Y238">
        <f>0.1</f>
        <v>0.1</v>
      </c>
      <c r="Z238">
        <f>0</f>
        <v>0</v>
      </c>
      <c r="AA238" t="s">
        <v>158</v>
      </c>
      <c r="AB238" t="s">
        <v>158</v>
      </c>
      <c r="AC238">
        <f>0</f>
        <v>0</v>
      </c>
      <c r="AD238">
        <f>0</f>
        <v>0</v>
      </c>
      <c r="AE238">
        <f>0</f>
        <v>0</v>
      </c>
      <c r="AH238" t="s">
        <v>157</v>
      </c>
      <c r="BI238" t="s">
        <v>836</v>
      </c>
    </row>
    <row r="239" spans="1:63" x14ac:dyDescent="0.25">
      <c r="A239" t="s">
        <v>1005</v>
      </c>
      <c r="B239" t="s">
        <v>148</v>
      </c>
      <c r="C239" s="1">
        <v>45721</v>
      </c>
      <c r="D239" t="s">
        <v>149</v>
      </c>
      <c r="E239" t="s">
        <v>150</v>
      </c>
      <c r="F239" t="s">
        <v>625</v>
      </c>
      <c r="G239" t="s">
        <v>626</v>
      </c>
      <c r="H239">
        <v>1680</v>
      </c>
      <c r="I239" t="s">
        <v>5373</v>
      </c>
      <c r="J239">
        <v>5580</v>
      </c>
      <c r="K239" t="s">
        <v>5254</v>
      </c>
      <c r="L239" t="s">
        <v>431</v>
      </c>
      <c r="M239" t="s">
        <v>5885</v>
      </c>
      <c r="N239" t="s">
        <v>6586</v>
      </c>
      <c r="R239">
        <f>1</f>
        <v>1</v>
      </c>
      <c r="S239">
        <f>9.3</f>
        <v>9.3000000000000007</v>
      </c>
      <c r="T239">
        <f>7.1</f>
        <v>7.1</v>
      </c>
      <c r="U239">
        <f>241</f>
        <v>241</v>
      </c>
      <c r="V239" t="s">
        <v>157</v>
      </c>
      <c r="X239">
        <f>0</f>
        <v>0</v>
      </c>
      <c r="Y239">
        <f>0.1</f>
        <v>0.1</v>
      </c>
      <c r="Z239">
        <f>0</f>
        <v>0</v>
      </c>
      <c r="AA239" t="s">
        <v>158</v>
      </c>
      <c r="AB239" t="s">
        <v>158</v>
      </c>
      <c r="AD239">
        <f>0</f>
        <v>0</v>
      </c>
      <c r="AE239">
        <f>0</f>
        <v>0</v>
      </c>
      <c r="AH239" t="s">
        <v>157</v>
      </c>
    </row>
    <row r="240" spans="1:63" x14ac:dyDescent="0.25">
      <c r="A240" t="s">
        <v>1006</v>
      </c>
      <c r="B240" t="s">
        <v>148</v>
      </c>
      <c r="C240" s="1">
        <v>45726</v>
      </c>
      <c r="D240" t="s">
        <v>175</v>
      </c>
      <c r="E240" t="s">
        <v>176</v>
      </c>
      <c r="F240" t="s">
        <v>630</v>
      </c>
      <c r="G240" t="s">
        <v>631</v>
      </c>
      <c r="H240">
        <v>1175</v>
      </c>
      <c r="I240" t="s">
        <v>631</v>
      </c>
      <c r="J240">
        <v>14500</v>
      </c>
      <c r="K240" t="s">
        <v>5254</v>
      </c>
      <c r="L240" t="s">
        <v>154</v>
      </c>
      <c r="M240" t="s">
        <v>5886</v>
      </c>
      <c r="N240" t="s">
        <v>5887</v>
      </c>
      <c r="O240" t="s">
        <v>1007</v>
      </c>
      <c r="R240">
        <f>1</f>
        <v>1</v>
      </c>
      <c r="S240">
        <f>8.1</f>
        <v>8.1</v>
      </c>
      <c r="T240">
        <f>7.6</f>
        <v>7.6</v>
      </c>
      <c r="U240">
        <f>530</f>
        <v>530</v>
      </c>
      <c r="X240">
        <f>0</f>
        <v>0</v>
      </c>
      <c r="Y240" t="s">
        <v>157</v>
      </c>
      <c r="Z240">
        <f>0</f>
        <v>0</v>
      </c>
      <c r="AA240" t="s">
        <v>158</v>
      </c>
      <c r="AB240">
        <f>15</f>
        <v>15</v>
      </c>
      <c r="AD240">
        <f>0</f>
        <v>0</v>
      </c>
      <c r="AE240">
        <f>0</f>
        <v>0</v>
      </c>
    </row>
    <row r="241" spans="1:148" x14ac:dyDescent="0.25">
      <c r="A241" t="s">
        <v>1008</v>
      </c>
      <c r="B241" t="s">
        <v>148</v>
      </c>
      <c r="C241" s="1">
        <v>45737</v>
      </c>
      <c r="D241" t="s">
        <v>242</v>
      </c>
      <c r="E241" t="s">
        <v>243</v>
      </c>
      <c r="F241" t="s">
        <v>5098</v>
      </c>
      <c r="G241" t="s">
        <v>5118</v>
      </c>
      <c r="H241">
        <v>1147</v>
      </c>
      <c r="I241" t="s">
        <v>5118</v>
      </c>
      <c r="J241">
        <v>2266</v>
      </c>
      <c r="K241" t="s">
        <v>5254</v>
      </c>
      <c r="L241" t="s">
        <v>387</v>
      </c>
      <c r="M241" t="s">
        <v>4739</v>
      </c>
      <c r="N241" t="s">
        <v>4972</v>
      </c>
      <c r="O241" t="s">
        <v>1009</v>
      </c>
      <c r="R241">
        <f>1</f>
        <v>1</v>
      </c>
      <c r="S241">
        <f>10.8</f>
        <v>10.8</v>
      </c>
      <c r="T241">
        <f>7.5</f>
        <v>7.5</v>
      </c>
      <c r="U241">
        <f>359</f>
        <v>359</v>
      </c>
      <c r="V241">
        <f>0.16</f>
        <v>0.16</v>
      </c>
      <c r="X241">
        <f>1</f>
        <v>1</v>
      </c>
      <c r="Y241" t="s">
        <v>157</v>
      </c>
      <c r="Z241">
        <f>0</f>
        <v>0</v>
      </c>
      <c r="AA241" t="s">
        <v>158</v>
      </c>
      <c r="AB241" t="s">
        <v>158</v>
      </c>
      <c r="AD241">
        <f>0</f>
        <v>0</v>
      </c>
      <c r="AE241">
        <f>0</f>
        <v>0</v>
      </c>
      <c r="AH241" t="s">
        <v>157</v>
      </c>
    </row>
    <row r="242" spans="1:148" x14ac:dyDescent="0.25">
      <c r="A242" t="s">
        <v>1010</v>
      </c>
      <c r="B242" t="s">
        <v>268</v>
      </c>
      <c r="C242" s="1">
        <v>45712</v>
      </c>
      <c r="D242" t="s">
        <v>189</v>
      </c>
      <c r="E242" t="s">
        <v>284</v>
      </c>
      <c r="F242" t="s">
        <v>285</v>
      </c>
      <c r="G242" t="s">
        <v>286</v>
      </c>
      <c r="H242">
        <v>197</v>
      </c>
      <c r="I242" t="s">
        <v>287</v>
      </c>
      <c r="J242">
        <v>19851</v>
      </c>
      <c r="K242" t="s">
        <v>5257</v>
      </c>
      <c r="L242" t="s">
        <v>4943</v>
      </c>
      <c r="M242" t="s">
        <v>1011</v>
      </c>
      <c r="N242" t="s">
        <v>1012</v>
      </c>
      <c r="O242" t="s">
        <v>1013</v>
      </c>
      <c r="Q242" t="s">
        <v>1014</v>
      </c>
      <c r="R242">
        <f>1</f>
        <v>1</v>
      </c>
      <c r="S242">
        <f>8.4</f>
        <v>8.4</v>
      </c>
      <c r="T242">
        <f>7.9</f>
        <v>7.9</v>
      </c>
      <c r="U242">
        <f>303</f>
        <v>303</v>
      </c>
      <c r="V242">
        <f>0.05</f>
        <v>0.05</v>
      </c>
      <c r="X242">
        <f>0</f>
        <v>0</v>
      </c>
      <c r="Y242" t="s">
        <v>157</v>
      </c>
      <c r="Z242">
        <f>0</f>
        <v>0</v>
      </c>
      <c r="AA242">
        <f>15</f>
        <v>15</v>
      </c>
      <c r="AB242">
        <f>3</f>
        <v>3</v>
      </c>
      <c r="AC242">
        <f>0</f>
        <v>0</v>
      </c>
      <c r="AD242">
        <f>0</f>
        <v>0</v>
      </c>
      <c r="AE242">
        <f>15</f>
        <v>15</v>
      </c>
      <c r="AH242" t="s">
        <v>157</v>
      </c>
      <c r="BB242">
        <f>19</f>
        <v>19</v>
      </c>
    </row>
    <row r="243" spans="1:148" x14ac:dyDescent="0.25">
      <c r="A243" t="s">
        <v>1015</v>
      </c>
      <c r="B243" t="s">
        <v>148</v>
      </c>
      <c r="C243" s="1">
        <v>45838</v>
      </c>
      <c r="D243" t="s">
        <v>242</v>
      </c>
      <c r="E243" t="s">
        <v>243</v>
      </c>
      <c r="F243" t="s">
        <v>4727</v>
      </c>
      <c r="G243" t="s">
        <v>6587</v>
      </c>
      <c r="H243">
        <v>1652</v>
      </c>
      <c r="I243" t="s">
        <v>6588</v>
      </c>
      <c r="J243">
        <v>1160</v>
      </c>
      <c r="K243" t="s">
        <v>5254</v>
      </c>
      <c r="L243" t="s">
        <v>393</v>
      </c>
      <c r="M243" t="s">
        <v>5374</v>
      </c>
      <c r="N243" t="s">
        <v>4740</v>
      </c>
      <c r="O243" t="s">
        <v>1016</v>
      </c>
      <c r="R243">
        <f>1</f>
        <v>1</v>
      </c>
      <c r="S243">
        <f>19.1</f>
        <v>19.100000000000001</v>
      </c>
      <c r="T243">
        <f>7.3</f>
        <v>7.3</v>
      </c>
      <c r="U243">
        <f>400</f>
        <v>400</v>
      </c>
      <c r="V243">
        <f>0.19</f>
        <v>0.19</v>
      </c>
      <c r="X243">
        <f>1</f>
        <v>1</v>
      </c>
      <c r="Y243" t="s">
        <v>157</v>
      </c>
      <c r="Z243">
        <f>0</f>
        <v>0</v>
      </c>
      <c r="AA243">
        <f>31</f>
        <v>31</v>
      </c>
      <c r="AB243">
        <f>86</f>
        <v>86</v>
      </c>
      <c r="AD243">
        <f>0</f>
        <v>0</v>
      </c>
      <c r="AE243">
        <f>0</f>
        <v>0</v>
      </c>
      <c r="AH243" t="s">
        <v>157</v>
      </c>
      <c r="AI243" t="s">
        <v>238</v>
      </c>
      <c r="AL243" t="s">
        <v>164</v>
      </c>
      <c r="AM243" t="s">
        <v>165</v>
      </c>
      <c r="AN243">
        <f>6.2</f>
        <v>6.2</v>
      </c>
      <c r="AO243">
        <f>0.12</f>
        <v>0.12</v>
      </c>
      <c r="AP243">
        <f>13</f>
        <v>13</v>
      </c>
      <c r="AQ243">
        <f>9.3</f>
        <v>9.3000000000000007</v>
      </c>
      <c r="AR243" t="s">
        <v>157</v>
      </c>
      <c r="AS243">
        <f>6.1</f>
        <v>6.1</v>
      </c>
      <c r="AY243" t="s">
        <v>167</v>
      </c>
      <c r="AZ243" t="s">
        <v>158</v>
      </c>
      <c r="BA243" t="s">
        <v>216</v>
      </c>
      <c r="BB243" t="s">
        <v>158</v>
      </c>
      <c r="BC243" t="s">
        <v>166</v>
      </c>
      <c r="BD243" t="s">
        <v>167</v>
      </c>
      <c r="BE243">
        <f>0.0027</f>
        <v>2.7000000000000001E-3</v>
      </c>
      <c r="BF243">
        <f>0.062</f>
        <v>6.2E-2</v>
      </c>
      <c r="BG243" t="s">
        <v>167</v>
      </c>
      <c r="BH243">
        <f>1.3</f>
        <v>1.3</v>
      </c>
      <c r="BK243">
        <f>0.66</f>
        <v>0.66</v>
      </c>
      <c r="EL243">
        <f>0.28</f>
        <v>0.28000000000000003</v>
      </c>
      <c r="EM243" t="s">
        <v>166</v>
      </c>
      <c r="EN243">
        <f>0.53</f>
        <v>0.53</v>
      </c>
      <c r="EO243">
        <f>0.65</f>
        <v>0.65</v>
      </c>
      <c r="ER243">
        <f>1.5</f>
        <v>1.5</v>
      </c>
    </row>
    <row r="244" spans="1:148" x14ac:dyDescent="0.25">
      <c r="A244" t="s">
        <v>1017</v>
      </c>
      <c r="B244" t="s">
        <v>148</v>
      </c>
      <c r="C244" s="1">
        <v>45726</v>
      </c>
      <c r="D244" t="s">
        <v>269</v>
      </c>
      <c r="E244" t="s">
        <v>295</v>
      </c>
      <c r="F244" t="s">
        <v>331</v>
      </c>
      <c r="G244" t="s">
        <v>1018</v>
      </c>
      <c r="H244">
        <v>150</v>
      </c>
      <c r="I244" t="s">
        <v>1018</v>
      </c>
      <c r="J244">
        <v>3950</v>
      </c>
      <c r="K244" t="s">
        <v>5254</v>
      </c>
      <c r="L244" t="s">
        <v>191</v>
      </c>
      <c r="M244" t="s">
        <v>1019</v>
      </c>
      <c r="N244" t="s">
        <v>1020</v>
      </c>
      <c r="O244" t="s">
        <v>1021</v>
      </c>
      <c r="R244">
        <f>1</f>
        <v>1</v>
      </c>
      <c r="S244">
        <f>9.8</f>
        <v>9.8000000000000007</v>
      </c>
      <c r="T244">
        <f>7.7</f>
        <v>7.7</v>
      </c>
      <c r="U244">
        <f>431</f>
        <v>431</v>
      </c>
      <c r="V244">
        <f>0.06</f>
        <v>0.06</v>
      </c>
      <c r="X244">
        <f>0</f>
        <v>0</v>
      </c>
      <c r="Y244">
        <f>0.08</f>
        <v>0.08</v>
      </c>
      <c r="Z244">
        <f>0</f>
        <v>0</v>
      </c>
      <c r="AA244" t="s">
        <v>158</v>
      </c>
      <c r="AB244" t="s">
        <v>158</v>
      </c>
      <c r="AD244">
        <f>0</f>
        <v>0</v>
      </c>
      <c r="AE244">
        <f>0</f>
        <v>0</v>
      </c>
    </row>
    <row r="245" spans="1:148" x14ac:dyDescent="0.25">
      <c r="A245" t="s">
        <v>1022</v>
      </c>
      <c r="B245" t="s">
        <v>148</v>
      </c>
      <c r="C245" s="1">
        <v>45734</v>
      </c>
      <c r="D245" t="s">
        <v>317</v>
      </c>
      <c r="E245" t="s">
        <v>318</v>
      </c>
      <c r="F245" t="s">
        <v>360</v>
      </c>
      <c r="G245" t="s">
        <v>1023</v>
      </c>
      <c r="H245">
        <v>59</v>
      </c>
      <c r="I245" t="s">
        <v>1023</v>
      </c>
      <c r="J245">
        <v>1289</v>
      </c>
      <c r="K245" t="s">
        <v>5254</v>
      </c>
      <c r="L245" t="s">
        <v>180</v>
      </c>
      <c r="M245" t="s">
        <v>5888</v>
      </c>
      <c r="N245" t="s">
        <v>1024</v>
      </c>
      <c r="O245" t="s">
        <v>1025</v>
      </c>
      <c r="Q245" t="s">
        <v>329</v>
      </c>
      <c r="R245">
        <f>1</f>
        <v>1</v>
      </c>
      <c r="S245">
        <f>9.6</f>
        <v>9.6</v>
      </c>
      <c r="T245">
        <f>7.6</f>
        <v>7.6</v>
      </c>
      <c r="U245">
        <f>294</f>
        <v>294</v>
      </c>
      <c r="X245">
        <f>0</f>
        <v>0</v>
      </c>
      <c r="Y245" t="s">
        <v>157</v>
      </c>
      <c r="Z245">
        <f>0</f>
        <v>0</v>
      </c>
      <c r="AA245">
        <f>1</f>
        <v>1</v>
      </c>
      <c r="AB245">
        <f>0</f>
        <v>0</v>
      </c>
      <c r="AD245">
        <f>0</f>
        <v>0</v>
      </c>
      <c r="AE245">
        <f>0</f>
        <v>0</v>
      </c>
      <c r="AH245" t="s">
        <v>157</v>
      </c>
      <c r="AI245" t="s">
        <v>167</v>
      </c>
      <c r="AL245" t="s">
        <v>168</v>
      </c>
      <c r="AM245" t="s">
        <v>216</v>
      </c>
      <c r="AN245">
        <f>5.8</f>
        <v>5.8</v>
      </c>
      <c r="AO245">
        <f>0.116</f>
        <v>0.11600000000000001</v>
      </c>
      <c r="AP245">
        <f>2.8</f>
        <v>2.8</v>
      </c>
      <c r="AQ245" t="s">
        <v>167</v>
      </c>
      <c r="AR245" t="s">
        <v>167</v>
      </c>
      <c r="AS245">
        <f>0.32</f>
        <v>0.32</v>
      </c>
      <c r="AY245" t="s">
        <v>158</v>
      </c>
      <c r="AZ245" t="s">
        <v>158</v>
      </c>
      <c r="BA245" t="s">
        <v>216</v>
      </c>
      <c r="BB245" t="s">
        <v>158</v>
      </c>
      <c r="BC245" t="s">
        <v>167</v>
      </c>
      <c r="BD245" t="s">
        <v>167</v>
      </c>
      <c r="BE245" t="s">
        <v>216</v>
      </c>
      <c r="BF245" t="s">
        <v>167</v>
      </c>
      <c r="BG245" t="s">
        <v>158</v>
      </c>
      <c r="BH245" t="s">
        <v>167</v>
      </c>
      <c r="BK245" t="s">
        <v>158</v>
      </c>
    </row>
    <row r="246" spans="1:148" x14ac:dyDescent="0.25">
      <c r="A246" t="s">
        <v>1026</v>
      </c>
      <c r="B246" t="s">
        <v>148</v>
      </c>
      <c r="C246" s="1">
        <v>45840</v>
      </c>
      <c r="D246" t="s">
        <v>189</v>
      </c>
      <c r="E246" t="s">
        <v>284</v>
      </c>
      <c r="F246" t="s">
        <v>285</v>
      </c>
      <c r="G246" t="s">
        <v>286</v>
      </c>
      <c r="H246">
        <v>197</v>
      </c>
      <c r="I246" t="s">
        <v>287</v>
      </c>
      <c r="J246">
        <v>19851</v>
      </c>
      <c r="K246" t="s">
        <v>5257</v>
      </c>
      <c r="L246" t="s">
        <v>4943</v>
      </c>
      <c r="M246" t="s">
        <v>1027</v>
      </c>
      <c r="N246" t="s">
        <v>1028</v>
      </c>
      <c r="O246" t="s">
        <v>1029</v>
      </c>
      <c r="R246">
        <f>1</f>
        <v>1</v>
      </c>
      <c r="S246">
        <f>20.7</f>
        <v>20.7</v>
      </c>
      <c r="T246">
        <f>7.9</f>
        <v>7.9</v>
      </c>
      <c r="U246">
        <f>334</f>
        <v>334</v>
      </c>
      <c r="X246">
        <f>0</f>
        <v>0</v>
      </c>
      <c r="Y246" t="s">
        <v>207</v>
      </c>
      <c r="Z246">
        <f>0</f>
        <v>0</v>
      </c>
      <c r="AA246" t="s">
        <v>158</v>
      </c>
      <c r="AB246" t="s">
        <v>158</v>
      </c>
      <c r="AC246">
        <f>0</f>
        <v>0</v>
      </c>
      <c r="AD246">
        <f>0</f>
        <v>0</v>
      </c>
      <c r="AE246">
        <f>0</f>
        <v>0</v>
      </c>
      <c r="AH246" t="s">
        <v>166</v>
      </c>
      <c r="AI246">
        <f>0.9</f>
        <v>0.9</v>
      </c>
      <c r="AL246" t="s">
        <v>216</v>
      </c>
      <c r="AM246" t="s">
        <v>266</v>
      </c>
      <c r="AN246">
        <f>4.17</f>
        <v>4.17</v>
      </c>
      <c r="AO246">
        <f>0.083</f>
        <v>8.3000000000000004E-2</v>
      </c>
      <c r="AP246">
        <f>2.58</f>
        <v>2.58</v>
      </c>
      <c r="AQ246">
        <f>2.55</f>
        <v>2.5499999999999998</v>
      </c>
      <c r="AR246" t="s">
        <v>209</v>
      </c>
      <c r="AS246">
        <f>1.7</f>
        <v>1.7</v>
      </c>
      <c r="AY246">
        <f>0.11</f>
        <v>0.11</v>
      </c>
      <c r="AZ246" t="s">
        <v>208</v>
      </c>
      <c r="BA246">
        <f>0.0026</f>
        <v>2.5999999999999999E-3</v>
      </c>
      <c r="BB246">
        <f>7.5</f>
        <v>7.5</v>
      </c>
      <c r="BC246" t="s">
        <v>209</v>
      </c>
      <c r="BD246" t="s">
        <v>157</v>
      </c>
      <c r="BE246">
        <f>0.0081</f>
        <v>8.0999999999999996E-3</v>
      </c>
      <c r="BF246">
        <f>0.021</f>
        <v>2.1000000000000001E-2</v>
      </c>
      <c r="BG246" t="s">
        <v>237</v>
      </c>
      <c r="BH246" t="s">
        <v>157</v>
      </c>
      <c r="BK246">
        <f>0.31</f>
        <v>0.31</v>
      </c>
      <c r="EL246">
        <f>10</f>
        <v>10</v>
      </c>
      <c r="EM246" t="s">
        <v>238</v>
      </c>
      <c r="EN246">
        <f>2.9</f>
        <v>2.9</v>
      </c>
      <c r="EO246">
        <f>0.6</f>
        <v>0.6</v>
      </c>
      <c r="ER246">
        <f>14</f>
        <v>14</v>
      </c>
    </row>
    <row r="247" spans="1:148" x14ac:dyDescent="0.25">
      <c r="A247" t="s">
        <v>1030</v>
      </c>
      <c r="B247" t="s">
        <v>148</v>
      </c>
      <c r="C247" s="1">
        <v>45729</v>
      </c>
      <c r="D247" t="s">
        <v>189</v>
      </c>
      <c r="E247" t="s">
        <v>190</v>
      </c>
      <c r="F247" t="s">
        <v>5849</v>
      </c>
      <c r="G247" t="s">
        <v>711</v>
      </c>
      <c r="H247">
        <v>328</v>
      </c>
      <c r="I247" t="s">
        <v>711</v>
      </c>
      <c r="J247">
        <v>19000</v>
      </c>
      <c r="K247" t="s">
        <v>5257</v>
      </c>
      <c r="L247" t="s">
        <v>712</v>
      </c>
      <c r="M247" t="s">
        <v>5375</v>
      </c>
      <c r="N247" t="s">
        <v>1031</v>
      </c>
      <c r="O247" t="s">
        <v>1032</v>
      </c>
      <c r="R247">
        <f>1</f>
        <v>1</v>
      </c>
      <c r="S247">
        <f>13.1</f>
        <v>13.1</v>
      </c>
      <c r="T247">
        <f>7.6</f>
        <v>7.6</v>
      </c>
      <c r="U247">
        <f>522</f>
        <v>522</v>
      </c>
      <c r="V247">
        <f>0.13</f>
        <v>0.13</v>
      </c>
      <c r="X247">
        <f>0</f>
        <v>0</v>
      </c>
      <c r="Y247">
        <f>0.24</f>
        <v>0.24</v>
      </c>
      <c r="Z247">
        <f>0</f>
        <v>0</v>
      </c>
      <c r="AA247">
        <f>1</f>
        <v>1</v>
      </c>
      <c r="AB247">
        <f>3</f>
        <v>3</v>
      </c>
      <c r="AC247">
        <f>0</f>
        <v>0</v>
      </c>
      <c r="AD247">
        <f>0</f>
        <v>0</v>
      </c>
      <c r="AE247">
        <f>0</f>
        <v>0</v>
      </c>
      <c r="AH247" t="s">
        <v>157</v>
      </c>
    </row>
    <row r="248" spans="1:148" x14ac:dyDescent="0.25">
      <c r="A248" t="s">
        <v>1033</v>
      </c>
      <c r="B248" t="s">
        <v>148</v>
      </c>
      <c r="C248" s="1">
        <v>45728</v>
      </c>
      <c r="D248" t="s">
        <v>149</v>
      </c>
      <c r="E248" t="s">
        <v>150</v>
      </c>
      <c r="F248" t="s">
        <v>613</v>
      </c>
      <c r="G248" t="s">
        <v>614</v>
      </c>
      <c r="H248">
        <v>1824</v>
      </c>
      <c r="I248" t="s">
        <v>5103</v>
      </c>
      <c r="J248">
        <v>5600</v>
      </c>
      <c r="K248" t="s">
        <v>5254</v>
      </c>
      <c r="M248" t="s">
        <v>1034</v>
      </c>
      <c r="N248" t="s">
        <v>4741</v>
      </c>
      <c r="O248" t="s">
        <v>1035</v>
      </c>
      <c r="R248">
        <f>1</f>
        <v>1</v>
      </c>
      <c r="S248">
        <f>8.6</f>
        <v>8.6</v>
      </c>
      <c r="T248">
        <f>7</f>
        <v>7</v>
      </c>
      <c r="U248">
        <f>400</f>
        <v>400</v>
      </c>
      <c r="X248">
        <f>0</f>
        <v>0</v>
      </c>
      <c r="Y248">
        <f>0.1</f>
        <v>0.1</v>
      </c>
      <c r="Z248">
        <f>0</f>
        <v>0</v>
      </c>
      <c r="AA248">
        <f>49</f>
        <v>49</v>
      </c>
      <c r="AB248">
        <f>25</f>
        <v>25</v>
      </c>
      <c r="AD248">
        <f>0</f>
        <v>0</v>
      </c>
      <c r="AE248">
        <f>0</f>
        <v>0</v>
      </c>
      <c r="AH248" t="s">
        <v>157</v>
      </c>
    </row>
    <row r="249" spans="1:148" x14ac:dyDescent="0.25">
      <c r="A249" t="s">
        <v>1036</v>
      </c>
      <c r="B249" t="s">
        <v>148</v>
      </c>
      <c r="C249" s="1">
        <v>45727</v>
      </c>
      <c r="D249" t="s">
        <v>175</v>
      </c>
      <c r="E249" t="s">
        <v>270</v>
      </c>
      <c r="F249" t="s">
        <v>354</v>
      </c>
      <c r="G249" t="s">
        <v>6540</v>
      </c>
      <c r="H249">
        <v>692</v>
      </c>
      <c r="I249" t="s">
        <v>779</v>
      </c>
      <c r="J249">
        <v>9259</v>
      </c>
      <c r="K249" t="s">
        <v>5257</v>
      </c>
      <c r="L249" t="s">
        <v>355</v>
      </c>
      <c r="M249" t="s">
        <v>1037</v>
      </c>
      <c r="N249" t="s">
        <v>1038</v>
      </c>
      <c r="O249" t="s">
        <v>1039</v>
      </c>
      <c r="R249">
        <f>1</f>
        <v>1</v>
      </c>
      <c r="S249">
        <f>5.7</f>
        <v>5.7</v>
      </c>
      <c r="T249">
        <f>7.8</f>
        <v>7.8</v>
      </c>
      <c r="U249">
        <f>474</f>
        <v>474</v>
      </c>
      <c r="V249">
        <f>0.16</f>
        <v>0.16</v>
      </c>
      <c r="X249">
        <f>0</f>
        <v>0</v>
      </c>
      <c r="Y249" t="s">
        <v>207</v>
      </c>
      <c r="Z249">
        <f>0</f>
        <v>0</v>
      </c>
      <c r="AA249" t="s">
        <v>158</v>
      </c>
      <c r="AB249" t="s">
        <v>158</v>
      </c>
      <c r="AC249">
        <f>0</f>
        <v>0</v>
      </c>
      <c r="AD249">
        <f>0</f>
        <v>0</v>
      </c>
      <c r="AE249">
        <f>0</f>
        <v>0</v>
      </c>
    </row>
    <row r="250" spans="1:148" x14ac:dyDescent="0.25">
      <c r="A250" t="s">
        <v>1040</v>
      </c>
      <c r="B250" t="s">
        <v>148</v>
      </c>
      <c r="C250" s="1">
        <v>45720</v>
      </c>
      <c r="D250" t="s">
        <v>242</v>
      </c>
      <c r="E250" t="s">
        <v>243</v>
      </c>
      <c r="F250" t="s">
        <v>244</v>
      </c>
      <c r="G250" t="s">
        <v>1041</v>
      </c>
      <c r="H250">
        <v>721</v>
      </c>
      <c r="I250" t="s">
        <v>5376</v>
      </c>
      <c r="J250">
        <v>1167</v>
      </c>
      <c r="K250" t="s">
        <v>5257</v>
      </c>
      <c r="L250" t="s">
        <v>1042</v>
      </c>
      <c r="M250" t="s">
        <v>1043</v>
      </c>
      <c r="N250" t="s">
        <v>1044</v>
      </c>
      <c r="O250" t="s">
        <v>1045</v>
      </c>
      <c r="R250">
        <f>1</f>
        <v>1</v>
      </c>
      <c r="S250">
        <f>12.9</f>
        <v>12.9</v>
      </c>
      <c r="T250">
        <f>7.9</f>
        <v>7.9</v>
      </c>
      <c r="U250">
        <f>476</f>
        <v>476</v>
      </c>
      <c r="V250">
        <f>0.19</f>
        <v>0.19</v>
      </c>
      <c r="X250">
        <f>0</f>
        <v>0</v>
      </c>
      <c r="Y250" t="s">
        <v>157</v>
      </c>
      <c r="Z250">
        <f>0</f>
        <v>0</v>
      </c>
      <c r="AA250" t="s">
        <v>158</v>
      </c>
      <c r="AB250" t="s">
        <v>158</v>
      </c>
      <c r="AD250">
        <f>0</f>
        <v>0</v>
      </c>
      <c r="AE250">
        <f>0</f>
        <v>0</v>
      </c>
      <c r="AH250" t="s">
        <v>157</v>
      </c>
    </row>
    <row r="251" spans="1:148" x14ac:dyDescent="0.25">
      <c r="A251" t="s">
        <v>1046</v>
      </c>
      <c r="B251" t="s">
        <v>148</v>
      </c>
      <c r="C251" s="1">
        <v>45831</v>
      </c>
      <c r="D251" t="s">
        <v>222</v>
      </c>
      <c r="E251" t="s">
        <v>223</v>
      </c>
      <c r="F251" t="s">
        <v>429</v>
      </c>
      <c r="G251" t="s">
        <v>1047</v>
      </c>
      <c r="H251">
        <v>1282</v>
      </c>
      <c r="I251" t="s">
        <v>1047</v>
      </c>
      <c r="J251">
        <v>1458</v>
      </c>
      <c r="K251" t="s">
        <v>5254</v>
      </c>
      <c r="L251" t="s">
        <v>4947</v>
      </c>
      <c r="M251" t="s">
        <v>5377</v>
      </c>
      <c r="N251" t="s">
        <v>5889</v>
      </c>
      <c r="O251" t="s">
        <v>1048</v>
      </c>
      <c r="Q251" t="s">
        <v>6298</v>
      </c>
      <c r="R251">
        <f>1</f>
        <v>1</v>
      </c>
      <c r="S251">
        <f>14.8</f>
        <v>14.8</v>
      </c>
      <c r="T251">
        <f>8</f>
        <v>8</v>
      </c>
      <c r="U251">
        <f>391</f>
        <v>391</v>
      </c>
      <c r="V251">
        <f>0.16</f>
        <v>0.16</v>
      </c>
      <c r="X251">
        <f>1</f>
        <v>1</v>
      </c>
      <c r="Y251">
        <f>0.1</f>
        <v>0.1</v>
      </c>
      <c r="Z251">
        <f>0</f>
        <v>0</v>
      </c>
      <c r="AA251">
        <f>1</f>
        <v>1</v>
      </c>
      <c r="AB251">
        <f>6</f>
        <v>6</v>
      </c>
      <c r="AD251">
        <f>0</f>
        <v>0</v>
      </c>
      <c r="AE251">
        <f>0</f>
        <v>0</v>
      </c>
      <c r="AH251" t="s">
        <v>166</v>
      </c>
    </row>
    <row r="252" spans="1:148" x14ac:dyDescent="0.25">
      <c r="A252" t="s">
        <v>1049</v>
      </c>
      <c r="B252" t="s">
        <v>148</v>
      </c>
      <c r="C252" s="1">
        <v>45726</v>
      </c>
      <c r="D252" t="s">
        <v>222</v>
      </c>
      <c r="E252" t="s">
        <v>223</v>
      </c>
      <c r="F252" t="s">
        <v>469</v>
      </c>
      <c r="G252" t="s">
        <v>1050</v>
      </c>
      <c r="H252">
        <v>373</v>
      </c>
      <c r="I252" t="s">
        <v>1050</v>
      </c>
      <c r="J252">
        <v>1489</v>
      </c>
      <c r="K252" t="s">
        <v>5257</v>
      </c>
      <c r="L252" t="s">
        <v>393</v>
      </c>
      <c r="M252" t="s">
        <v>1051</v>
      </c>
      <c r="N252" t="s">
        <v>4742</v>
      </c>
      <c r="O252" t="s">
        <v>1052</v>
      </c>
      <c r="Q252" t="s">
        <v>6298</v>
      </c>
      <c r="R252">
        <f>1</f>
        <v>1</v>
      </c>
      <c r="S252">
        <f>9.8</f>
        <v>9.8000000000000007</v>
      </c>
      <c r="T252">
        <f>8</f>
        <v>8</v>
      </c>
      <c r="U252">
        <f>223</f>
        <v>223</v>
      </c>
      <c r="V252">
        <f>0.12</f>
        <v>0.12</v>
      </c>
      <c r="X252">
        <f>1</f>
        <v>1</v>
      </c>
      <c r="Y252">
        <f>0.08</f>
        <v>0.08</v>
      </c>
      <c r="Z252">
        <f>0</f>
        <v>0</v>
      </c>
      <c r="AA252">
        <f>0</f>
        <v>0</v>
      </c>
      <c r="AB252">
        <f>0</f>
        <v>0</v>
      </c>
      <c r="AC252">
        <f>0</f>
        <v>0</v>
      </c>
      <c r="AD252">
        <f>0</f>
        <v>0</v>
      </c>
      <c r="AE252">
        <f>0</f>
        <v>0</v>
      </c>
      <c r="AH252" t="s">
        <v>166</v>
      </c>
    </row>
    <row r="253" spans="1:148" x14ac:dyDescent="0.25">
      <c r="A253" t="s">
        <v>1053</v>
      </c>
      <c r="B253" t="s">
        <v>148</v>
      </c>
      <c r="C253" s="1">
        <v>45741</v>
      </c>
      <c r="D253" t="s">
        <v>222</v>
      </c>
      <c r="E253" t="s">
        <v>223</v>
      </c>
      <c r="F253" t="s">
        <v>224</v>
      </c>
      <c r="G253" t="s">
        <v>1054</v>
      </c>
      <c r="H253">
        <v>1392</v>
      </c>
      <c r="I253" t="s">
        <v>1054</v>
      </c>
      <c r="J253">
        <v>601</v>
      </c>
      <c r="K253" t="s">
        <v>5254</v>
      </c>
      <c r="L253" t="s">
        <v>4947</v>
      </c>
      <c r="M253" t="s">
        <v>5378</v>
      </c>
      <c r="N253" t="s">
        <v>5890</v>
      </c>
      <c r="O253" t="s">
        <v>1055</v>
      </c>
      <c r="R253">
        <f>1</f>
        <v>1</v>
      </c>
      <c r="S253">
        <f>11.8</f>
        <v>11.8</v>
      </c>
      <c r="T253">
        <f>8</f>
        <v>8</v>
      </c>
      <c r="U253">
        <f>259</f>
        <v>259</v>
      </c>
      <c r="X253">
        <f>1</f>
        <v>1</v>
      </c>
      <c r="Y253">
        <f>0.22</f>
        <v>0.22</v>
      </c>
      <c r="Z253">
        <f>0</f>
        <v>0</v>
      </c>
      <c r="AA253">
        <f>0</f>
        <v>0</v>
      </c>
      <c r="AB253">
        <f>0</f>
        <v>0</v>
      </c>
      <c r="AD253">
        <f>0</f>
        <v>0</v>
      </c>
      <c r="AE253">
        <f>0</f>
        <v>0</v>
      </c>
      <c r="AH253" t="s">
        <v>166</v>
      </c>
    </row>
    <row r="254" spans="1:148" x14ac:dyDescent="0.25">
      <c r="A254" t="s">
        <v>1056</v>
      </c>
      <c r="B254" t="s">
        <v>148</v>
      </c>
      <c r="C254" s="1">
        <v>45712</v>
      </c>
      <c r="D254" t="s">
        <v>189</v>
      </c>
      <c r="E254" t="s">
        <v>284</v>
      </c>
      <c r="F254" t="s">
        <v>285</v>
      </c>
      <c r="G254" t="s">
        <v>286</v>
      </c>
      <c r="H254">
        <v>197</v>
      </c>
      <c r="I254" t="s">
        <v>287</v>
      </c>
      <c r="J254">
        <v>19851</v>
      </c>
      <c r="K254" t="s">
        <v>5257</v>
      </c>
      <c r="L254" t="s">
        <v>4943</v>
      </c>
      <c r="M254" t="s">
        <v>1057</v>
      </c>
      <c r="N254" t="s">
        <v>1058</v>
      </c>
      <c r="O254" t="s">
        <v>1059</v>
      </c>
      <c r="Q254" t="s">
        <v>6329</v>
      </c>
      <c r="R254">
        <f>1</f>
        <v>1</v>
      </c>
      <c r="S254">
        <f>6.5</f>
        <v>6.5</v>
      </c>
      <c r="T254">
        <f>8</f>
        <v>8</v>
      </c>
      <c r="U254">
        <f>334</f>
        <v>334</v>
      </c>
      <c r="V254" t="s">
        <v>168</v>
      </c>
      <c r="X254">
        <f>0</f>
        <v>0</v>
      </c>
      <c r="Y254" t="s">
        <v>157</v>
      </c>
      <c r="Z254">
        <f>0</f>
        <v>0</v>
      </c>
      <c r="AA254">
        <f>4</f>
        <v>4</v>
      </c>
      <c r="AB254">
        <f>2</f>
        <v>2</v>
      </c>
      <c r="AC254">
        <f>0</f>
        <v>0</v>
      </c>
      <c r="AD254">
        <f>0</f>
        <v>0</v>
      </c>
      <c r="AE254">
        <f>0</f>
        <v>0</v>
      </c>
      <c r="AH254" t="s">
        <v>157</v>
      </c>
      <c r="BB254">
        <f>7.6</f>
        <v>7.6</v>
      </c>
    </row>
    <row r="255" spans="1:148" x14ac:dyDescent="0.25">
      <c r="A255" t="s">
        <v>1060</v>
      </c>
      <c r="B255" t="s">
        <v>148</v>
      </c>
      <c r="C255" s="1">
        <v>45722</v>
      </c>
      <c r="D255" t="s">
        <v>311</v>
      </c>
      <c r="E255" t="s">
        <v>312</v>
      </c>
      <c r="F255" t="s">
        <v>418</v>
      </c>
      <c r="G255" t="s">
        <v>419</v>
      </c>
      <c r="H255">
        <v>1586</v>
      </c>
      <c r="I255" t="s">
        <v>993</v>
      </c>
      <c r="J255">
        <v>7900</v>
      </c>
      <c r="K255" t="s">
        <v>5254</v>
      </c>
      <c r="M255" t="s">
        <v>1061</v>
      </c>
      <c r="N255" t="s">
        <v>1062</v>
      </c>
      <c r="O255" t="s">
        <v>1063</v>
      </c>
      <c r="R255">
        <f>1</f>
        <v>1</v>
      </c>
      <c r="S255">
        <f>10.9</f>
        <v>10.9</v>
      </c>
      <c r="T255">
        <f>7.6</f>
        <v>7.6</v>
      </c>
      <c r="U255">
        <f>491</f>
        <v>491</v>
      </c>
      <c r="X255">
        <f>0</f>
        <v>0</v>
      </c>
      <c r="Y255" t="s">
        <v>157</v>
      </c>
      <c r="Z255">
        <f>0</f>
        <v>0</v>
      </c>
      <c r="AA255" t="s">
        <v>158</v>
      </c>
      <c r="AB255" t="s">
        <v>158</v>
      </c>
      <c r="AD255">
        <f>0</f>
        <v>0</v>
      </c>
      <c r="AE255">
        <f>0</f>
        <v>0</v>
      </c>
      <c r="AH255" t="s">
        <v>157</v>
      </c>
    </row>
    <row r="256" spans="1:148" x14ac:dyDescent="0.25">
      <c r="A256" t="s">
        <v>1064</v>
      </c>
      <c r="B256" t="s">
        <v>148</v>
      </c>
      <c r="C256" s="1">
        <v>45721</v>
      </c>
      <c r="D256" t="s">
        <v>311</v>
      </c>
      <c r="E256" t="s">
        <v>312</v>
      </c>
      <c r="F256" t="s">
        <v>418</v>
      </c>
      <c r="G256" t="s">
        <v>419</v>
      </c>
      <c r="H256">
        <v>1585</v>
      </c>
      <c r="I256" t="s">
        <v>996</v>
      </c>
      <c r="J256">
        <v>8100</v>
      </c>
      <c r="K256" t="s">
        <v>5254</v>
      </c>
      <c r="L256" t="s">
        <v>726</v>
      </c>
      <c r="M256" t="s">
        <v>5119</v>
      </c>
      <c r="N256" t="s">
        <v>1065</v>
      </c>
      <c r="O256" t="s">
        <v>1066</v>
      </c>
      <c r="R256">
        <f>1</f>
        <v>1</v>
      </c>
      <c r="S256">
        <f>9.1</f>
        <v>9.1</v>
      </c>
      <c r="T256">
        <f>7.7</f>
        <v>7.7</v>
      </c>
      <c r="U256">
        <f>422</f>
        <v>422</v>
      </c>
      <c r="V256" t="s">
        <v>157</v>
      </c>
      <c r="X256">
        <f>0</f>
        <v>0</v>
      </c>
      <c r="Y256">
        <f>0.1</f>
        <v>0.1</v>
      </c>
      <c r="Z256">
        <f>0</f>
        <v>0</v>
      </c>
      <c r="AA256" t="s">
        <v>158</v>
      </c>
      <c r="AB256" t="s">
        <v>158</v>
      </c>
      <c r="AD256">
        <f>0</f>
        <v>0</v>
      </c>
      <c r="AE256">
        <f>0</f>
        <v>0</v>
      </c>
      <c r="AH256" t="s">
        <v>157</v>
      </c>
    </row>
    <row r="257" spans="1:149" x14ac:dyDescent="0.25">
      <c r="A257" t="s">
        <v>1067</v>
      </c>
      <c r="B257" t="s">
        <v>148</v>
      </c>
      <c r="C257" s="1">
        <v>45719</v>
      </c>
      <c r="D257" t="s">
        <v>242</v>
      </c>
      <c r="E257" t="s">
        <v>295</v>
      </c>
      <c r="F257" t="s">
        <v>4944</v>
      </c>
      <c r="G257" t="s">
        <v>1068</v>
      </c>
      <c r="H257">
        <v>827</v>
      </c>
      <c r="I257" t="s">
        <v>1068</v>
      </c>
      <c r="J257">
        <v>1697</v>
      </c>
      <c r="K257" t="s">
        <v>5254</v>
      </c>
      <c r="L257" t="s">
        <v>180</v>
      </c>
      <c r="M257" t="s">
        <v>5379</v>
      </c>
      <c r="N257" t="s">
        <v>1069</v>
      </c>
      <c r="O257" t="s">
        <v>1070</v>
      </c>
      <c r="R257">
        <f>1</f>
        <v>1</v>
      </c>
      <c r="S257">
        <f>7.1</f>
        <v>7.1</v>
      </c>
      <c r="T257">
        <f>7.5</f>
        <v>7.5</v>
      </c>
      <c r="U257">
        <f>560</f>
        <v>560</v>
      </c>
      <c r="X257">
        <f>0</f>
        <v>0</v>
      </c>
      <c r="Y257" t="s">
        <v>207</v>
      </c>
      <c r="Z257">
        <f>0</f>
        <v>0</v>
      </c>
      <c r="AA257" t="s">
        <v>158</v>
      </c>
      <c r="AB257" t="s">
        <v>158</v>
      </c>
      <c r="AD257">
        <f>0</f>
        <v>0</v>
      </c>
      <c r="AE257">
        <f>0</f>
        <v>0</v>
      </c>
      <c r="AH257" t="s">
        <v>166</v>
      </c>
      <c r="AI257">
        <f>0.33</f>
        <v>0.33</v>
      </c>
      <c r="AL257" t="s">
        <v>216</v>
      </c>
      <c r="AM257" t="s">
        <v>266</v>
      </c>
      <c r="AN257">
        <f>3.46</f>
        <v>3.46</v>
      </c>
      <c r="AO257">
        <f>0.069</f>
        <v>6.9000000000000006E-2</v>
      </c>
      <c r="AP257">
        <f>8.56</f>
        <v>8.56</v>
      </c>
      <c r="AQ257">
        <f>1.99</f>
        <v>1.99</v>
      </c>
      <c r="AR257">
        <f>0.065</f>
        <v>6.5000000000000002E-2</v>
      </c>
      <c r="AS257">
        <f>1.4</f>
        <v>1.4</v>
      </c>
      <c r="AY257" t="s">
        <v>157</v>
      </c>
      <c r="AZ257" t="s">
        <v>208</v>
      </c>
      <c r="BA257">
        <f>0.0036</f>
        <v>3.5999999999999999E-3</v>
      </c>
      <c r="BB257">
        <f>1.3</f>
        <v>1.3</v>
      </c>
      <c r="BC257">
        <f>0.072</f>
        <v>7.1999999999999995E-2</v>
      </c>
      <c r="BD257">
        <f>0.35</f>
        <v>0.35</v>
      </c>
      <c r="BE257">
        <f>0.0043</f>
        <v>4.3E-3</v>
      </c>
      <c r="BF257" t="s">
        <v>168</v>
      </c>
      <c r="BG257">
        <f>0.4</f>
        <v>0.4</v>
      </c>
      <c r="BH257" t="s">
        <v>157</v>
      </c>
      <c r="BK257">
        <f>0.23</f>
        <v>0.23</v>
      </c>
    </row>
    <row r="258" spans="1:149" x14ac:dyDescent="0.25">
      <c r="A258" t="s">
        <v>1071</v>
      </c>
      <c r="B258" t="s">
        <v>148</v>
      </c>
      <c r="C258" s="1">
        <v>45806</v>
      </c>
      <c r="D258" t="s">
        <v>149</v>
      </c>
      <c r="E258" t="s">
        <v>150</v>
      </c>
      <c r="F258" t="s">
        <v>5770</v>
      </c>
      <c r="G258" t="s">
        <v>170</v>
      </c>
      <c r="H258">
        <v>1818</v>
      </c>
      <c r="I258" t="s">
        <v>1072</v>
      </c>
      <c r="J258">
        <v>2700</v>
      </c>
      <c r="K258" t="s">
        <v>5254</v>
      </c>
      <c r="M258" t="s">
        <v>6589</v>
      </c>
      <c r="N258" t="s">
        <v>6590</v>
      </c>
      <c r="O258" t="s">
        <v>1073</v>
      </c>
      <c r="Q258" t="s">
        <v>6330</v>
      </c>
      <c r="R258">
        <f>1</f>
        <v>1</v>
      </c>
      <c r="S258">
        <f>18</f>
        <v>18</v>
      </c>
      <c r="T258">
        <f>7.2</f>
        <v>7.2</v>
      </c>
      <c r="U258">
        <f>523</f>
        <v>523</v>
      </c>
      <c r="X258">
        <f>0</f>
        <v>0</v>
      </c>
      <c r="Y258">
        <f>0.1</f>
        <v>0.1</v>
      </c>
      <c r="Z258">
        <f>0</f>
        <v>0</v>
      </c>
      <c r="AA258">
        <f>14</f>
        <v>14</v>
      </c>
      <c r="AB258">
        <f>12</f>
        <v>12</v>
      </c>
      <c r="AD258">
        <f>0</f>
        <v>0</v>
      </c>
      <c r="AE258">
        <f>0</f>
        <v>0</v>
      </c>
      <c r="AH258" t="s">
        <v>157</v>
      </c>
      <c r="AI258">
        <f>0.5</f>
        <v>0.5</v>
      </c>
      <c r="AL258" t="s">
        <v>164</v>
      </c>
      <c r="AM258" t="s">
        <v>165</v>
      </c>
      <c r="AN258">
        <f>9.3</f>
        <v>9.3000000000000007</v>
      </c>
      <c r="AO258">
        <f>0.19</f>
        <v>0.19</v>
      </c>
      <c r="AP258">
        <f>33</f>
        <v>33</v>
      </c>
      <c r="AQ258">
        <f>21</f>
        <v>21</v>
      </c>
      <c r="AR258" t="s">
        <v>157</v>
      </c>
      <c r="AS258">
        <f>11</f>
        <v>11</v>
      </c>
      <c r="AY258">
        <f>34</f>
        <v>34</v>
      </c>
      <c r="AZ258">
        <f>15</f>
        <v>15</v>
      </c>
      <c r="BA258">
        <f>0.034</f>
        <v>3.4000000000000002E-2</v>
      </c>
      <c r="BB258">
        <f>22</f>
        <v>22</v>
      </c>
      <c r="BC258" t="s">
        <v>166</v>
      </c>
      <c r="BD258" t="s">
        <v>167</v>
      </c>
      <c r="BE258">
        <f>0.0034</f>
        <v>3.3999999999999998E-3</v>
      </c>
      <c r="BF258" t="s">
        <v>168</v>
      </c>
      <c r="BG258" t="s">
        <v>167</v>
      </c>
      <c r="BH258">
        <f>2.2</f>
        <v>2.2000000000000002</v>
      </c>
      <c r="BK258">
        <f>1</f>
        <v>1</v>
      </c>
      <c r="BL258" t="s">
        <v>168</v>
      </c>
      <c r="BM258" t="s">
        <v>168</v>
      </c>
      <c r="BN258" t="s">
        <v>168</v>
      </c>
      <c r="BO258" t="s">
        <v>168</v>
      </c>
      <c r="BP258" t="s">
        <v>168</v>
      </c>
      <c r="BQ258" t="s">
        <v>168</v>
      </c>
      <c r="BR258" t="s">
        <v>168</v>
      </c>
      <c r="BS258" t="s">
        <v>168</v>
      </c>
      <c r="BT258" t="s">
        <v>216</v>
      </c>
      <c r="BU258" t="s">
        <v>168</v>
      </c>
      <c r="BV258" t="s">
        <v>209</v>
      </c>
      <c r="BW258" t="s">
        <v>209</v>
      </c>
      <c r="BX258" t="s">
        <v>209</v>
      </c>
      <c r="BY258" t="s">
        <v>209</v>
      </c>
      <c r="BZ258" t="s">
        <v>216</v>
      </c>
      <c r="CA258" t="s">
        <v>216</v>
      </c>
      <c r="CB258" t="s">
        <v>168</v>
      </c>
      <c r="CC258" t="s">
        <v>168</v>
      </c>
      <c r="CD258" t="s">
        <v>216</v>
      </c>
      <c r="CE258" t="s">
        <v>209</v>
      </c>
      <c r="CF258">
        <f>0.021</f>
        <v>2.1000000000000001E-2</v>
      </c>
      <c r="CG258" t="s">
        <v>168</v>
      </c>
      <c r="CH258" t="s">
        <v>165</v>
      </c>
      <c r="CI258" t="s">
        <v>216</v>
      </c>
      <c r="CJ258" t="s">
        <v>216</v>
      </c>
      <c r="CK258" t="s">
        <v>216</v>
      </c>
      <c r="CL258" t="s">
        <v>216</v>
      </c>
      <c r="CM258" t="s">
        <v>216</v>
      </c>
      <c r="CN258" t="s">
        <v>216</v>
      </c>
      <c r="CO258" t="s">
        <v>216</v>
      </c>
      <c r="CP258" t="s">
        <v>216</v>
      </c>
      <c r="CQ258" t="s">
        <v>216</v>
      </c>
      <c r="CR258" t="s">
        <v>216</v>
      </c>
      <c r="CS258" t="s">
        <v>216</v>
      </c>
      <c r="CT258" t="s">
        <v>216</v>
      </c>
      <c r="CU258" t="s">
        <v>216</v>
      </c>
      <c r="CV258" t="s">
        <v>216</v>
      </c>
      <c r="CW258" t="s">
        <v>216</v>
      </c>
      <c r="CX258" t="s">
        <v>216</v>
      </c>
      <c r="CY258" t="s">
        <v>216</v>
      </c>
      <c r="CZ258" t="s">
        <v>216</v>
      </c>
      <c r="DA258" t="s">
        <v>168</v>
      </c>
      <c r="DB258" t="s">
        <v>216</v>
      </c>
      <c r="DC258" t="s">
        <v>216</v>
      </c>
      <c r="DD258" t="s">
        <v>216</v>
      </c>
      <c r="DE258" t="s">
        <v>168</v>
      </c>
      <c r="DF258" t="s">
        <v>168</v>
      </c>
      <c r="DG258" t="s">
        <v>216</v>
      </c>
      <c r="DH258" t="s">
        <v>216</v>
      </c>
      <c r="DI258" t="s">
        <v>216</v>
      </c>
      <c r="DJ258" t="s">
        <v>216</v>
      </c>
      <c r="DK258" t="s">
        <v>168</v>
      </c>
      <c r="DL258" t="s">
        <v>216</v>
      </c>
      <c r="DM258" t="s">
        <v>216</v>
      </c>
      <c r="DN258" t="s">
        <v>216</v>
      </c>
      <c r="DO258" t="s">
        <v>216</v>
      </c>
      <c r="DP258" t="s">
        <v>168</v>
      </c>
      <c r="DQ258" t="s">
        <v>216</v>
      </c>
      <c r="DR258" t="s">
        <v>168</v>
      </c>
      <c r="DS258" t="s">
        <v>168</v>
      </c>
      <c r="DT258" t="s">
        <v>168</v>
      </c>
      <c r="DU258" t="s">
        <v>168</v>
      </c>
      <c r="DV258" t="s">
        <v>168</v>
      </c>
      <c r="DW258" t="s">
        <v>168</v>
      </c>
      <c r="DX258" t="s">
        <v>168</v>
      </c>
      <c r="DY258" t="s">
        <v>168</v>
      </c>
      <c r="DZ258" t="s">
        <v>209</v>
      </c>
      <c r="EA258" t="s">
        <v>216</v>
      </c>
      <c r="EB258" t="s">
        <v>168</v>
      </c>
      <c r="EC258" t="s">
        <v>168</v>
      </c>
      <c r="ED258" t="s">
        <v>209</v>
      </c>
      <c r="EE258" t="s">
        <v>168</v>
      </c>
      <c r="EL258">
        <f>0.54</f>
        <v>0.54</v>
      </c>
      <c r="EM258">
        <f>0.66</f>
        <v>0.66</v>
      </c>
      <c r="EN258">
        <f>1.1</f>
        <v>1.1000000000000001</v>
      </c>
      <c r="EO258">
        <f>1.2</f>
        <v>1.2</v>
      </c>
      <c r="EP258" t="s">
        <v>157</v>
      </c>
      <c r="EQ258" t="s">
        <v>157</v>
      </c>
      <c r="ER258">
        <f>3.5</f>
        <v>3.5</v>
      </c>
      <c r="ES258" t="s">
        <v>166</v>
      </c>
    </row>
    <row r="259" spans="1:149" x14ac:dyDescent="0.25">
      <c r="A259" t="s">
        <v>1074</v>
      </c>
      <c r="B259" t="s">
        <v>148</v>
      </c>
      <c r="C259" s="1">
        <v>45726</v>
      </c>
      <c r="D259" t="s">
        <v>269</v>
      </c>
      <c r="E259" t="s">
        <v>270</v>
      </c>
      <c r="F259" t="s">
        <v>271</v>
      </c>
      <c r="G259" t="s">
        <v>5120</v>
      </c>
      <c r="H259">
        <v>1699</v>
      </c>
      <c r="I259" t="s">
        <v>5121</v>
      </c>
      <c r="J259">
        <v>2681</v>
      </c>
      <c r="K259" t="s">
        <v>5254</v>
      </c>
      <c r="L259" t="s">
        <v>387</v>
      </c>
      <c r="M259" t="s">
        <v>5891</v>
      </c>
      <c r="N259" t="s">
        <v>5122</v>
      </c>
      <c r="O259" t="s">
        <v>1075</v>
      </c>
      <c r="R259">
        <f>1</f>
        <v>1</v>
      </c>
      <c r="S259">
        <f>13.3</f>
        <v>13.3</v>
      </c>
      <c r="T259">
        <f>7.9</f>
        <v>7.9</v>
      </c>
      <c r="U259">
        <f>435</f>
        <v>435</v>
      </c>
      <c r="V259">
        <f>0.23</f>
        <v>0.23</v>
      </c>
      <c r="X259">
        <f>0</f>
        <v>0</v>
      </c>
      <c r="Y259" t="s">
        <v>207</v>
      </c>
      <c r="Z259">
        <f>0</f>
        <v>0</v>
      </c>
      <c r="AA259" t="s">
        <v>158</v>
      </c>
      <c r="AB259" t="s">
        <v>158</v>
      </c>
      <c r="AD259">
        <f>0</f>
        <v>0</v>
      </c>
      <c r="AE259">
        <f>0</f>
        <v>0</v>
      </c>
    </row>
    <row r="260" spans="1:149" x14ac:dyDescent="0.25">
      <c r="A260" t="s">
        <v>1076</v>
      </c>
      <c r="B260" t="s">
        <v>148</v>
      </c>
      <c r="C260" s="1">
        <v>45726</v>
      </c>
      <c r="D260" t="s">
        <v>269</v>
      </c>
      <c r="E260" t="s">
        <v>270</v>
      </c>
      <c r="F260" t="s">
        <v>271</v>
      </c>
      <c r="G260" t="s">
        <v>5120</v>
      </c>
      <c r="H260">
        <v>1699</v>
      </c>
      <c r="I260" t="s">
        <v>5121</v>
      </c>
      <c r="J260">
        <v>2681</v>
      </c>
      <c r="K260" t="s">
        <v>5254</v>
      </c>
      <c r="L260" t="s">
        <v>387</v>
      </c>
      <c r="M260" t="s">
        <v>5892</v>
      </c>
      <c r="N260" t="s">
        <v>1077</v>
      </c>
      <c r="O260" t="s">
        <v>1078</v>
      </c>
      <c r="R260">
        <f>1</f>
        <v>1</v>
      </c>
      <c r="S260">
        <f>11.3</f>
        <v>11.3</v>
      </c>
      <c r="T260">
        <f>7.7</f>
        <v>7.7</v>
      </c>
      <c r="U260">
        <f>413</f>
        <v>413</v>
      </c>
      <c r="X260">
        <f>0</f>
        <v>0</v>
      </c>
      <c r="Y260">
        <f>0.04</f>
        <v>0.04</v>
      </c>
      <c r="Z260">
        <f>0</f>
        <v>0</v>
      </c>
      <c r="AA260" t="s">
        <v>158</v>
      </c>
      <c r="AB260" t="s">
        <v>158</v>
      </c>
      <c r="AD260">
        <f>0</f>
        <v>0</v>
      </c>
      <c r="AE260">
        <f>0</f>
        <v>0</v>
      </c>
    </row>
    <row r="261" spans="1:149" x14ac:dyDescent="0.25">
      <c r="A261" t="s">
        <v>1079</v>
      </c>
      <c r="B261" t="s">
        <v>148</v>
      </c>
      <c r="C261" s="1">
        <v>45715</v>
      </c>
      <c r="D261" t="s">
        <v>618</v>
      </c>
      <c r="E261" t="s">
        <v>619</v>
      </c>
      <c r="F261" t="s">
        <v>620</v>
      </c>
      <c r="G261" t="s">
        <v>1080</v>
      </c>
      <c r="H261">
        <v>42</v>
      </c>
      <c r="I261" t="s">
        <v>1081</v>
      </c>
      <c r="J261">
        <v>5500</v>
      </c>
      <c r="K261" t="s">
        <v>5254</v>
      </c>
      <c r="L261" t="s">
        <v>180</v>
      </c>
      <c r="M261" t="s">
        <v>5380</v>
      </c>
      <c r="N261" t="s">
        <v>5381</v>
      </c>
      <c r="O261" t="s">
        <v>1082</v>
      </c>
      <c r="R261">
        <f>1</f>
        <v>1</v>
      </c>
      <c r="S261">
        <f>11.2</f>
        <v>11.2</v>
      </c>
      <c r="T261">
        <f>7.4</f>
        <v>7.4</v>
      </c>
      <c r="U261">
        <f>534</f>
        <v>534</v>
      </c>
      <c r="X261">
        <f>0</f>
        <v>0</v>
      </c>
      <c r="Y261">
        <f>0.1</f>
        <v>0.1</v>
      </c>
      <c r="Z261">
        <f>0</f>
        <v>0</v>
      </c>
      <c r="AA261" t="s">
        <v>158</v>
      </c>
      <c r="AB261" t="s">
        <v>158</v>
      </c>
      <c r="AD261">
        <f>0</f>
        <v>0</v>
      </c>
      <c r="AE261">
        <f>0</f>
        <v>0</v>
      </c>
      <c r="AH261" t="s">
        <v>157</v>
      </c>
    </row>
    <row r="262" spans="1:149" x14ac:dyDescent="0.25">
      <c r="A262" t="s">
        <v>1083</v>
      </c>
      <c r="B262" t="s">
        <v>148</v>
      </c>
      <c r="C262" s="1">
        <v>45726</v>
      </c>
      <c r="D262" t="s">
        <v>317</v>
      </c>
      <c r="E262" t="s">
        <v>318</v>
      </c>
      <c r="F262" t="s">
        <v>847</v>
      </c>
      <c r="G262" t="s">
        <v>848</v>
      </c>
      <c r="H262">
        <v>988</v>
      </c>
      <c r="I262" t="s">
        <v>849</v>
      </c>
      <c r="J262">
        <v>3256</v>
      </c>
      <c r="K262" t="s">
        <v>5254</v>
      </c>
      <c r="L262" t="s">
        <v>4967</v>
      </c>
      <c r="M262" t="s">
        <v>1084</v>
      </c>
      <c r="N262" t="s">
        <v>1085</v>
      </c>
      <c r="O262" t="s">
        <v>1086</v>
      </c>
      <c r="Q262" t="s">
        <v>1087</v>
      </c>
      <c r="R262">
        <f>1</f>
        <v>1</v>
      </c>
      <c r="S262">
        <f>5.8</f>
        <v>5.8</v>
      </c>
      <c r="T262">
        <f>7.8</f>
        <v>7.8</v>
      </c>
      <c r="U262">
        <f>330</f>
        <v>330</v>
      </c>
      <c r="V262" t="s">
        <v>207</v>
      </c>
      <c r="X262">
        <f>0</f>
        <v>0</v>
      </c>
      <c r="Y262" t="s">
        <v>157</v>
      </c>
      <c r="Z262">
        <f>0</f>
        <v>0</v>
      </c>
      <c r="AA262">
        <f>1</f>
        <v>1</v>
      </c>
      <c r="AB262">
        <f>0</f>
        <v>0</v>
      </c>
      <c r="AD262">
        <f>0</f>
        <v>0</v>
      </c>
      <c r="AE262">
        <f>0</f>
        <v>0</v>
      </c>
      <c r="AH262" t="s">
        <v>157</v>
      </c>
    </row>
    <row r="263" spans="1:149" x14ac:dyDescent="0.25">
      <c r="A263" t="s">
        <v>1088</v>
      </c>
      <c r="B263" t="s">
        <v>268</v>
      </c>
      <c r="C263" s="1">
        <v>45791</v>
      </c>
      <c r="D263" t="s">
        <v>175</v>
      </c>
      <c r="E263" t="s">
        <v>176</v>
      </c>
      <c r="F263" t="s">
        <v>556</v>
      </c>
      <c r="G263" t="s">
        <v>808</v>
      </c>
      <c r="H263">
        <v>338</v>
      </c>
      <c r="I263" t="s">
        <v>808</v>
      </c>
      <c r="J263">
        <v>14369</v>
      </c>
      <c r="K263" t="s">
        <v>5254</v>
      </c>
      <c r="L263" t="s">
        <v>4724</v>
      </c>
      <c r="M263" t="s">
        <v>4743</v>
      </c>
      <c r="N263" t="s">
        <v>4744</v>
      </c>
      <c r="O263" t="s">
        <v>1089</v>
      </c>
      <c r="Q263" t="s">
        <v>6313</v>
      </c>
      <c r="R263">
        <f>1</f>
        <v>1</v>
      </c>
      <c r="S263">
        <f>18.1</f>
        <v>18.100000000000001</v>
      </c>
      <c r="T263">
        <f>7.4</f>
        <v>7.4</v>
      </c>
      <c r="U263">
        <f>433</f>
        <v>433</v>
      </c>
      <c r="X263">
        <f>0</f>
        <v>0</v>
      </c>
      <c r="Y263" t="s">
        <v>157</v>
      </c>
      <c r="Z263">
        <f>0</f>
        <v>0</v>
      </c>
      <c r="AA263">
        <f>96</f>
        <v>96</v>
      </c>
      <c r="AB263">
        <f>104</f>
        <v>104</v>
      </c>
      <c r="AD263">
        <f>0</f>
        <v>0</v>
      </c>
      <c r="AE263">
        <f>0</f>
        <v>0</v>
      </c>
    </row>
    <row r="264" spans="1:149" x14ac:dyDescent="0.25">
      <c r="A264" t="s">
        <v>1090</v>
      </c>
      <c r="B264" t="s">
        <v>148</v>
      </c>
      <c r="C264" s="1">
        <v>45771</v>
      </c>
      <c r="D264" t="s">
        <v>222</v>
      </c>
      <c r="E264" t="s">
        <v>223</v>
      </c>
      <c r="F264" t="s">
        <v>4745</v>
      </c>
      <c r="G264" t="s">
        <v>1091</v>
      </c>
      <c r="H264">
        <v>1285</v>
      </c>
      <c r="I264" t="s">
        <v>1091</v>
      </c>
      <c r="J264">
        <v>1400</v>
      </c>
      <c r="K264" t="s">
        <v>5257</v>
      </c>
      <c r="L264" t="s">
        <v>431</v>
      </c>
      <c r="M264" t="s">
        <v>4746</v>
      </c>
      <c r="N264" t="s">
        <v>1092</v>
      </c>
      <c r="Q264" t="s">
        <v>6331</v>
      </c>
      <c r="R264">
        <f>1</f>
        <v>1</v>
      </c>
      <c r="S264">
        <f>11.4</f>
        <v>11.4</v>
      </c>
      <c r="T264">
        <f>8.2</f>
        <v>8.1999999999999993</v>
      </c>
      <c r="U264">
        <f>240</f>
        <v>240</v>
      </c>
      <c r="X264">
        <f>1</f>
        <v>1</v>
      </c>
      <c r="Y264">
        <f>0.09</f>
        <v>0.09</v>
      </c>
      <c r="Z264">
        <f>0</f>
        <v>0</v>
      </c>
      <c r="AA264">
        <f>0</f>
        <v>0</v>
      </c>
      <c r="AB264">
        <f>0</f>
        <v>0</v>
      </c>
      <c r="AD264">
        <f>0</f>
        <v>0</v>
      </c>
      <c r="AE264">
        <f>0</f>
        <v>0</v>
      </c>
      <c r="AH264" t="s">
        <v>166</v>
      </c>
    </row>
    <row r="265" spans="1:149" x14ac:dyDescent="0.25">
      <c r="A265" t="s">
        <v>1093</v>
      </c>
      <c r="B265" t="s">
        <v>148</v>
      </c>
      <c r="C265" s="1">
        <v>45712</v>
      </c>
      <c r="D265" t="s">
        <v>175</v>
      </c>
      <c r="E265" t="s">
        <v>176</v>
      </c>
      <c r="F265" t="s">
        <v>556</v>
      </c>
      <c r="G265" t="s">
        <v>557</v>
      </c>
      <c r="H265">
        <v>1708</v>
      </c>
      <c r="I265" t="s">
        <v>6591</v>
      </c>
      <c r="J265">
        <v>14987</v>
      </c>
      <c r="K265" t="s">
        <v>5254</v>
      </c>
      <c r="L265" t="s">
        <v>180</v>
      </c>
      <c r="M265" t="s">
        <v>1094</v>
      </c>
      <c r="N265" t="s">
        <v>1095</v>
      </c>
      <c r="O265" t="s">
        <v>1096</v>
      </c>
      <c r="Q265" t="s">
        <v>1097</v>
      </c>
      <c r="R265">
        <f>1</f>
        <v>1</v>
      </c>
      <c r="S265">
        <f>10.7</f>
        <v>10.7</v>
      </c>
      <c r="T265">
        <f>7.5</f>
        <v>7.5</v>
      </c>
      <c r="U265">
        <f>419</f>
        <v>419</v>
      </c>
      <c r="X265">
        <f>0</f>
        <v>0</v>
      </c>
      <c r="Y265" t="s">
        <v>157</v>
      </c>
      <c r="Z265">
        <f>0</f>
        <v>0</v>
      </c>
      <c r="AA265" t="s">
        <v>158</v>
      </c>
      <c r="AB265" t="s">
        <v>158</v>
      </c>
      <c r="AD265">
        <f>0</f>
        <v>0</v>
      </c>
      <c r="AE265">
        <f>0</f>
        <v>0</v>
      </c>
    </row>
    <row r="266" spans="1:149" x14ac:dyDescent="0.25">
      <c r="A266" t="s">
        <v>1098</v>
      </c>
      <c r="B266" t="s">
        <v>148</v>
      </c>
      <c r="C266" s="1">
        <v>45712</v>
      </c>
      <c r="D266" t="s">
        <v>175</v>
      </c>
      <c r="E266" t="s">
        <v>176</v>
      </c>
      <c r="F266" t="s">
        <v>556</v>
      </c>
      <c r="G266" t="s">
        <v>557</v>
      </c>
      <c r="H266">
        <v>1708</v>
      </c>
      <c r="I266" t="s">
        <v>6591</v>
      </c>
      <c r="J266">
        <v>14987</v>
      </c>
      <c r="K266" t="s">
        <v>5254</v>
      </c>
      <c r="L266" t="s">
        <v>180</v>
      </c>
      <c r="M266" t="s">
        <v>5123</v>
      </c>
      <c r="N266" t="s">
        <v>4747</v>
      </c>
      <c r="O266" t="s">
        <v>1099</v>
      </c>
      <c r="Q266" t="s">
        <v>6311</v>
      </c>
      <c r="R266">
        <f>1</f>
        <v>1</v>
      </c>
      <c r="S266">
        <f>10.1</f>
        <v>10.1</v>
      </c>
      <c r="T266">
        <f>7.5</f>
        <v>7.5</v>
      </c>
      <c r="U266">
        <f>413</f>
        <v>413</v>
      </c>
      <c r="X266">
        <f>0</f>
        <v>0</v>
      </c>
      <c r="Y266" t="s">
        <v>157</v>
      </c>
      <c r="Z266">
        <f>0</f>
        <v>0</v>
      </c>
      <c r="AA266" t="s">
        <v>158</v>
      </c>
      <c r="AB266" t="s">
        <v>158</v>
      </c>
      <c r="AD266">
        <f>0</f>
        <v>0</v>
      </c>
      <c r="AE266">
        <f>0</f>
        <v>0</v>
      </c>
    </row>
    <row r="267" spans="1:149" x14ac:dyDescent="0.25">
      <c r="A267" t="s">
        <v>1100</v>
      </c>
      <c r="B267" t="s">
        <v>148</v>
      </c>
      <c r="C267" s="1">
        <v>45748</v>
      </c>
      <c r="D267" t="s">
        <v>175</v>
      </c>
      <c r="E267" t="s">
        <v>176</v>
      </c>
      <c r="F267" t="s">
        <v>556</v>
      </c>
      <c r="G267" t="s">
        <v>557</v>
      </c>
      <c r="H267">
        <v>1703</v>
      </c>
      <c r="I267" t="s">
        <v>5893</v>
      </c>
      <c r="J267">
        <v>19041</v>
      </c>
      <c r="K267" t="s">
        <v>5254</v>
      </c>
      <c r="L267" t="s">
        <v>4724</v>
      </c>
      <c r="M267" t="s">
        <v>1101</v>
      </c>
      <c r="N267" t="s">
        <v>4973</v>
      </c>
      <c r="O267" t="s">
        <v>1102</v>
      </c>
      <c r="Q267" t="s">
        <v>6332</v>
      </c>
      <c r="R267">
        <f>1</f>
        <v>1</v>
      </c>
      <c r="S267">
        <f>11.5</f>
        <v>11.5</v>
      </c>
      <c r="T267">
        <f>7.3</f>
        <v>7.3</v>
      </c>
      <c r="U267">
        <f>584</f>
        <v>584</v>
      </c>
      <c r="X267">
        <f>0</f>
        <v>0</v>
      </c>
      <c r="Y267" t="s">
        <v>157</v>
      </c>
      <c r="Z267">
        <f>0</f>
        <v>0</v>
      </c>
      <c r="AA267" t="s">
        <v>158</v>
      </c>
      <c r="AB267" t="s">
        <v>158</v>
      </c>
      <c r="AD267">
        <f>0</f>
        <v>0</v>
      </c>
      <c r="AE267">
        <f>0</f>
        <v>0</v>
      </c>
      <c r="EP267" t="s">
        <v>157</v>
      </c>
      <c r="EQ267" t="s">
        <v>157</v>
      </c>
      <c r="ES267" t="s">
        <v>166</v>
      </c>
    </row>
    <row r="268" spans="1:149" x14ac:dyDescent="0.25">
      <c r="A268" t="s">
        <v>1103</v>
      </c>
      <c r="B268" t="s">
        <v>148</v>
      </c>
      <c r="C268" s="1">
        <v>45748</v>
      </c>
      <c r="D268" t="s">
        <v>175</v>
      </c>
      <c r="E268" t="s">
        <v>176</v>
      </c>
      <c r="F268" t="s">
        <v>556</v>
      </c>
      <c r="G268" t="s">
        <v>557</v>
      </c>
      <c r="H268">
        <v>1703</v>
      </c>
      <c r="I268" t="s">
        <v>5893</v>
      </c>
      <c r="J268">
        <v>19041</v>
      </c>
      <c r="K268" t="s">
        <v>5254</v>
      </c>
      <c r="L268" t="s">
        <v>4724</v>
      </c>
      <c r="M268" t="s">
        <v>1104</v>
      </c>
      <c r="N268" t="s">
        <v>1105</v>
      </c>
      <c r="O268" t="s">
        <v>1106</v>
      </c>
      <c r="Q268" t="s">
        <v>6313</v>
      </c>
      <c r="R268">
        <f>1</f>
        <v>1</v>
      </c>
      <c r="S268">
        <f>11.5</f>
        <v>11.5</v>
      </c>
      <c r="T268">
        <f>7.4</f>
        <v>7.4</v>
      </c>
      <c r="U268">
        <f>474</f>
        <v>474</v>
      </c>
      <c r="V268" t="s">
        <v>207</v>
      </c>
      <c r="X268">
        <f>0</f>
        <v>0</v>
      </c>
      <c r="Y268" t="s">
        <v>157</v>
      </c>
      <c r="Z268">
        <f>0</f>
        <v>0</v>
      </c>
      <c r="AA268" t="s">
        <v>158</v>
      </c>
      <c r="AB268" t="s">
        <v>158</v>
      </c>
      <c r="AD268">
        <f>0</f>
        <v>0</v>
      </c>
      <c r="AE268">
        <f>0</f>
        <v>0</v>
      </c>
    </row>
    <row r="269" spans="1:149" x14ac:dyDescent="0.25">
      <c r="A269" t="s">
        <v>1107</v>
      </c>
      <c r="B269" t="s">
        <v>148</v>
      </c>
      <c r="C269" s="1">
        <v>45748</v>
      </c>
      <c r="D269" t="s">
        <v>175</v>
      </c>
      <c r="E269" t="s">
        <v>176</v>
      </c>
      <c r="F269" t="s">
        <v>556</v>
      </c>
      <c r="G269" t="s">
        <v>557</v>
      </c>
      <c r="H269">
        <v>1703</v>
      </c>
      <c r="I269" t="s">
        <v>5893</v>
      </c>
      <c r="J269">
        <v>19041</v>
      </c>
      <c r="K269" t="s">
        <v>5254</v>
      </c>
      <c r="L269" t="s">
        <v>4724</v>
      </c>
      <c r="M269" t="s">
        <v>1108</v>
      </c>
      <c r="N269" t="s">
        <v>1109</v>
      </c>
      <c r="O269" t="s">
        <v>1110</v>
      </c>
      <c r="Q269" t="s">
        <v>6332</v>
      </c>
      <c r="R269">
        <f>1</f>
        <v>1</v>
      </c>
      <c r="S269">
        <f>12.8</f>
        <v>12.8</v>
      </c>
      <c r="T269">
        <f>7.3</f>
        <v>7.3</v>
      </c>
      <c r="U269">
        <f>413</f>
        <v>413</v>
      </c>
      <c r="X269">
        <f>0</f>
        <v>0</v>
      </c>
      <c r="Y269" t="s">
        <v>157</v>
      </c>
      <c r="Z269">
        <f>0</f>
        <v>0</v>
      </c>
      <c r="AA269" t="s">
        <v>158</v>
      </c>
      <c r="AB269" t="s">
        <v>158</v>
      </c>
      <c r="AD269">
        <f>0</f>
        <v>0</v>
      </c>
      <c r="AE269">
        <f>0</f>
        <v>0</v>
      </c>
    </row>
    <row r="270" spans="1:149" x14ac:dyDescent="0.25">
      <c r="A270" t="s">
        <v>1111</v>
      </c>
      <c r="B270" t="s">
        <v>148</v>
      </c>
      <c r="C270" s="1">
        <v>45733</v>
      </c>
      <c r="D270" t="s">
        <v>175</v>
      </c>
      <c r="E270" t="s">
        <v>176</v>
      </c>
      <c r="F270" t="s">
        <v>556</v>
      </c>
      <c r="G270" t="s">
        <v>557</v>
      </c>
      <c r="H270">
        <v>1706</v>
      </c>
      <c r="I270" t="s">
        <v>6592</v>
      </c>
      <c r="J270">
        <v>17666</v>
      </c>
      <c r="K270" t="s">
        <v>5254</v>
      </c>
      <c r="L270" t="s">
        <v>154</v>
      </c>
      <c r="M270" t="s">
        <v>1112</v>
      </c>
      <c r="N270" t="s">
        <v>1113</v>
      </c>
      <c r="O270" t="s">
        <v>1114</v>
      </c>
      <c r="Q270" t="s">
        <v>6333</v>
      </c>
      <c r="R270">
        <f>1</f>
        <v>1</v>
      </c>
      <c r="S270">
        <f>11.8</f>
        <v>11.8</v>
      </c>
      <c r="T270">
        <f>7.6</f>
        <v>7.6</v>
      </c>
      <c r="U270">
        <f>512</f>
        <v>512</v>
      </c>
      <c r="V270" t="s">
        <v>207</v>
      </c>
      <c r="X270">
        <f>0</f>
        <v>0</v>
      </c>
      <c r="Y270" t="s">
        <v>157</v>
      </c>
      <c r="Z270">
        <f>0</f>
        <v>0</v>
      </c>
      <c r="AA270" t="s">
        <v>158</v>
      </c>
      <c r="AB270" t="s">
        <v>158</v>
      </c>
      <c r="AD270">
        <f>0</f>
        <v>0</v>
      </c>
      <c r="AE270">
        <f>0</f>
        <v>0</v>
      </c>
    </row>
    <row r="271" spans="1:149" x14ac:dyDescent="0.25">
      <c r="A271" t="s">
        <v>1115</v>
      </c>
      <c r="B271" t="s">
        <v>148</v>
      </c>
      <c r="C271" s="1">
        <v>45742</v>
      </c>
      <c r="D271" t="s">
        <v>175</v>
      </c>
      <c r="E271" t="s">
        <v>176</v>
      </c>
      <c r="F271" t="s">
        <v>556</v>
      </c>
      <c r="G271" t="s">
        <v>557</v>
      </c>
      <c r="H271">
        <v>1706</v>
      </c>
      <c r="I271" t="s">
        <v>6592</v>
      </c>
      <c r="J271">
        <v>17666</v>
      </c>
      <c r="K271" t="s">
        <v>5254</v>
      </c>
      <c r="L271" t="s">
        <v>154</v>
      </c>
      <c r="M271" t="s">
        <v>5894</v>
      </c>
      <c r="N271" t="s">
        <v>4748</v>
      </c>
      <c r="O271" t="s">
        <v>1116</v>
      </c>
      <c r="Q271" t="s">
        <v>6313</v>
      </c>
      <c r="R271">
        <f>1</f>
        <v>1</v>
      </c>
      <c r="S271">
        <f>12.9</f>
        <v>12.9</v>
      </c>
      <c r="T271">
        <f>7.6</f>
        <v>7.6</v>
      </c>
      <c r="U271">
        <f>434</f>
        <v>434</v>
      </c>
      <c r="X271">
        <f>0</f>
        <v>0</v>
      </c>
      <c r="Y271" t="s">
        <v>157</v>
      </c>
      <c r="Z271">
        <f>0</f>
        <v>0</v>
      </c>
      <c r="AA271" t="s">
        <v>158</v>
      </c>
      <c r="AB271" t="s">
        <v>158</v>
      </c>
      <c r="AD271">
        <f>0</f>
        <v>0</v>
      </c>
      <c r="AE271">
        <f>0</f>
        <v>0</v>
      </c>
      <c r="AI271" t="s">
        <v>238</v>
      </c>
      <c r="AL271" t="s">
        <v>164</v>
      </c>
      <c r="AM271" t="s">
        <v>165</v>
      </c>
      <c r="AN271">
        <f>12</f>
        <v>12</v>
      </c>
      <c r="AO271">
        <f>0.24</f>
        <v>0.24</v>
      </c>
      <c r="AP271">
        <f>8.9</f>
        <v>8.9</v>
      </c>
      <c r="AQ271">
        <f>6.6</f>
        <v>6.6</v>
      </c>
      <c r="AR271" t="s">
        <v>157</v>
      </c>
    </row>
    <row r="272" spans="1:149" x14ac:dyDescent="0.25">
      <c r="A272" t="s">
        <v>1117</v>
      </c>
      <c r="B272" t="s">
        <v>148</v>
      </c>
      <c r="C272" s="1">
        <v>45742</v>
      </c>
      <c r="D272" t="s">
        <v>175</v>
      </c>
      <c r="E272" t="s">
        <v>176</v>
      </c>
      <c r="F272" t="s">
        <v>556</v>
      </c>
      <c r="G272" t="s">
        <v>557</v>
      </c>
      <c r="H272">
        <v>1706</v>
      </c>
      <c r="I272" t="s">
        <v>6592</v>
      </c>
      <c r="J272">
        <v>17666</v>
      </c>
      <c r="K272" t="s">
        <v>5254</v>
      </c>
      <c r="L272" t="s">
        <v>154</v>
      </c>
      <c r="M272" t="s">
        <v>1118</v>
      </c>
      <c r="N272" t="s">
        <v>4749</v>
      </c>
      <c r="O272" t="s">
        <v>1119</v>
      </c>
      <c r="Q272" t="s">
        <v>6332</v>
      </c>
      <c r="R272">
        <f>1</f>
        <v>1</v>
      </c>
      <c r="S272">
        <f>13.1</f>
        <v>13.1</v>
      </c>
      <c r="T272">
        <f>7.6</f>
        <v>7.6</v>
      </c>
      <c r="U272">
        <f>427</f>
        <v>427</v>
      </c>
      <c r="V272" t="s">
        <v>207</v>
      </c>
      <c r="X272">
        <f>0</f>
        <v>0</v>
      </c>
      <c r="Y272" t="s">
        <v>157</v>
      </c>
      <c r="Z272">
        <f>0</f>
        <v>0</v>
      </c>
      <c r="AA272" t="s">
        <v>158</v>
      </c>
      <c r="AB272" t="s">
        <v>158</v>
      </c>
      <c r="AD272">
        <f>0</f>
        <v>0</v>
      </c>
      <c r="AE272">
        <f>0</f>
        <v>0</v>
      </c>
    </row>
    <row r="273" spans="1:34" x14ac:dyDescent="0.25">
      <c r="A273" t="s">
        <v>1120</v>
      </c>
      <c r="B273" t="s">
        <v>148</v>
      </c>
      <c r="C273" s="1">
        <v>45742</v>
      </c>
      <c r="D273" t="s">
        <v>175</v>
      </c>
      <c r="E273" t="s">
        <v>176</v>
      </c>
      <c r="F273" t="s">
        <v>556</v>
      </c>
      <c r="G273" t="s">
        <v>557</v>
      </c>
      <c r="H273">
        <v>1706</v>
      </c>
      <c r="I273" t="s">
        <v>6592</v>
      </c>
      <c r="J273">
        <v>17666</v>
      </c>
      <c r="K273" t="s">
        <v>5254</v>
      </c>
      <c r="L273" t="s">
        <v>154</v>
      </c>
      <c r="M273" t="s">
        <v>4974</v>
      </c>
      <c r="N273" t="s">
        <v>1121</v>
      </c>
      <c r="O273" t="s">
        <v>1122</v>
      </c>
      <c r="Q273" t="s">
        <v>6313</v>
      </c>
      <c r="R273">
        <f>1</f>
        <v>1</v>
      </c>
      <c r="S273">
        <f>12.8</f>
        <v>12.8</v>
      </c>
      <c r="T273">
        <f>7.5</f>
        <v>7.5</v>
      </c>
      <c r="U273">
        <f>432</f>
        <v>432</v>
      </c>
      <c r="X273">
        <f>0</f>
        <v>0</v>
      </c>
      <c r="Y273" t="s">
        <v>157</v>
      </c>
      <c r="Z273">
        <f>0</f>
        <v>0</v>
      </c>
      <c r="AA273" t="s">
        <v>158</v>
      </c>
      <c r="AB273" t="s">
        <v>158</v>
      </c>
      <c r="AD273">
        <f>0</f>
        <v>0</v>
      </c>
      <c r="AE273">
        <f>0</f>
        <v>0</v>
      </c>
    </row>
    <row r="274" spans="1:34" x14ac:dyDescent="0.25">
      <c r="A274" t="s">
        <v>1123</v>
      </c>
      <c r="B274" t="s">
        <v>148</v>
      </c>
      <c r="C274" s="1">
        <v>45742</v>
      </c>
      <c r="D274" t="s">
        <v>175</v>
      </c>
      <c r="E274" t="s">
        <v>176</v>
      </c>
      <c r="F274" t="s">
        <v>556</v>
      </c>
      <c r="G274" t="s">
        <v>557</v>
      </c>
      <c r="H274">
        <v>1706</v>
      </c>
      <c r="I274" t="s">
        <v>6592</v>
      </c>
      <c r="J274">
        <v>17666</v>
      </c>
      <c r="K274" t="s">
        <v>5254</v>
      </c>
      <c r="L274" t="s">
        <v>154</v>
      </c>
      <c r="M274" t="s">
        <v>5895</v>
      </c>
      <c r="N274" t="s">
        <v>4750</v>
      </c>
      <c r="O274" t="s">
        <v>1124</v>
      </c>
      <c r="Q274" t="s">
        <v>6313</v>
      </c>
      <c r="R274">
        <f>1</f>
        <v>1</v>
      </c>
      <c r="S274">
        <f>12.4</f>
        <v>12.4</v>
      </c>
      <c r="T274">
        <f>7.6</f>
        <v>7.6</v>
      </c>
      <c r="U274">
        <f>411</f>
        <v>411</v>
      </c>
      <c r="V274" t="s">
        <v>207</v>
      </c>
      <c r="X274">
        <f>0</f>
        <v>0</v>
      </c>
      <c r="Y274" t="s">
        <v>157</v>
      </c>
      <c r="Z274">
        <f>0</f>
        <v>0</v>
      </c>
      <c r="AA274" t="s">
        <v>158</v>
      </c>
      <c r="AB274">
        <f>30</f>
        <v>30</v>
      </c>
      <c r="AD274">
        <f>0</f>
        <v>0</v>
      </c>
      <c r="AE274">
        <f>0</f>
        <v>0</v>
      </c>
    </row>
    <row r="275" spans="1:34" x14ac:dyDescent="0.25">
      <c r="A275" t="s">
        <v>1125</v>
      </c>
      <c r="B275" t="s">
        <v>148</v>
      </c>
      <c r="C275" s="1">
        <v>45712</v>
      </c>
      <c r="D275" t="s">
        <v>175</v>
      </c>
      <c r="E275" t="s">
        <v>176</v>
      </c>
      <c r="F275" t="s">
        <v>556</v>
      </c>
      <c r="G275" t="s">
        <v>557</v>
      </c>
      <c r="H275">
        <v>1708</v>
      </c>
      <c r="I275" t="s">
        <v>6591</v>
      </c>
      <c r="J275">
        <v>14987</v>
      </c>
      <c r="K275" t="s">
        <v>5254</v>
      </c>
      <c r="L275" t="s">
        <v>180</v>
      </c>
      <c r="M275" t="s">
        <v>5896</v>
      </c>
      <c r="N275" t="s">
        <v>1126</v>
      </c>
      <c r="O275" t="s">
        <v>1127</v>
      </c>
      <c r="R275">
        <f>1</f>
        <v>1</v>
      </c>
      <c r="S275">
        <f>11.6</f>
        <v>11.6</v>
      </c>
      <c r="T275">
        <f>7.5</f>
        <v>7.5</v>
      </c>
      <c r="U275">
        <f>438</f>
        <v>438</v>
      </c>
      <c r="X275">
        <f>0</f>
        <v>0</v>
      </c>
      <c r="Y275" t="s">
        <v>157</v>
      </c>
      <c r="Z275">
        <f>0</f>
        <v>0</v>
      </c>
      <c r="AA275" t="s">
        <v>158</v>
      </c>
      <c r="AB275" t="s">
        <v>158</v>
      </c>
      <c r="AD275">
        <f>0</f>
        <v>0</v>
      </c>
      <c r="AE275">
        <f>0</f>
        <v>0</v>
      </c>
    </row>
    <row r="276" spans="1:34" x14ac:dyDescent="0.25">
      <c r="A276" t="s">
        <v>1128</v>
      </c>
      <c r="B276" t="s">
        <v>148</v>
      </c>
      <c r="C276" s="1">
        <v>45712</v>
      </c>
      <c r="D276" t="s">
        <v>175</v>
      </c>
      <c r="E276" t="s">
        <v>176</v>
      </c>
      <c r="F276" t="s">
        <v>556</v>
      </c>
      <c r="G276" t="s">
        <v>557</v>
      </c>
      <c r="H276">
        <v>1708</v>
      </c>
      <c r="I276" t="s">
        <v>6591</v>
      </c>
      <c r="J276">
        <v>14987</v>
      </c>
      <c r="K276" t="s">
        <v>5254</v>
      </c>
      <c r="L276" t="s">
        <v>180</v>
      </c>
      <c r="M276" t="s">
        <v>5897</v>
      </c>
      <c r="N276" t="s">
        <v>1129</v>
      </c>
      <c r="O276" t="s">
        <v>1130</v>
      </c>
      <c r="Q276" t="s">
        <v>6334</v>
      </c>
      <c r="R276">
        <f>1</f>
        <v>1</v>
      </c>
      <c r="S276">
        <f>14.6</f>
        <v>14.6</v>
      </c>
      <c r="T276">
        <f>7.5</f>
        <v>7.5</v>
      </c>
      <c r="U276">
        <f>424</f>
        <v>424</v>
      </c>
      <c r="X276">
        <f>0</f>
        <v>0</v>
      </c>
      <c r="Y276" t="s">
        <v>157</v>
      </c>
      <c r="Z276">
        <f>0</f>
        <v>0</v>
      </c>
      <c r="AA276" t="s">
        <v>158</v>
      </c>
      <c r="AB276" t="s">
        <v>158</v>
      </c>
      <c r="AD276">
        <f>0</f>
        <v>0</v>
      </c>
      <c r="AE276">
        <f>0</f>
        <v>0</v>
      </c>
    </row>
    <row r="277" spans="1:34" x14ac:dyDescent="0.25">
      <c r="A277" t="s">
        <v>1131</v>
      </c>
      <c r="B277" t="s">
        <v>148</v>
      </c>
      <c r="C277" s="1">
        <v>45712</v>
      </c>
      <c r="D277" t="s">
        <v>175</v>
      </c>
      <c r="E277" t="s">
        <v>176</v>
      </c>
      <c r="F277" t="s">
        <v>556</v>
      </c>
      <c r="G277" t="s">
        <v>557</v>
      </c>
      <c r="H277">
        <v>1708</v>
      </c>
      <c r="I277" t="s">
        <v>6591</v>
      </c>
      <c r="J277">
        <v>14987</v>
      </c>
      <c r="K277" t="s">
        <v>5254</v>
      </c>
      <c r="L277" t="s">
        <v>180</v>
      </c>
      <c r="M277" t="s">
        <v>5124</v>
      </c>
      <c r="N277" t="s">
        <v>5898</v>
      </c>
      <c r="O277" t="s">
        <v>1132</v>
      </c>
      <c r="Q277" t="s">
        <v>6335</v>
      </c>
      <c r="R277">
        <f>1</f>
        <v>1</v>
      </c>
      <c r="S277">
        <f>11</f>
        <v>11</v>
      </c>
      <c r="T277">
        <f>7.5</f>
        <v>7.5</v>
      </c>
      <c r="U277">
        <f>422</f>
        <v>422</v>
      </c>
      <c r="X277">
        <f>0</f>
        <v>0</v>
      </c>
      <c r="Y277" t="s">
        <v>157</v>
      </c>
      <c r="Z277">
        <f>0</f>
        <v>0</v>
      </c>
      <c r="AA277" t="s">
        <v>158</v>
      </c>
      <c r="AB277" t="s">
        <v>158</v>
      </c>
      <c r="AD277">
        <f>0</f>
        <v>0</v>
      </c>
      <c r="AE277">
        <f>0</f>
        <v>0</v>
      </c>
    </row>
    <row r="278" spans="1:34" x14ac:dyDescent="0.25">
      <c r="A278" t="s">
        <v>1133</v>
      </c>
      <c r="B278" t="s">
        <v>148</v>
      </c>
      <c r="C278" s="1">
        <v>45712</v>
      </c>
      <c r="D278" t="s">
        <v>175</v>
      </c>
      <c r="E278" t="s">
        <v>176</v>
      </c>
      <c r="F278" t="s">
        <v>556</v>
      </c>
      <c r="G278" t="s">
        <v>557</v>
      </c>
      <c r="H278">
        <v>1708</v>
      </c>
      <c r="I278" t="s">
        <v>6591</v>
      </c>
      <c r="J278">
        <v>14987</v>
      </c>
      <c r="K278" t="s">
        <v>5254</v>
      </c>
      <c r="L278" t="s">
        <v>180</v>
      </c>
      <c r="M278" t="s">
        <v>5382</v>
      </c>
      <c r="N278" t="s">
        <v>4751</v>
      </c>
      <c r="O278" t="s">
        <v>1134</v>
      </c>
      <c r="Q278" t="s">
        <v>6335</v>
      </c>
      <c r="R278">
        <f>1</f>
        <v>1</v>
      </c>
      <c r="S278">
        <f>11.3</f>
        <v>11.3</v>
      </c>
      <c r="T278">
        <f>7.4</f>
        <v>7.4</v>
      </c>
      <c r="U278">
        <f>421</f>
        <v>421</v>
      </c>
      <c r="X278">
        <f>0</f>
        <v>0</v>
      </c>
      <c r="Y278" t="s">
        <v>157</v>
      </c>
      <c r="Z278">
        <f>0</f>
        <v>0</v>
      </c>
      <c r="AA278" t="s">
        <v>158</v>
      </c>
      <c r="AB278" t="s">
        <v>158</v>
      </c>
      <c r="AD278">
        <f>0</f>
        <v>0</v>
      </c>
      <c r="AE278">
        <f>0</f>
        <v>0</v>
      </c>
    </row>
    <row r="279" spans="1:34" x14ac:dyDescent="0.25">
      <c r="A279" t="s">
        <v>1135</v>
      </c>
      <c r="B279" t="s">
        <v>148</v>
      </c>
      <c r="C279" s="1">
        <v>45712</v>
      </c>
      <c r="D279" t="s">
        <v>175</v>
      </c>
      <c r="E279" t="s">
        <v>176</v>
      </c>
      <c r="F279" t="s">
        <v>556</v>
      </c>
      <c r="G279" t="s">
        <v>557</v>
      </c>
      <c r="H279">
        <v>1708</v>
      </c>
      <c r="I279" t="s">
        <v>6591</v>
      </c>
      <c r="J279">
        <v>14987</v>
      </c>
      <c r="K279" t="s">
        <v>5254</v>
      </c>
      <c r="L279" t="s">
        <v>180</v>
      </c>
      <c r="M279" t="s">
        <v>1136</v>
      </c>
      <c r="N279" t="s">
        <v>1137</v>
      </c>
      <c r="O279" t="s">
        <v>1138</v>
      </c>
      <c r="Q279" t="s">
        <v>6336</v>
      </c>
      <c r="R279">
        <f>1</f>
        <v>1</v>
      </c>
      <c r="S279">
        <f>11.8</f>
        <v>11.8</v>
      </c>
      <c r="T279">
        <f>7.5</f>
        <v>7.5</v>
      </c>
      <c r="U279">
        <f>440</f>
        <v>440</v>
      </c>
      <c r="X279">
        <f>0</f>
        <v>0</v>
      </c>
      <c r="Y279" t="s">
        <v>157</v>
      </c>
      <c r="Z279">
        <f>0</f>
        <v>0</v>
      </c>
      <c r="AA279" t="s">
        <v>158</v>
      </c>
      <c r="AB279" t="s">
        <v>158</v>
      </c>
      <c r="AD279">
        <f>0</f>
        <v>0</v>
      </c>
      <c r="AE279">
        <f>0</f>
        <v>0</v>
      </c>
    </row>
    <row r="280" spans="1:34" x14ac:dyDescent="0.25">
      <c r="A280" t="s">
        <v>1139</v>
      </c>
      <c r="B280" t="s">
        <v>148</v>
      </c>
      <c r="C280" s="1">
        <v>45712</v>
      </c>
      <c r="D280" t="s">
        <v>175</v>
      </c>
      <c r="E280" t="s">
        <v>176</v>
      </c>
      <c r="F280" t="s">
        <v>556</v>
      </c>
      <c r="G280" t="s">
        <v>557</v>
      </c>
      <c r="H280">
        <v>1708</v>
      </c>
      <c r="I280" t="s">
        <v>6591</v>
      </c>
      <c r="J280">
        <v>14987</v>
      </c>
      <c r="K280" t="s">
        <v>5254</v>
      </c>
      <c r="L280" t="s">
        <v>180</v>
      </c>
      <c r="M280" t="s">
        <v>4752</v>
      </c>
      <c r="N280" t="s">
        <v>1140</v>
      </c>
      <c r="O280" t="s">
        <v>1141</v>
      </c>
      <c r="Q280" t="s">
        <v>6311</v>
      </c>
      <c r="R280">
        <f>1</f>
        <v>1</v>
      </c>
      <c r="S280">
        <f>9.4</f>
        <v>9.4</v>
      </c>
      <c r="T280">
        <f>7.5</f>
        <v>7.5</v>
      </c>
      <c r="U280">
        <f>528</f>
        <v>528</v>
      </c>
      <c r="X280">
        <f>0</f>
        <v>0</v>
      </c>
      <c r="Y280" t="s">
        <v>157</v>
      </c>
      <c r="Z280">
        <f>0</f>
        <v>0</v>
      </c>
      <c r="AA280" t="s">
        <v>158</v>
      </c>
      <c r="AB280" t="s">
        <v>158</v>
      </c>
      <c r="AD280">
        <f>0</f>
        <v>0</v>
      </c>
      <c r="AE280">
        <f>0</f>
        <v>0</v>
      </c>
    </row>
    <row r="281" spans="1:34" x14ac:dyDescent="0.25">
      <c r="A281" t="s">
        <v>1142</v>
      </c>
      <c r="B281" t="s">
        <v>148</v>
      </c>
      <c r="C281" s="1">
        <v>45742</v>
      </c>
      <c r="D281" t="s">
        <v>175</v>
      </c>
      <c r="E281" t="s">
        <v>176</v>
      </c>
      <c r="F281" t="s">
        <v>556</v>
      </c>
      <c r="G281" t="s">
        <v>557</v>
      </c>
      <c r="H281">
        <v>1706</v>
      </c>
      <c r="I281" t="s">
        <v>6592</v>
      </c>
      <c r="J281">
        <v>17666</v>
      </c>
      <c r="K281" t="s">
        <v>5254</v>
      </c>
      <c r="L281" t="s">
        <v>154</v>
      </c>
      <c r="M281" t="s">
        <v>1143</v>
      </c>
      <c r="N281" t="s">
        <v>4975</v>
      </c>
      <c r="O281" t="s">
        <v>1144</v>
      </c>
      <c r="Q281" t="s">
        <v>6313</v>
      </c>
      <c r="R281">
        <f>1</f>
        <v>1</v>
      </c>
      <c r="S281">
        <f>14.3</f>
        <v>14.3</v>
      </c>
      <c r="T281">
        <f>7.5</f>
        <v>7.5</v>
      </c>
      <c r="U281">
        <f>424</f>
        <v>424</v>
      </c>
      <c r="X281">
        <f>0</f>
        <v>0</v>
      </c>
      <c r="Y281" t="s">
        <v>157</v>
      </c>
      <c r="Z281">
        <f>0</f>
        <v>0</v>
      </c>
      <c r="AA281" t="s">
        <v>158</v>
      </c>
      <c r="AB281" t="s">
        <v>158</v>
      </c>
      <c r="AD281">
        <f>0</f>
        <v>0</v>
      </c>
      <c r="AE281">
        <f>0</f>
        <v>0</v>
      </c>
    </row>
    <row r="282" spans="1:34" x14ac:dyDescent="0.25">
      <c r="A282" t="s">
        <v>1145</v>
      </c>
      <c r="B282" t="s">
        <v>148</v>
      </c>
      <c r="C282" s="1">
        <v>45721</v>
      </c>
      <c r="D282" t="s">
        <v>175</v>
      </c>
      <c r="E282" t="s">
        <v>176</v>
      </c>
      <c r="F282" t="s">
        <v>1146</v>
      </c>
      <c r="G282" t="s">
        <v>6593</v>
      </c>
      <c r="H282">
        <v>12</v>
      </c>
      <c r="I282" t="s">
        <v>6593</v>
      </c>
      <c r="J282">
        <v>7170</v>
      </c>
      <c r="K282" t="s">
        <v>5257</v>
      </c>
      <c r="L282" t="s">
        <v>4940</v>
      </c>
      <c r="M282" t="s">
        <v>4753</v>
      </c>
      <c r="N282" t="s">
        <v>4754</v>
      </c>
      <c r="O282" t="s">
        <v>1147</v>
      </c>
      <c r="R282">
        <f>1</f>
        <v>1</v>
      </c>
      <c r="S282">
        <f>11.7</f>
        <v>11.7</v>
      </c>
      <c r="T282">
        <f>7.5</f>
        <v>7.5</v>
      </c>
      <c r="U282">
        <f>360</f>
        <v>360</v>
      </c>
      <c r="V282">
        <f>0.18</f>
        <v>0.18</v>
      </c>
      <c r="X282">
        <f>1</f>
        <v>1</v>
      </c>
      <c r="Y282" t="s">
        <v>157</v>
      </c>
      <c r="Z282">
        <f>0</f>
        <v>0</v>
      </c>
      <c r="AA282" t="s">
        <v>158</v>
      </c>
      <c r="AB282" t="s">
        <v>158</v>
      </c>
      <c r="AC282">
        <f>0</f>
        <v>0</v>
      </c>
      <c r="AD282">
        <f>0</f>
        <v>0</v>
      </c>
      <c r="AE282">
        <f>0</f>
        <v>0</v>
      </c>
    </row>
    <row r="283" spans="1:34" x14ac:dyDescent="0.25">
      <c r="A283" t="s">
        <v>1148</v>
      </c>
      <c r="B283" t="s">
        <v>148</v>
      </c>
      <c r="C283" s="1">
        <v>45716</v>
      </c>
      <c r="D283" t="s">
        <v>618</v>
      </c>
      <c r="E283" t="s">
        <v>619</v>
      </c>
      <c r="F283" t="s">
        <v>620</v>
      </c>
      <c r="G283" t="s">
        <v>1149</v>
      </c>
      <c r="H283">
        <v>30</v>
      </c>
      <c r="I283" t="s">
        <v>1150</v>
      </c>
      <c r="J283">
        <v>501</v>
      </c>
      <c r="K283" t="s">
        <v>5257</v>
      </c>
      <c r="L283" t="s">
        <v>393</v>
      </c>
      <c r="M283" t="s">
        <v>1151</v>
      </c>
      <c r="N283" t="s">
        <v>1152</v>
      </c>
      <c r="O283" t="s">
        <v>1153</v>
      </c>
      <c r="R283">
        <f>1</f>
        <v>1</v>
      </c>
      <c r="S283">
        <f>7.5</f>
        <v>7.5</v>
      </c>
      <c r="T283">
        <f>7.7</f>
        <v>7.7</v>
      </c>
      <c r="U283">
        <f>143</f>
        <v>143</v>
      </c>
      <c r="V283">
        <f>0.1</f>
        <v>0.1</v>
      </c>
      <c r="X283">
        <f>0</f>
        <v>0</v>
      </c>
      <c r="Y283">
        <f>0.1</f>
        <v>0.1</v>
      </c>
      <c r="Z283">
        <f>0</f>
        <v>0</v>
      </c>
      <c r="AA283" t="s">
        <v>158</v>
      </c>
      <c r="AB283" t="s">
        <v>158</v>
      </c>
      <c r="AC283">
        <f>0</f>
        <v>0</v>
      </c>
      <c r="AD283">
        <f>0</f>
        <v>0</v>
      </c>
      <c r="AE283">
        <f>0</f>
        <v>0</v>
      </c>
      <c r="AH283" t="s">
        <v>157</v>
      </c>
    </row>
    <row r="284" spans="1:34" x14ac:dyDescent="0.25">
      <c r="A284" t="s">
        <v>1154</v>
      </c>
      <c r="B284" t="s">
        <v>148</v>
      </c>
      <c r="C284" s="1">
        <v>45722</v>
      </c>
      <c r="D284" t="s">
        <v>175</v>
      </c>
      <c r="E284" t="s">
        <v>176</v>
      </c>
      <c r="F284" t="s">
        <v>630</v>
      </c>
      <c r="G284" t="s">
        <v>6594</v>
      </c>
      <c r="H284">
        <v>28</v>
      </c>
      <c r="I284" t="s">
        <v>6594</v>
      </c>
      <c r="J284">
        <v>1000</v>
      </c>
      <c r="K284" t="s">
        <v>5257</v>
      </c>
      <c r="L284" t="s">
        <v>154</v>
      </c>
      <c r="M284" t="s">
        <v>5899</v>
      </c>
      <c r="N284" t="s">
        <v>5125</v>
      </c>
      <c r="O284" t="s">
        <v>1155</v>
      </c>
      <c r="R284">
        <f>1</f>
        <v>1</v>
      </c>
      <c r="S284">
        <f>12.5</f>
        <v>12.5</v>
      </c>
      <c r="T284">
        <f>7.8</f>
        <v>7.8</v>
      </c>
      <c r="U284">
        <f>428</f>
        <v>428</v>
      </c>
      <c r="X284">
        <f>0</f>
        <v>0</v>
      </c>
      <c r="Y284">
        <f>0.2</f>
        <v>0.2</v>
      </c>
      <c r="Z284">
        <f>0</f>
        <v>0</v>
      </c>
      <c r="AA284" t="s">
        <v>158</v>
      </c>
      <c r="AB284" t="s">
        <v>158</v>
      </c>
      <c r="AD284">
        <f>0</f>
        <v>0</v>
      </c>
      <c r="AE284">
        <f>0</f>
        <v>0</v>
      </c>
    </row>
    <row r="285" spans="1:34" x14ac:dyDescent="0.25">
      <c r="A285" t="s">
        <v>1156</v>
      </c>
      <c r="B285" t="s">
        <v>148</v>
      </c>
      <c r="C285" s="1">
        <v>45715</v>
      </c>
      <c r="D285" t="s">
        <v>618</v>
      </c>
      <c r="E285" t="s">
        <v>619</v>
      </c>
      <c r="F285" t="s">
        <v>620</v>
      </c>
      <c r="G285" t="s">
        <v>1157</v>
      </c>
      <c r="H285">
        <v>34</v>
      </c>
      <c r="I285" t="s">
        <v>1157</v>
      </c>
      <c r="J285">
        <v>400</v>
      </c>
      <c r="K285" t="s">
        <v>5257</v>
      </c>
      <c r="L285" t="s">
        <v>180</v>
      </c>
      <c r="M285" t="s">
        <v>5900</v>
      </c>
      <c r="N285" t="s">
        <v>1158</v>
      </c>
      <c r="O285" t="s">
        <v>1159</v>
      </c>
      <c r="R285">
        <f>1</f>
        <v>1</v>
      </c>
      <c r="S285">
        <f>9.7</f>
        <v>9.6999999999999993</v>
      </c>
      <c r="T285">
        <f>7.5</f>
        <v>7.5</v>
      </c>
      <c r="U285">
        <f>66</f>
        <v>66</v>
      </c>
      <c r="X285">
        <f>0</f>
        <v>0</v>
      </c>
      <c r="Y285">
        <f>0.1</f>
        <v>0.1</v>
      </c>
      <c r="Z285">
        <f>0</f>
        <v>0</v>
      </c>
      <c r="AA285" t="s">
        <v>158</v>
      </c>
      <c r="AB285" t="s">
        <v>158</v>
      </c>
      <c r="AC285">
        <f>0</f>
        <v>0</v>
      </c>
      <c r="AD285">
        <f>0</f>
        <v>0</v>
      </c>
      <c r="AE285">
        <f>0</f>
        <v>0</v>
      </c>
      <c r="AH285" t="s">
        <v>157</v>
      </c>
    </row>
    <row r="286" spans="1:34" x14ac:dyDescent="0.25">
      <c r="A286" t="s">
        <v>1160</v>
      </c>
      <c r="B286" t="s">
        <v>148</v>
      </c>
      <c r="C286" s="1">
        <v>45741</v>
      </c>
      <c r="D286" t="s">
        <v>175</v>
      </c>
      <c r="E286" t="s">
        <v>649</v>
      </c>
      <c r="F286" t="s">
        <v>650</v>
      </c>
      <c r="G286" t="s">
        <v>5838</v>
      </c>
      <c r="H286">
        <v>35</v>
      </c>
      <c r="I286" t="s">
        <v>5838</v>
      </c>
      <c r="J286">
        <v>7224</v>
      </c>
      <c r="K286" t="s">
        <v>5257</v>
      </c>
      <c r="L286" t="s">
        <v>154</v>
      </c>
      <c r="M286" t="s">
        <v>1161</v>
      </c>
      <c r="N286" t="s">
        <v>1162</v>
      </c>
      <c r="O286" t="s">
        <v>1163</v>
      </c>
      <c r="R286">
        <f>1</f>
        <v>1</v>
      </c>
      <c r="S286">
        <f>11.3</f>
        <v>11.3</v>
      </c>
      <c r="T286">
        <f>7.6</f>
        <v>7.6</v>
      </c>
      <c r="U286">
        <f>443</f>
        <v>443</v>
      </c>
      <c r="V286">
        <f>0.11</f>
        <v>0.11</v>
      </c>
      <c r="X286">
        <f>0</f>
        <v>0</v>
      </c>
      <c r="Y286" t="s">
        <v>157</v>
      </c>
      <c r="Z286">
        <f>0</f>
        <v>0</v>
      </c>
      <c r="AA286" t="s">
        <v>158</v>
      </c>
      <c r="AB286" t="s">
        <v>158</v>
      </c>
      <c r="AC286">
        <f>0</f>
        <v>0</v>
      </c>
      <c r="AD286">
        <f>0</f>
        <v>0</v>
      </c>
      <c r="AE286">
        <f>0</f>
        <v>0</v>
      </c>
      <c r="AH286" t="s">
        <v>157</v>
      </c>
    </row>
    <row r="287" spans="1:34" x14ac:dyDescent="0.25">
      <c r="A287" t="s">
        <v>1164</v>
      </c>
      <c r="B287" t="s">
        <v>148</v>
      </c>
      <c r="C287" s="1">
        <v>45722</v>
      </c>
      <c r="D287" t="s">
        <v>149</v>
      </c>
      <c r="E287" t="s">
        <v>150</v>
      </c>
      <c r="F287" t="s">
        <v>625</v>
      </c>
      <c r="G287" t="s">
        <v>626</v>
      </c>
      <c r="H287">
        <v>32</v>
      </c>
      <c r="I287" t="s">
        <v>6595</v>
      </c>
      <c r="J287">
        <v>3240</v>
      </c>
      <c r="K287" t="s">
        <v>5254</v>
      </c>
      <c r="L287" t="s">
        <v>431</v>
      </c>
      <c r="M287" t="s">
        <v>1165</v>
      </c>
      <c r="N287" t="s">
        <v>5383</v>
      </c>
      <c r="O287" t="s">
        <v>1166</v>
      </c>
      <c r="R287">
        <f>1</f>
        <v>1</v>
      </c>
      <c r="S287">
        <f>8.5</f>
        <v>8.5</v>
      </c>
      <c r="T287">
        <f>6.6</f>
        <v>6.6</v>
      </c>
      <c r="U287">
        <f>350</f>
        <v>350</v>
      </c>
      <c r="V287" t="s">
        <v>157</v>
      </c>
      <c r="X287">
        <f>0</f>
        <v>0</v>
      </c>
      <c r="Y287">
        <f>0.1</f>
        <v>0.1</v>
      </c>
      <c r="Z287">
        <f>0</f>
        <v>0</v>
      </c>
      <c r="AA287" t="s">
        <v>158</v>
      </c>
      <c r="AB287" t="s">
        <v>158</v>
      </c>
      <c r="AD287">
        <f>0</f>
        <v>0</v>
      </c>
      <c r="AE287">
        <f>0</f>
        <v>0</v>
      </c>
      <c r="AH287" t="s">
        <v>157</v>
      </c>
    </row>
    <row r="288" spans="1:34" x14ac:dyDescent="0.25">
      <c r="A288" t="s">
        <v>1167</v>
      </c>
      <c r="B288" t="s">
        <v>148</v>
      </c>
      <c r="C288" s="1">
        <v>45719</v>
      </c>
      <c r="D288" t="s">
        <v>618</v>
      </c>
      <c r="E288" t="s">
        <v>619</v>
      </c>
      <c r="F288" t="s">
        <v>730</v>
      </c>
      <c r="G288" t="s">
        <v>1168</v>
      </c>
      <c r="H288">
        <v>51</v>
      </c>
      <c r="I288" t="s">
        <v>1168</v>
      </c>
      <c r="J288">
        <v>1140</v>
      </c>
      <c r="K288" t="s">
        <v>5257</v>
      </c>
      <c r="L288" t="s">
        <v>431</v>
      </c>
      <c r="M288" t="s">
        <v>5901</v>
      </c>
      <c r="N288" t="s">
        <v>5902</v>
      </c>
      <c r="O288" t="s">
        <v>1169</v>
      </c>
      <c r="R288">
        <f>1</f>
        <v>1</v>
      </c>
      <c r="S288">
        <f>10.3</f>
        <v>10.3</v>
      </c>
      <c r="T288">
        <f>8</f>
        <v>8</v>
      </c>
      <c r="U288">
        <f>96</f>
        <v>96</v>
      </c>
      <c r="V288">
        <f>0.19</f>
        <v>0.19</v>
      </c>
      <c r="X288">
        <f>0</f>
        <v>0</v>
      </c>
      <c r="Y288">
        <f>0.1</f>
        <v>0.1</v>
      </c>
      <c r="Z288">
        <f>0</f>
        <v>0</v>
      </c>
      <c r="AA288" t="s">
        <v>158</v>
      </c>
      <c r="AB288" t="s">
        <v>158</v>
      </c>
      <c r="AC288">
        <f>0</f>
        <v>0</v>
      </c>
      <c r="AD288">
        <f>0</f>
        <v>0</v>
      </c>
      <c r="AE288">
        <f>0</f>
        <v>0</v>
      </c>
      <c r="AH288" t="s">
        <v>157</v>
      </c>
    </row>
    <row r="289" spans="1:149" x14ac:dyDescent="0.25">
      <c r="A289" t="s">
        <v>1170</v>
      </c>
      <c r="B289" t="s">
        <v>148</v>
      </c>
      <c r="C289" s="1">
        <v>45834</v>
      </c>
      <c r="D289" t="s">
        <v>175</v>
      </c>
      <c r="E289" t="s">
        <v>649</v>
      </c>
      <c r="F289" t="s">
        <v>918</v>
      </c>
      <c r="G289" t="s">
        <v>919</v>
      </c>
      <c r="H289">
        <v>129</v>
      </c>
      <c r="I289" t="s">
        <v>1171</v>
      </c>
      <c r="J289">
        <v>1223</v>
      </c>
      <c r="K289" t="s">
        <v>5254</v>
      </c>
      <c r="L289" t="s">
        <v>431</v>
      </c>
      <c r="M289" t="s">
        <v>5384</v>
      </c>
      <c r="N289" t="s">
        <v>1172</v>
      </c>
      <c r="O289" t="s">
        <v>1173</v>
      </c>
      <c r="Q289" t="s">
        <v>6337</v>
      </c>
      <c r="R289">
        <f>1</f>
        <v>1</v>
      </c>
      <c r="S289">
        <f>17.5</f>
        <v>17.5</v>
      </c>
      <c r="T289">
        <f>7.8</f>
        <v>7.8</v>
      </c>
      <c r="U289">
        <f>356</f>
        <v>356</v>
      </c>
      <c r="X289">
        <f>0</f>
        <v>0</v>
      </c>
      <c r="Y289">
        <f>0.25</f>
        <v>0.25</v>
      </c>
      <c r="Z289">
        <f>0</f>
        <v>0</v>
      </c>
      <c r="AA289" t="s">
        <v>158</v>
      </c>
      <c r="AB289" t="s">
        <v>158</v>
      </c>
      <c r="AD289">
        <f>0</f>
        <v>0</v>
      </c>
      <c r="AE289">
        <f>0</f>
        <v>0</v>
      </c>
      <c r="AH289" t="s">
        <v>157</v>
      </c>
      <c r="AI289" t="s">
        <v>238</v>
      </c>
      <c r="AL289" t="s">
        <v>164</v>
      </c>
      <c r="AM289" t="s">
        <v>165</v>
      </c>
      <c r="AN289">
        <f>4.9</f>
        <v>4.9000000000000004</v>
      </c>
      <c r="AO289">
        <f>0.1</f>
        <v>0.1</v>
      </c>
      <c r="AP289">
        <f>10</f>
        <v>10</v>
      </c>
      <c r="AQ289">
        <f>1.9</f>
        <v>1.9</v>
      </c>
      <c r="AR289" t="s">
        <v>157</v>
      </c>
      <c r="AS289">
        <f>1.5</f>
        <v>1.5</v>
      </c>
      <c r="AY289" t="s">
        <v>167</v>
      </c>
      <c r="AZ289" t="s">
        <v>158</v>
      </c>
      <c r="BA289" t="s">
        <v>216</v>
      </c>
      <c r="BB289" t="s">
        <v>158</v>
      </c>
      <c r="BC289" t="s">
        <v>166</v>
      </c>
      <c r="BD289" t="s">
        <v>167</v>
      </c>
      <c r="BE289">
        <f>0.0034</f>
        <v>3.3999999999999998E-3</v>
      </c>
      <c r="BF289" t="s">
        <v>168</v>
      </c>
      <c r="BG289" t="s">
        <v>167</v>
      </c>
      <c r="BH289" t="s">
        <v>167</v>
      </c>
      <c r="BK289">
        <f>0.71</f>
        <v>0.71</v>
      </c>
      <c r="EL289">
        <f>2.8</f>
        <v>2.8</v>
      </c>
      <c r="EM289" t="s">
        <v>166</v>
      </c>
      <c r="EN289">
        <f>1.4</f>
        <v>1.4</v>
      </c>
      <c r="EO289">
        <f>0.53</f>
        <v>0.53</v>
      </c>
      <c r="ER289">
        <f>4.7</f>
        <v>4.7</v>
      </c>
    </row>
    <row r="290" spans="1:149" x14ac:dyDescent="0.25">
      <c r="A290" t="s">
        <v>1174</v>
      </c>
      <c r="B290" t="s">
        <v>148</v>
      </c>
      <c r="C290" s="1">
        <v>45721</v>
      </c>
      <c r="D290" t="s">
        <v>149</v>
      </c>
      <c r="E290" t="s">
        <v>150</v>
      </c>
      <c r="F290" t="s">
        <v>4755</v>
      </c>
      <c r="G290" t="s">
        <v>6596</v>
      </c>
      <c r="H290">
        <v>186</v>
      </c>
      <c r="I290" t="s">
        <v>6597</v>
      </c>
      <c r="J290">
        <v>1433</v>
      </c>
      <c r="K290" t="s">
        <v>5254</v>
      </c>
      <c r="L290" t="s">
        <v>431</v>
      </c>
      <c r="M290" t="s">
        <v>1175</v>
      </c>
      <c r="N290" t="s">
        <v>1176</v>
      </c>
      <c r="O290" t="s">
        <v>1177</v>
      </c>
      <c r="R290">
        <f>1</f>
        <v>1</v>
      </c>
      <c r="S290">
        <f>8.5</f>
        <v>8.5</v>
      </c>
      <c r="T290">
        <f>6.7</f>
        <v>6.7</v>
      </c>
      <c r="U290">
        <f>242</f>
        <v>242</v>
      </c>
      <c r="V290" t="s">
        <v>157</v>
      </c>
      <c r="X290">
        <f>0</f>
        <v>0</v>
      </c>
      <c r="Y290">
        <f>0.1</f>
        <v>0.1</v>
      </c>
      <c r="Z290">
        <f>0</f>
        <v>0</v>
      </c>
      <c r="AA290" t="s">
        <v>158</v>
      </c>
      <c r="AB290" t="s">
        <v>158</v>
      </c>
      <c r="AD290">
        <f>0</f>
        <v>0</v>
      </c>
      <c r="AE290">
        <f>0</f>
        <v>0</v>
      </c>
      <c r="AH290" t="s">
        <v>157</v>
      </c>
    </row>
    <row r="291" spans="1:149" x14ac:dyDescent="0.25">
      <c r="A291" t="s">
        <v>1178</v>
      </c>
      <c r="B291" t="s">
        <v>148</v>
      </c>
      <c r="C291" s="1">
        <v>45804</v>
      </c>
      <c r="D291" t="s">
        <v>149</v>
      </c>
      <c r="E291" t="s">
        <v>150</v>
      </c>
      <c r="F291" t="s">
        <v>151</v>
      </c>
      <c r="G291" t="s">
        <v>152</v>
      </c>
      <c r="H291">
        <v>10</v>
      </c>
      <c r="I291" t="s">
        <v>153</v>
      </c>
      <c r="J291">
        <v>41336</v>
      </c>
      <c r="K291" t="s">
        <v>5254</v>
      </c>
      <c r="L291" t="s">
        <v>154</v>
      </c>
      <c r="M291" t="s">
        <v>5903</v>
      </c>
      <c r="N291" t="s">
        <v>5385</v>
      </c>
      <c r="Q291" t="s">
        <v>6338</v>
      </c>
      <c r="R291">
        <f>1</f>
        <v>1</v>
      </c>
      <c r="S291">
        <f>14.9</f>
        <v>14.9</v>
      </c>
      <c r="T291">
        <f>7</f>
        <v>7</v>
      </c>
      <c r="U291">
        <f>534</f>
        <v>534</v>
      </c>
      <c r="X291">
        <f>0</f>
        <v>0</v>
      </c>
      <c r="Y291">
        <f>0.1</f>
        <v>0.1</v>
      </c>
      <c r="Z291">
        <f>0</f>
        <v>0</v>
      </c>
      <c r="AA291" t="s">
        <v>158</v>
      </c>
      <c r="AB291" t="s">
        <v>158</v>
      </c>
      <c r="AD291">
        <f>0</f>
        <v>0</v>
      </c>
      <c r="AE291">
        <f>0</f>
        <v>0</v>
      </c>
      <c r="AH291" t="s">
        <v>157</v>
      </c>
      <c r="AI291">
        <f>1.7</f>
        <v>1.7</v>
      </c>
      <c r="AL291" t="s">
        <v>164</v>
      </c>
      <c r="AM291" t="s">
        <v>165</v>
      </c>
      <c r="AN291">
        <f>14</f>
        <v>14</v>
      </c>
      <c r="AO291">
        <f>0.28</f>
        <v>0.28000000000000003</v>
      </c>
      <c r="AP291">
        <f>42</f>
        <v>42</v>
      </c>
      <c r="AQ291">
        <f>13</f>
        <v>13</v>
      </c>
      <c r="AR291" t="s">
        <v>157</v>
      </c>
      <c r="AS291">
        <f>9.2</f>
        <v>9.1999999999999993</v>
      </c>
      <c r="AY291">
        <f>2.1</f>
        <v>2.1</v>
      </c>
      <c r="AZ291" t="s">
        <v>158</v>
      </c>
      <c r="BA291">
        <f>0.019</f>
        <v>1.9E-2</v>
      </c>
      <c r="BB291" t="s">
        <v>158</v>
      </c>
      <c r="BC291" t="s">
        <v>166</v>
      </c>
      <c r="BD291" t="s">
        <v>167</v>
      </c>
      <c r="BE291">
        <f>0.023</f>
        <v>2.3E-2</v>
      </c>
      <c r="BF291" t="s">
        <v>168</v>
      </c>
      <c r="BG291" t="s">
        <v>167</v>
      </c>
      <c r="BH291" t="s">
        <v>167</v>
      </c>
      <c r="BK291">
        <f>2.7</f>
        <v>2.7</v>
      </c>
      <c r="EL291">
        <f>1.7</f>
        <v>1.7</v>
      </c>
      <c r="EM291" t="s">
        <v>166</v>
      </c>
      <c r="EN291">
        <f>0.33</f>
        <v>0.33</v>
      </c>
      <c r="EO291">
        <f>0.28</f>
        <v>0.28000000000000003</v>
      </c>
      <c r="EP291" t="s">
        <v>157</v>
      </c>
      <c r="EQ291" t="s">
        <v>157</v>
      </c>
      <c r="ER291">
        <f>2.3</f>
        <v>2.2999999999999998</v>
      </c>
      <c r="ES291" t="s">
        <v>166</v>
      </c>
    </row>
    <row r="292" spans="1:149" x14ac:dyDescent="0.25">
      <c r="A292" t="s">
        <v>1179</v>
      </c>
      <c r="B292" t="s">
        <v>148</v>
      </c>
      <c r="C292" s="1">
        <v>45722</v>
      </c>
      <c r="D292" t="s">
        <v>149</v>
      </c>
      <c r="E292" t="s">
        <v>150</v>
      </c>
      <c r="F292" t="s">
        <v>151</v>
      </c>
      <c r="G292" t="s">
        <v>5126</v>
      </c>
      <c r="H292">
        <v>222</v>
      </c>
      <c r="I292" t="s">
        <v>5126</v>
      </c>
      <c r="J292">
        <v>811</v>
      </c>
      <c r="K292" t="s">
        <v>5254</v>
      </c>
      <c r="L292" t="s">
        <v>431</v>
      </c>
      <c r="M292" t="s">
        <v>4976</v>
      </c>
      <c r="N292" t="s">
        <v>4977</v>
      </c>
      <c r="O292" t="s">
        <v>1180</v>
      </c>
      <c r="R292">
        <f>1</f>
        <v>1</v>
      </c>
      <c r="S292">
        <f>8.7</f>
        <v>8.6999999999999993</v>
      </c>
      <c r="T292">
        <f>6.8</f>
        <v>6.8</v>
      </c>
      <c r="U292">
        <f>452</f>
        <v>452</v>
      </c>
      <c r="V292" t="s">
        <v>157</v>
      </c>
      <c r="X292">
        <f>0</f>
        <v>0</v>
      </c>
      <c r="Y292">
        <f>0.1</f>
        <v>0.1</v>
      </c>
      <c r="Z292">
        <f>0</f>
        <v>0</v>
      </c>
      <c r="AA292" t="s">
        <v>158</v>
      </c>
      <c r="AB292" t="s">
        <v>158</v>
      </c>
      <c r="AD292">
        <f>0</f>
        <v>0</v>
      </c>
      <c r="AE292">
        <f>0</f>
        <v>0</v>
      </c>
      <c r="AH292" t="s">
        <v>157</v>
      </c>
    </row>
    <row r="293" spans="1:149" x14ac:dyDescent="0.25">
      <c r="A293" t="s">
        <v>1181</v>
      </c>
      <c r="B293" t="s">
        <v>148</v>
      </c>
      <c r="C293" s="1">
        <v>45721</v>
      </c>
      <c r="D293" t="s">
        <v>189</v>
      </c>
      <c r="E293" t="s">
        <v>284</v>
      </c>
      <c r="F293" t="s">
        <v>665</v>
      </c>
      <c r="G293" t="s">
        <v>666</v>
      </c>
      <c r="H293">
        <v>193</v>
      </c>
      <c r="I293" t="s">
        <v>666</v>
      </c>
      <c r="J293">
        <v>10226</v>
      </c>
      <c r="K293" t="s">
        <v>5257</v>
      </c>
      <c r="L293" t="s">
        <v>387</v>
      </c>
      <c r="M293" t="s">
        <v>5904</v>
      </c>
      <c r="N293" t="s">
        <v>5905</v>
      </c>
      <c r="O293" t="s">
        <v>1182</v>
      </c>
      <c r="R293">
        <f>1</f>
        <v>1</v>
      </c>
      <c r="S293">
        <f>9.2</f>
        <v>9.1999999999999993</v>
      </c>
      <c r="T293">
        <f>8.1</f>
        <v>8.1</v>
      </c>
      <c r="U293">
        <f>362</f>
        <v>362</v>
      </c>
      <c r="V293">
        <f>0.15</f>
        <v>0.15</v>
      </c>
      <c r="X293">
        <f>0</f>
        <v>0</v>
      </c>
      <c r="Y293">
        <f>0.02</f>
        <v>0.02</v>
      </c>
      <c r="Z293">
        <f>0</f>
        <v>0</v>
      </c>
      <c r="AA293">
        <f>1</f>
        <v>1</v>
      </c>
      <c r="AB293">
        <f>2</f>
        <v>2</v>
      </c>
      <c r="AC293">
        <f>0</f>
        <v>0</v>
      </c>
      <c r="AD293">
        <f>0</f>
        <v>0</v>
      </c>
      <c r="AE293">
        <f>0</f>
        <v>0</v>
      </c>
      <c r="AH293" t="s">
        <v>157</v>
      </c>
    </row>
    <row r="294" spans="1:149" x14ac:dyDescent="0.25">
      <c r="A294" t="s">
        <v>1183</v>
      </c>
      <c r="B294" t="s">
        <v>148</v>
      </c>
      <c r="C294" s="1">
        <v>45793</v>
      </c>
      <c r="D294" t="s">
        <v>175</v>
      </c>
      <c r="E294" t="s">
        <v>176</v>
      </c>
      <c r="F294" t="s">
        <v>630</v>
      </c>
      <c r="G294" t="s">
        <v>1184</v>
      </c>
      <c r="H294">
        <v>711</v>
      </c>
      <c r="I294" t="s">
        <v>1184</v>
      </c>
      <c r="J294">
        <v>3705</v>
      </c>
      <c r="K294" t="s">
        <v>5254</v>
      </c>
      <c r="L294" t="s">
        <v>154</v>
      </c>
      <c r="M294" t="s">
        <v>5906</v>
      </c>
      <c r="N294" t="s">
        <v>1185</v>
      </c>
      <c r="O294" t="s">
        <v>1186</v>
      </c>
      <c r="Q294" t="s">
        <v>6311</v>
      </c>
      <c r="R294">
        <f>1</f>
        <v>1</v>
      </c>
      <c r="S294">
        <f>14.6</f>
        <v>14.6</v>
      </c>
      <c r="T294">
        <f>7.7</f>
        <v>7.7</v>
      </c>
      <c r="U294">
        <f>484</f>
        <v>484</v>
      </c>
      <c r="X294">
        <f>0</f>
        <v>0</v>
      </c>
      <c r="Y294" t="s">
        <v>157</v>
      </c>
      <c r="Z294">
        <f>0</f>
        <v>0</v>
      </c>
      <c r="AA294" t="s">
        <v>158</v>
      </c>
      <c r="AB294" t="s">
        <v>158</v>
      </c>
      <c r="AD294">
        <f>0</f>
        <v>0</v>
      </c>
      <c r="AE294">
        <f>0</f>
        <v>0</v>
      </c>
      <c r="AH294" t="s">
        <v>157</v>
      </c>
      <c r="AI294" t="s">
        <v>238</v>
      </c>
      <c r="AL294" t="s">
        <v>164</v>
      </c>
      <c r="AM294" t="s">
        <v>165</v>
      </c>
      <c r="AN294">
        <f>4</f>
        <v>4</v>
      </c>
      <c r="AO294">
        <f>0.08</f>
        <v>0.08</v>
      </c>
      <c r="AP294">
        <f>3.4</f>
        <v>3.4</v>
      </c>
      <c r="AQ294">
        <f>11</f>
        <v>11</v>
      </c>
      <c r="AR294" t="s">
        <v>157</v>
      </c>
      <c r="AS294">
        <f>6.2</f>
        <v>6.2</v>
      </c>
      <c r="AY294" t="s">
        <v>167</v>
      </c>
      <c r="AZ294" t="s">
        <v>158</v>
      </c>
      <c r="BA294" t="s">
        <v>216</v>
      </c>
      <c r="BB294" t="s">
        <v>158</v>
      </c>
      <c r="BC294" t="s">
        <v>166</v>
      </c>
      <c r="BD294" t="s">
        <v>167</v>
      </c>
      <c r="BE294">
        <f>0.0032</f>
        <v>3.2000000000000002E-3</v>
      </c>
      <c r="BF294" t="s">
        <v>168</v>
      </c>
      <c r="BG294" t="s">
        <v>167</v>
      </c>
      <c r="BH294" t="s">
        <v>167</v>
      </c>
      <c r="BK294">
        <f>0.51</f>
        <v>0.51</v>
      </c>
      <c r="EL294">
        <f>5.7</f>
        <v>5.7</v>
      </c>
      <c r="EM294" t="s">
        <v>166</v>
      </c>
      <c r="EN294">
        <f>2</f>
        <v>2</v>
      </c>
      <c r="EO294">
        <f>0.45</f>
        <v>0.45</v>
      </c>
      <c r="ER294">
        <f>8.2</f>
        <v>8.1999999999999993</v>
      </c>
    </row>
    <row r="295" spans="1:149" x14ac:dyDescent="0.25">
      <c r="A295" t="s">
        <v>1187</v>
      </c>
      <c r="B295" t="s">
        <v>148</v>
      </c>
      <c r="C295" s="1">
        <v>45721</v>
      </c>
      <c r="D295" t="s">
        <v>175</v>
      </c>
      <c r="E295" t="s">
        <v>284</v>
      </c>
      <c r="F295" t="s">
        <v>678</v>
      </c>
      <c r="G295" t="s">
        <v>5127</v>
      </c>
      <c r="H295">
        <v>1082</v>
      </c>
      <c r="I295" t="s">
        <v>5127</v>
      </c>
      <c r="J295">
        <v>3830</v>
      </c>
      <c r="K295" t="s">
        <v>5254</v>
      </c>
      <c r="L295" t="s">
        <v>4978</v>
      </c>
      <c r="M295" t="s">
        <v>5907</v>
      </c>
      <c r="N295" t="s">
        <v>1188</v>
      </c>
      <c r="O295" t="s">
        <v>1189</v>
      </c>
      <c r="R295">
        <f>1</f>
        <v>1</v>
      </c>
      <c r="S295">
        <f>9.6</f>
        <v>9.6</v>
      </c>
      <c r="T295">
        <f>7.3</f>
        <v>7.3</v>
      </c>
      <c r="U295">
        <f>492</f>
        <v>492</v>
      </c>
      <c r="W295">
        <f>0.1</f>
        <v>0.1</v>
      </c>
      <c r="X295">
        <f>0</f>
        <v>0</v>
      </c>
      <c r="Y295" t="s">
        <v>157</v>
      </c>
      <c r="Z295">
        <f>0</f>
        <v>0</v>
      </c>
      <c r="AA295" t="s">
        <v>158</v>
      </c>
      <c r="AB295" t="s">
        <v>158</v>
      </c>
      <c r="AD295">
        <f>0</f>
        <v>0</v>
      </c>
      <c r="AE295">
        <f>0</f>
        <v>0</v>
      </c>
    </row>
    <row r="296" spans="1:149" x14ac:dyDescent="0.25">
      <c r="A296" t="s">
        <v>1190</v>
      </c>
      <c r="B296" t="s">
        <v>148</v>
      </c>
      <c r="C296" s="1">
        <v>45835</v>
      </c>
      <c r="D296" t="s">
        <v>175</v>
      </c>
      <c r="E296" t="s">
        <v>649</v>
      </c>
      <c r="F296" t="s">
        <v>1191</v>
      </c>
      <c r="G296" t="s">
        <v>1192</v>
      </c>
      <c r="H296">
        <v>714</v>
      </c>
      <c r="I296" t="s">
        <v>1192</v>
      </c>
      <c r="J296">
        <v>1211</v>
      </c>
      <c r="K296" t="s">
        <v>5254</v>
      </c>
      <c r="L296" t="s">
        <v>431</v>
      </c>
      <c r="M296" t="s">
        <v>5908</v>
      </c>
      <c r="N296" t="s">
        <v>1193</v>
      </c>
      <c r="O296" t="s">
        <v>1194</v>
      </c>
      <c r="R296">
        <f>1</f>
        <v>1</v>
      </c>
      <c r="S296">
        <f>19.9</f>
        <v>19.899999999999999</v>
      </c>
      <c r="T296">
        <f>7.7</f>
        <v>7.7</v>
      </c>
      <c r="U296">
        <f>396</f>
        <v>396</v>
      </c>
      <c r="X296">
        <f>0</f>
        <v>0</v>
      </c>
      <c r="Y296" t="s">
        <v>1195</v>
      </c>
      <c r="Z296">
        <f>0</f>
        <v>0</v>
      </c>
      <c r="AA296" t="s">
        <v>158</v>
      </c>
      <c r="AB296" t="s">
        <v>158</v>
      </c>
      <c r="AD296">
        <f>0</f>
        <v>0</v>
      </c>
      <c r="AE296">
        <f>0</f>
        <v>0</v>
      </c>
      <c r="AH296" t="s">
        <v>157</v>
      </c>
      <c r="AI296" t="s">
        <v>238</v>
      </c>
      <c r="AL296" t="s">
        <v>164</v>
      </c>
      <c r="AM296" t="s">
        <v>165</v>
      </c>
      <c r="AN296">
        <f>6.6</f>
        <v>6.6</v>
      </c>
      <c r="AO296">
        <f>0.13</f>
        <v>0.13</v>
      </c>
      <c r="AP296">
        <f>16</f>
        <v>16</v>
      </c>
      <c r="AQ296">
        <f>6.1</f>
        <v>6.1</v>
      </c>
      <c r="AR296" t="s">
        <v>157</v>
      </c>
      <c r="AS296">
        <f>3.5</f>
        <v>3.5</v>
      </c>
      <c r="AY296" t="s">
        <v>167</v>
      </c>
      <c r="AZ296" t="s">
        <v>158</v>
      </c>
      <c r="BA296" t="s">
        <v>216</v>
      </c>
      <c r="BB296" t="s">
        <v>158</v>
      </c>
      <c r="BC296" t="s">
        <v>166</v>
      </c>
      <c r="BD296" t="s">
        <v>167</v>
      </c>
      <c r="BE296">
        <f>0.013</f>
        <v>1.2999999999999999E-2</v>
      </c>
      <c r="BF296" t="s">
        <v>168</v>
      </c>
      <c r="BG296" t="s">
        <v>167</v>
      </c>
      <c r="BH296">
        <f>1.9</f>
        <v>1.9</v>
      </c>
      <c r="BK296">
        <f>0.45</f>
        <v>0.45</v>
      </c>
      <c r="EL296">
        <f>0.73</f>
        <v>0.73</v>
      </c>
      <c r="EM296">
        <f>0.22</f>
        <v>0.22</v>
      </c>
      <c r="EN296">
        <f>0.9</f>
        <v>0.9</v>
      </c>
      <c r="EO296">
        <f>1.1</f>
        <v>1.1000000000000001</v>
      </c>
      <c r="ER296">
        <f>3</f>
        <v>3</v>
      </c>
    </row>
    <row r="297" spans="1:149" x14ac:dyDescent="0.25">
      <c r="A297" t="s">
        <v>1196</v>
      </c>
      <c r="B297" t="s">
        <v>148</v>
      </c>
      <c r="C297" s="1">
        <v>45720</v>
      </c>
      <c r="D297" t="s">
        <v>242</v>
      </c>
      <c r="E297" t="s">
        <v>243</v>
      </c>
      <c r="F297" t="s">
        <v>244</v>
      </c>
      <c r="G297" t="s">
        <v>245</v>
      </c>
      <c r="H297">
        <v>155</v>
      </c>
      <c r="I297" t="s">
        <v>1197</v>
      </c>
      <c r="J297">
        <v>916</v>
      </c>
      <c r="K297" t="s">
        <v>5257</v>
      </c>
      <c r="L297" t="s">
        <v>1198</v>
      </c>
      <c r="M297" t="s">
        <v>5386</v>
      </c>
      <c r="N297" t="s">
        <v>5387</v>
      </c>
      <c r="O297" t="s">
        <v>1199</v>
      </c>
      <c r="R297">
        <f>1</f>
        <v>1</v>
      </c>
      <c r="S297">
        <f>10.7</f>
        <v>10.7</v>
      </c>
      <c r="T297">
        <f>7.8</f>
        <v>7.8</v>
      </c>
      <c r="U297">
        <f>445</f>
        <v>445</v>
      </c>
      <c r="V297">
        <f>0.27</f>
        <v>0.27</v>
      </c>
      <c r="X297">
        <f>0</f>
        <v>0</v>
      </c>
      <c r="Y297" t="s">
        <v>157</v>
      </c>
      <c r="Z297">
        <f>0</f>
        <v>0</v>
      </c>
      <c r="AA297" t="s">
        <v>158</v>
      </c>
      <c r="AB297">
        <f>12</f>
        <v>12</v>
      </c>
      <c r="AC297">
        <f>0</f>
        <v>0</v>
      </c>
      <c r="AD297">
        <f>0</f>
        <v>0</v>
      </c>
      <c r="AE297">
        <f>0</f>
        <v>0</v>
      </c>
      <c r="AH297" t="s">
        <v>157</v>
      </c>
    </row>
    <row r="298" spans="1:149" x14ac:dyDescent="0.25">
      <c r="A298" t="s">
        <v>1200</v>
      </c>
      <c r="B298" t="s">
        <v>148</v>
      </c>
      <c r="C298" s="1">
        <v>45758</v>
      </c>
      <c r="D298" t="s">
        <v>175</v>
      </c>
      <c r="E298" t="s">
        <v>176</v>
      </c>
      <c r="F298" t="s">
        <v>630</v>
      </c>
      <c r="G298" t="s">
        <v>5909</v>
      </c>
      <c r="H298">
        <v>738</v>
      </c>
      <c r="I298" t="s">
        <v>5909</v>
      </c>
      <c r="J298">
        <v>2808</v>
      </c>
      <c r="K298" t="s">
        <v>5254</v>
      </c>
      <c r="L298" t="s">
        <v>154</v>
      </c>
      <c r="M298" t="s">
        <v>1201</v>
      </c>
      <c r="N298" t="s">
        <v>5910</v>
      </c>
      <c r="O298" t="s">
        <v>1202</v>
      </c>
      <c r="R298">
        <f>1</f>
        <v>1</v>
      </c>
      <c r="S298">
        <f>11.5</f>
        <v>11.5</v>
      </c>
      <c r="T298">
        <f>7.4</f>
        <v>7.4</v>
      </c>
      <c r="U298">
        <f>569</f>
        <v>569</v>
      </c>
      <c r="V298">
        <f>0.21</f>
        <v>0.21</v>
      </c>
      <c r="X298">
        <f>0</f>
        <v>0</v>
      </c>
      <c r="Y298" t="s">
        <v>157</v>
      </c>
      <c r="Z298">
        <f>0</f>
        <v>0</v>
      </c>
      <c r="AA298" t="s">
        <v>158</v>
      </c>
      <c r="AB298" t="s">
        <v>158</v>
      </c>
      <c r="AD298">
        <f>0</f>
        <v>0</v>
      </c>
      <c r="AE298">
        <f>0</f>
        <v>0</v>
      </c>
      <c r="AI298">
        <f>0.7</f>
        <v>0.7</v>
      </c>
      <c r="AL298" t="s">
        <v>164</v>
      </c>
      <c r="AM298" t="s">
        <v>165</v>
      </c>
      <c r="AN298">
        <f>8</f>
        <v>8</v>
      </c>
      <c r="AO298">
        <f>0.16</f>
        <v>0.16</v>
      </c>
      <c r="AP298">
        <f>5.8</f>
        <v>5.8</v>
      </c>
      <c r="AQ298">
        <f>2.9</f>
        <v>2.9</v>
      </c>
      <c r="AR298" t="s">
        <v>157</v>
      </c>
      <c r="AS298">
        <f>1.4</f>
        <v>1.4</v>
      </c>
      <c r="AY298" t="s">
        <v>167</v>
      </c>
      <c r="AZ298" t="s">
        <v>158</v>
      </c>
      <c r="BA298" t="s">
        <v>216</v>
      </c>
      <c r="BB298" t="s">
        <v>158</v>
      </c>
      <c r="BC298" t="s">
        <v>166</v>
      </c>
      <c r="BD298" t="s">
        <v>167</v>
      </c>
      <c r="BE298">
        <f>0.0052</f>
        <v>5.1999999999999998E-3</v>
      </c>
      <c r="BF298" t="s">
        <v>168</v>
      </c>
      <c r="BG298" t="s">
        <v>167</v>
      </c>
      <c r="BH298" t="s">
        <v>167</v>
      </c>
      <c r="BK298">
        <f>0.61</f>
        <v>0.61</v>
      </c>
      <c r="BL298" t="s">
        <v>168</v>
      </c>
      <c r="BM298" t="s">
        <v>168</v>
      </c>
      <c r="BN298" t="s">
        <v>168</v>
      </c>
      <c r="BO298" t="s">
        <v>168</v>
      </c>
      <c r="BP298" t="s">
        <v>168</v>
      </c>
      <c r="BQ298" t="s">
        <v>168</v>
      </c>
      <c r="BR298" t="s">
        <v>168</v>
      </c>
      <c r="BS298" t="s">
        <v>168</v>
      </c>
      <c r="BT298" t="s">
        <v>209</v>
      </c>
      <c r="BU298" t="s">
        <v>168</v>
      </c>
      <c r="BV298" t="s">
        <v>209</v>
      </c>
      <c r="BW298" t="s">
        <v>209</v>
      </c>
      <c r="BX298" t="s">
        <v>209</v>
      </c>
      <c r="BY298" t="s">
        <v>209</v>
      </c>
      <c r="BZ298" t="s">
        <v>216</v>
      </c>
      <c r="CA298" t="s">
        <v>216</v>
      </c>
      <c r="CB298" t="s">
        <v>168</v>
      </c>
      <c r="CC298" t="s">
        <v>168</v>
      </c>
      <c r="CD298" t="s">
        <v>216</v>
      </c>
      <c r="CE298" t="s">
        <v>209</v>
      </c>
      <c r="CF298" t="s">
        <v>168</v>
      </c>
      <c r="CG298" t="s">
        <v>168</v>
      </c>
      <c r="CH298" t="s">
        <v>165</v>
      </c>
      <c r="CI298">
        <f>0.027</f>
        <v>2.7E-2</v>
      </c>
      <c r="CJ298" t="s">
        <v>216</v>
      </c>
      <c r="CK298" t="s">
        <v>216</v>
      </c>
      <c r="CL298" t="s">
        <v>216</v>
      </c>
      <c r="CM298" t="s">
        <v>216</v>
      </c>
      <c r="CN298" t="s">
        <v>216</v>
      </c>
      <c r="CO298" t="s">
        <v>216</v>
      </c>
      <c r="CP298" t="s">
        <v>216</v>
      </c>
      <c r="CQ298" t="s">
        <v>216</v>
      </c>
      <c r="CR298">
        <f>0.039</f>
        <v>3.9E-2</v>
      </c>
      <c r="CS298" t="s">
        <v>216</v>
      </c>
      <c r="CT298" t="s">
        <v>216</v>
      </c>
      <c r="CU298" t="s">
        <v>216</v>
      </c>
      <c r="CV298" t="s">
        <v>216</v>
      </c>
      <c r="CW298" t="s">
        <v>216</v>
      </c>
      <c r="CX298" t="s">
        <v>216</v>
      </c>
      <c r="CY298" t="s">
        <v>216</v>
      </c>
      <c r="CZ298" t="s">
        <v>216</v>
      </c>
      <c r="DA298" t="s">
        <v>168</v>
      </c>
      <c r="DB298" t="s">
        <v>216</v>
      </c>
      <c r="DC298" t="s">
        <v>216</v>
      </c>
      <c r="DD298" t="s">
        <v>216</v>
      </c>
      <c r="DE298" t="s">
        <v>168</v>
      </c>
      <c r="DF298" t="s">
        <v>168</v>
      </c>
      <c r="DG298" t="s">
        <v>216</v>
      </c>
      <c r="DH298" t="s">
        <v>216</v>
      </c>
      <c r="DI298" t="s">
        <v>216</v>
      </c>
      <c r="DJ298" t="s">
        <v>216</v>
      </c>
      <c r="DK298" t="s">
        <v>168</v>
      </c>
      <c r="DL298" t="s">
        <v>216</v>
      </c>
      <c r="DM298" t="s">
        <v>216</v>
      </c>
      <c r="DN298" t="s">
        <v>216</v>
      </c>
      <c r="DO298" t="s">
        <v>216</v>
      </c>
      <c r="DP298" t="s">
        <v>168</v>
      </c>
      <c r="DQ298" t="s">
        <v>216</v>
      </c>
      <c r="DR298" t="s">
        <v>168</v>
      </c>
      <c r="DS298" t="s">
        <v>168</v>
      </c>
      <c r="DT298" t="s">
        <v>168</v>
      </c>
      <c r="DU298" t="s">
        <v>168</v>
      </c>
      <c r="DV298" t="s">
        <v>168</v>
      </c>
      <c r="DW298" t="s">
        <v>168</v>
      </c>
      <c r="DX298" t="s">
        <v>168</v>
      </c>
      <c r="DY298" t="s">
        <v>168</v>
      </c>
      <c r="DZ298" t="s">
        <v>209</v>
      </c>
      <c r="EA298" t="s">
        <v>216</v>
      </c>
      <c r="EB298" t="s">
        <v>168</v>
      </c>
      <c r="EC298" t="s">
        <v>168</v>
      </c>
      <c r="ED298" t="s">
        <v>209</v>
      </c>
      <c r="EE298" t="s">
        <v>168</v>
      </c>
      <c r="EL298">
        <f>0.14</f>
        <v>0.14000000000000001</v>
      </c>
      <c r="EM298" t="s">
        <v>166</v>
      </c>
      <c r="EN298">
        <f>0.3</f>
        <v>0.3</v>
      </c>
      <c r="EO298">
        <f>0.34</f>
        <v>0.34</v>
      </c>
      <c r="ER298">
        <f>0.78</f>
        <v>0.78</v>
      </c>
    </row>
    <row r="299" spans="1:149" x14ac:dyDescent="0.25">
      <c r="A299" t="s">
        <v>1203</v>
      </c>
      <c r="B299" t="s">
        <v>148</v>
      </c>
      <c r="C299" s="1">
        <v>45721</v>
      </c>
      <c r="D299" t="s">
        <v>189</v>
      </c>
      <c r="E299" t="s">
        <v>284</v>
      </c>
      <c r="F299" t="s">
        <v>665</v>
      </c>
      <c r="G299" t="s">
        <v>5911</v>
      </c>
      <c r="H299">
        <v>327</v>
      </c>
      <c r="I299" t="s">
        <v>5911</v>
      </c>
      <c r="J299">
        <v>382</v>
      </c>
      <c r="K299" t="s">
        <v>5257</v>
      </c>
      <c r="L299" t="s">
        <v>350</v>
      </c>
      <c r="M299" t="s">
        <v>5912</v>
      </c>
      <c r="N299" t="s">
        <v>5913</v>
      </c>
      <c r="O299" t="s">
        <v>1204</v>
      </c>
      <c r="R299">
        <f>1</f>
        <v>1</v>
      </c>
      <c r="S299">
        <f>9.8</f>
        <v>9.8000000000000007</v>
      </c>
      <c r="T299">
        <f>7.5</f>
        <v>7.5</v>
      </c>
      <c r="U299">
        <f>412</f>
        <v>412</v>
      </c>
      <c r="V299">
        <f>0.33</f>
        <v>0.33</v>
      </c>
      <c r="X299">
        <f>0</f>
        <v>0</v>
      </c>
      <c r="Y299">
        <f>0.02</f>
        <v>0.02</v>
      </c>
      <c r="Z299">
        <f>0</f>
        <v>0</v>
      </c>
      <c r="AA299">
        <f>1</f>
        <v>1</v>
      </c>
      <c r="AB299">
        <f>0</f>
        <v>0</v>
      </c>
      <c r="AC299">
        <f>0</f>
        <v>0</v>
      </c>
      <c r="AD299">
        <f>0</f>
        <v>0</v>
      </c>
      <c r="AE299">
        <f>0</f>
        <v>0</v>
      </c>
      <c r="AH299" t="s">
        <v>157</v>
      </c>
      <c r="AI299">
        <f>0.59</f>
        <v>0.59</v>
      </c>
      <c r="AL299">
        <f>0.015</f>
        <v>1.4999999999999999E-2</v>
      </c>
      <c r="AM299" t="s">
        <v>266</v>
      </c>
      <c r="AN299">
        <f>6.02</f>
        <v>6.02</v>
      </c>
      <c r="AO299">
        <f>0.12</f>
        <v>0.12</v>
      </c>
      <c r="AP299">
        <f>3.35</f>
        <v>3.35</v>
      </c>
      <c r="AQ299">
        <f>3.86</f>
        <v>3.86</v>
      </c>
    </row>
    <row r="300" spans="1:149" x14ac:dyDescent="0.25">
      <c r="A300" t="s">
        <v>1205</v>
      </c>
      <c r="B300" t="s">
        <v>148</v>
      </c>
      <c r="C300" s="1">
        <v>45719</v>
      </c>
      <c r="D300" t="s">
        <v>269</v>
      </c>
      <c r="E300" t="s">
        <v>270</v>
      </c>
      <c r="F300" t="s">
        <v>271</v>
      </c>
      <c r="G300" t="s">
        <v>5128</v>
      </c>
      <c r="H300">
        <v>161</v>
      </c>
      <c r="I300" t="s">
        <v>5128</v>
      </c>
      <c r="J300">
        <v>1839</v>
      </c>
      <c r="K300" t="s">
        <v>5257</v>
      </c>
      <c r="L300" t="s">
        <v>4940</v>
      </c>
      <c r="M300" t="s">
        <v>5914</v>
      </c>
      <c r="N300" t="s">
        <v>1206</v>
      </c>
      <c r="O300" t="s">
        <v>1207</v>
      </c>
      <c r="R300">
        <f>1</f>
        <v>1</v>
      </c>
      <c r="S300">
        <f>12.5</f>
        <v>12.5</v>
      </c>
      <c r="T300">
        <f>7.5</f>
        <v>7.5</v>
      </c>
      <c r="U300">
        <f>645</f>
        <v>645</v>
      </c>
      <c r="V300">
        <f>0.17</f>
        <v>0.17</v>
      </c>
      <c r="X300">
        <f>0</f>
        <v>0</v>
      </c>
      <c r="Y300" t="s">
        <v>207</v>
      </c>
      <c r="Z300">
        <f>0</f>
        <v>0</v>
      </c>
      <c r="AA300" t="s">
        <v>158</v>
      </c>
      <c r="AB300" t="s">
        <v>158</v>
      </c>
      <c r="AC300">
        <f>0</f>
        <v>0</v>
      </c>
      <c r="AD300">
        <f>0</f>
        <v>0</v>
      </c>
      <c r="AE300">
        <f>0</f>
        <v>0</v>
      </c>
    </row>
    <row r="301" spans="1:149" x14ac:dyDescent="0.25">
      <c r="A301" t="s">
        <v>1208</v>
      </c>
      <c r="B301" t="s">
        <v>148</v>
      </c>
      <c r="C301" s="1">
        <v>45758</v>
      </c>
      <c r="D301" t="s">
        <v>175</v>
      </c>
      <c r="E301" t="s">
        <v>176</v>
      </c>
      <c r="F301" t="s">
        <v>1209</v>
      </c>
      <c r="G301" t="s">
        <v>1210</v>
      </c>
      <c r="H301">
        <v>175</v>
      </c>
      <c r="I301" t="s">
        <v>1210</v>
      </c>
      <c r="J301">
        <v>4798</v>
      </c>
      <c r="K301" t="s">
        <v>5254</v>
      </c>
      <c r="L301" t="s">
        <v>431</v>
      </c>
      <c r="M301" t="s">
        <v>1211</v>
      </c>
      <c r="N301" t="s">
        <v>1212</v>
      </c>
      <c r="O301" t="s">
        <v>1213</v>
      </c>
      <c r="Q301" t="s">
        <v>6339</v>
      </c>
      <c r="R301">
        <f>1</f>
        <v>1</v>
      </c>
      <c r="S301">
        <f>10.3</f>
        <v>10.3</v>
      </c>
      <c r="T301">
        <f>8.2</f>
        <v>8.1999999999999993</v>
      </c>
      <c r="U301">
        <f>265</f>
        <v>265</v>
      </c>
      <c r="V301">
        <f>0.05</f>
        <v>0.05</v>
      </c>
      <c r="X301">
        <f>0</f>
        <v>0</v>
      </c>
      <c r="Y301" t="s">
        <v>157</v>
      </c>
      <c r="Z301">
        <f>0</f>
        <v>0</v>
      </c>
      <c r="AA301">
        <f>0</f>
        <v>0</v>
      </c>
      <c r="AB301">
        <f>0</f>
        <v>0</v>
      </c>
      <c r="AD301">
        <f>0</f>
        <v>0</v>
      </c>
      <c r="AE301">
        <f>0</f>
        <v>0</v>
      </c>
      <c r="AH301" t="s">
        <v>157</v>
      </c>
    </row>
    <row r="302" spans="1:149" x14ac:dyDescent="0.25">
      <c r="A302" t="s">
        <v>1214</v>
      </c>
      <c r="B302" t="s">
        <v>148</v>
      </c>
      <c r="C302" s="1">
        <v>45798</v>
      </c>
      <c r="D302" t="s">
        <v>189</v>
      </c>
      <c r="E302" t="s">
        <v>190</v>
      </c>
      <c r="F302" t="s">
        <v>5849</v>
      </c>
      <c r="G302" t="s">
        <v>1215</v>
      </c>
      <c r="H302">
        <v>747</v>
      </c>
      <c r="I302" t="s">
        <v>1215</v>
      </c>
      <c r="J302">
        <v>176</v>
      </c>
      <c r="K302" t="s">
        <v>5257</v>
      </c>
      <c r="L302" t="s">
        <v>927</v>
      </c>
      <c r="M302" t="s">
        <v>1216</v>
      </c>
      <c r="N302" t="s">
        <v>6598</v>
      </c>
      <c r="O302" t="s">
        <v>1217</v>
      </c>
      <c r="Q302" t="s">
        <v>6340</v>
      </c>
      <c r="R302">
        <f>1</f>
        <v>1</v>
      </c>
      <c r="S302">
        <f>17.7</f>
        <v>17.7</v>
      </c>
      <c r="T302">
        <f>7.6</f>
        <v>7.6</v>
      </c>
      <c r="U302">
        <f>430</f>
        <v>430</v>
      </c>
      <c r="X302">
        <f>0</f>
        <v>0</v>
      </c>
      <c r="Y302">
        <f>0.05</f>
        <v>0.05</v>
      </c>
      <c r="Z302">
        <f>0</f>
        <v>0</v>
      </c>
      <c r="AA302">
        <f>5</f>
        <v>5</v>
      </c>
      <c r="AB302">
        <f>6</f>
        <v>6</v>
      </c>
      <c r="AC302">
        <f>0</f>
        <v>0</v>
      </c>
      <c r="AD302">
        <f>0</f>
        <v>0</v>
      </c>
      <c r="AE302">
        <f>0</f>
        <v>0</v>
      </c>
      <c r="AH302" t="s">
        <v>157</v>
      </c>
    </row>
    <row r="303" spans="1:149" x14ac:dyDescent="0.25">
      <c r="A303" t="s">
        <v>1218</v>
      </c>
      <c r="B303" t="s">
        <v>148</v>
      </c>
      <c r="C303" s="1">
        <v>45783</v>
      </c>
      <c r="D303" t="s">
        <v>618</v>
      </c>
      <c r="E303" t="s">
        <v>619</v>
      </c>
      <c r="F303" t="s">
        <v>730</v>
      </c>
      <c r="G303" t="s">
        <v>6599</v>
      </c>
      <c r="H303">
        <v>675</v>
      </c>
      <c r="I303" t="s">
        <v>6600</v>
      </c>
      <c r="J303">
        <v>400</v>
      </c>
      <c r="K303" t="s">
        <v>5257</v>
      </c>
      <c r="L303" t="s">
        <v>431</v>
      </c>
      <c r="M303" t="s">
        <v>6601</v>
      </c>
      <c r="N303" t="s">
        <v>6602</v>
      </c>
      <c r="O303" t="s">
        <v>1219</v>
      </c>
      <c r="R303">
        <f>1</f>
        <v>1</v>
      </c>
      <c r="S303">
        <f>12.1</f>
        <v>12.1</v>
      </c>
      <c r="T303">
        <f>8</f>
        <v>8</v>
      </c>
      <c r="U303">
        <f>157</f>
        <v>157</v>
      </c>
      <c r="X303">
        <f>0</f>
        <v>0</v>
      </c>
      <c r="Y303">
        <f>0.1</f>
        <v>0.1</v>
      </c>
      <c r="Z303">
        <f>0</f>
        <v>0</v>
      </c>
      <c r="AA303" t="s">
        <v>158</v>
      </c>
      <c r="AB303" t="s">
        <v>158</v>
      </c>
      <c r="AC303">
        <f>0</f>
        <v>0</v>
      </c>
      <c r="AD303">
        <f>0</f>
        <v>0</v>
      </c>
      <c r="AE303">
        <f>0</f>
        <v>0</v>
      </c>
      <c r="AH303" t="s">
        <v>157</v>
      </c>
      <c r="AI303" t="s">
        <v>238</v>
      </c>
      <c r="AL303" t="s">
        <v>164</v>
      </c>
      <c r="AM303" t="s">
        <v>165</v>
      </c>
      <c r="AN303">
        <f>3.1</f>
        <v>3.1</v>
      </c>
      <c r="AO303">
        <f>0.06</f>
        <v>0.06</v>
      </c>
      <c r="AP303">
        <f>7.1</f>
        <v>7.1</v>
      </c>
      <c r="AQ303">
        <f>2.7</f>
        <v>2.7</v>
      </c>
      <c r="AR303">
        <f>0.11</f>
        <v>0.11</v>
      </c>
    </row>
    <row r="304" spans="1:149" x14ac:dyDescent="0.25">
      <c r="A304" t="s">
        <v>1220</v>
      </c>
      <c r="B304" t="s">
        <v>268</v>
      </c>
      <c r="C304" s="1">
        <v>45735</v>
      </c>
      <c r="D304" t="s">
        <v>189</v>
      </c>
      <c r="E304" t="s">
        <v>284</v>
      </c>
      <c r="F304" t="s">
        <v>6603</v>
      </c>
      <c r="G304" t="s">
        <v>5129</v>
      </c>
      <c r="H304">
        <v>755</v>
      </c>
      <c r="I304" t="s">
        <v>5129</v>
      </c>
      <c r="J304">
        <v>342</v>
      </c>
      <c r="K304" t="s">
        <v>5257</v>
      </c>
      <c r="L304" t="s">
        <v>726</v>
      </c>
      <c r="M304" t="s">
        <v>5915</v>
      </c>
      <c r="N304" t="s">
        <v>5130</v>
      </c>
      <c r="O304" t="s">
        <v>1221</v>
      </c>
      <c r="R304">
        <f>1</f>
        <v>1</v>
      </c>
      <c r="S304">
        <f>11.4</f>
        <v>11.4</v>
      </c>
      <c r="T304">
        <f>7.8</f>
        <v>7.8</v>
      </c>
      <c r="U304">
        <f>355</f>
        <v>355</v>
      </c>
      <c r="X304">
        <f>0</f>
        <v>0</v>
      </c>
      <c r="Y304">
        <f>1.1</f>
        <v>1.1000000000000001</v>
      </c>
      <c r="Z304">
        <f>14</f>
        <v>14</v>
      </c>
      <c r="AA304" t="s">
        <v>705</v>
      </c>
      <c r="AB304">
        <f>47</f>
        <v>47</v>
      </c>
      <c r="AC304">
        <f>0</f>
        <v>0</v>
      </c>
      <c r="AD304">
        <f>3</f>
        <v>3</v>
      </c>
      <c r="AE304">
        <f>26</f>
        <v>26</v>
      </c>
      <c r="AH304" t="s">
        <v>157</v>
      </c>
    </row>
    <row r="305" spans="1:148" x14ac:dyDescent="0.25">
      <c r="A305" t="s">
        <v>1222</v>
      </c>
      <c r="B305" t="s">
        <v>148</v>
      </c>
      <c r="C305" s="1">
        <v>45735</v>
      </c>
      <c r="D305" t="s">
        <v>189</v>
      </c>
      <c r="E305" t="s">
        <v>284</v>
      </c>
      <c r="F305" t="s">
        <v>6603</v>
      </c>
      <c r="G305" t="s">
        <v>1223</v>
      </c>
      <c r="H305">
        <v>761</v>
      </c>
      <c r="I305" t="s">
        <v>1223</v>
      </c>
      <c r="J305">
        <v>270</v>
      </c>
      <c r="K305" t="s">
        <v>5257</v>
      </c>
      <c r="L305" t="s">
        <v>4966</v>
      </c>
      <c r="M305" t="s">
        <v>1224</v>
      </c>
      <c r="N305" t="s">
        <v>1225</v>
      </c>
      <c r="O305" t="s">
        <v>1226</v>
      </c>
      <c r="Q305" t="s">
        <v>1227</v>
      </c>
      <c r="R305">
        <f>1</f>
        <v>1</v>
      </c>
      <c r="S305">
        <f>9.4</f>
        <v>9.4</v>
      </c>
      <c r="T305">
        <f>8</f>
        <v>8</v>
      </c>
      <c r="U305">
        <f>208</f>
        <v>208</v>
      </c>
      <c r="X305">
        <f>0</f>
        <v>0</v>
      </c>
      <c r="Y305">
        <f>0.26</f>
        <v>0.26</v>
      </c>
      <c r="Z305">
        <f>0</f>
        <v>0</v>
      </c>
      <c r="AA305">
        <f>0</f>
        <v>0</v>
      </c>
      <c r="AB305">
        <f>0</f>
        <v>0</v>
      </c>
      <c r="AC305">
        <f>0</f>
        <v>0</v>
      </c>
      <c r="AD305">
        <f>0</f>
        <v>0</v>
      </c>
      <c r="AE305">
        <f>0</f>
        <v>0</v>
      </c>
      <c r="AH305" t="s">
        <v>157</v>
      </c>
    </row>
    <row r="306" spans="1:148" x14ac:dyDescent="0.25">
      <c r="A306" t="s">
        <v>1228</v>
      </c>
      <c r="B306" t="s">
        <v>148</v>
      </c>
      <c r="C306" s="1">
        <v>45735</v>
      </c>
      <c r="D306" t="s">
        <v>189</v>
      </c>
      <c r="E306" t="s">
        <v>284</v>
      </c>
      <c r="F306" t="s">
        <v>1229</v>
      </c>
      <c r="G306" t="s">
        <v>1230</v>
      </c>
      <c r="H306">
        <v>777</v>
      </c>
      <c r="I306" t="s">
        <v>1230</v>
      </c>
      <c r="J306">
        <v>315</v>
      </c>
      <c r="K306" t="s">
        <v>5257</v>
      </c>
      <c r="L306" t="s">
        <v>431</v>
      </c>
      <c r="M306" t="s">
        <v>1231</v>
      </c>
      <c r="N306" t="s">
        <v>1232</v>
      </c>
      <c r="O306" t="s">
        <v>1233</v>
      </c>
      <c r="R306">
        <f>1</f>
        <v>1</v>
      </c>
      <c r="S306">
        <f>10.1</f>
        <v>10.1</v>
      </c>
      <c r="T306">
        <f>8</f>
        <v>8</v>
      </c>
      <c r="U306">
        <f>301</f>
        <v>301</v>
      </c>
      <c r="V306">
        <f>0.19</f>
        <v>0.19</v>
      </c>
      <c r="X306">
        <f>0</f>
        <v>0</v>
      </c>
      <c r="Y306">
        <f>0.31</f>
        <v>0.31</v>
      </c>
      <c r="Z306">
        <f>0</f>
        <v>0</v>
      </c>
      <c r="AA306">
        <f>0</f>
        <v>0</v>
      </c>
      <c r="AB306">
        <f>0</f>
        <v>0</v>
      </c>
      <c r="AC306">
        <f>0</f>
        <v>0</v>
      </c>
      <c r="AD306">
        <f>0</f>
        <v>0</v>
      </c>
      <c r="AE306">
        <f>0</f>
        <v>0</v>
      </c>
      <c r="AH306" t="s">
        <v>157</v>
      </c>
      <c r="BI306">
        <f>0.16</f>
        <v>0.16</v>
      </c>
    </row>
    <row r="307" spans="1:148" x14ac:dyDescent="0.25">
      <c r="A307" t="s">
        <v>1234</v>
      </c>
      <c r="B307" t="s">
        <v>148</v>
      </c>
      <c r="C307" s="1">
        <v>45735</v>
      </c>
      <c r="D307" t="s">
        <v>189</v>
      </c>
      <c r="E307" t="s">
        <v>284</v>
      </c>
      <c r="F307" t="s">
        <v>6603</v>
      </c>
      <c r="G307" t="s">
        <v>6604</v>
      </c>
      <c r="H307">
        <v>778</v>
      </c>
      <c r="I307" t="s">
        <v>6604</v>
      </c>
      <c r="J307">
        <v>314</v>
      </c>
      <c r="K307" t="s">
        <v>5257</v>
      </c>
      <c r="L307" t="s">
        <v>431</v>
      </c>
      <c r="M307" t="s">
        <v>1216</v>
      </c>
      <c r="N307" t="s">
        <v>6605</v>
      </c>
      <c r="O307" t="s">
        <v>1235</v>
      </c>
      <c r="Q307" t="s">
        <v>4756</v>
      </c>
      <c r="R307">
        <f>1</f>
        <v>1</v>
      </c>
      <c r="S307">
        <f>11.5</f>
        <v>11.5</v>
      </c>
      <c r="T307">
        <f>8</f>
        <v>8</v>
      </c>
      <c r="U307">
        <f>195</f>
        <v>195</v>
      </c>
      <c r="V307" t="s">
        <v>168</v>
      </c>
      <c r="X307">
        <f>0</f>
        <v>0</v>
      </c>
      <c r="Y307">
        <f>0.96</f>
        <v>0.96</v>
      </c>
      <c r="Z307">
        <f>0</f>
        <v>0</v>
      </c>
      <c r="AA307">
        <f>18</f>
        <v>18</v>
      </c>
      <c r="AB307">
        <f>19</f>
        <v>19</v>
      </c>
      <c r="AC307">
        <f>0</f>
        <v>0</v>
      </c>
      <c r="AD307">
        <f>0</f>
        <v>0</v>
      </c>
      <c r="AE307">
        <f>0</f>
        <v>0</v>
      </c>
      <c r="AH307" t="s">
        <v>157</v>
      </c>
    </row>
    <row r="308" spans="1:148" x14ac:dyDescent="0.25">
      <c r="A308" t="s">
        <v>1236</v>
      </c>
      <c r="B308" t="s">
        <v>148</v>
      </c>
      <c r="C308" s="1">
        <v>45712</v>
      </c>
      <c r="D308" t="s">
        <v>189</v>
      </c>
      <c r="E308" t="s">
        <v>284</v>
      </c>
      <c r="F308" t="s">
        <v>285</v>
      </c>
      <c r="G308" t="s">
        <v>286</v>
      </c>
      <c r="H308">
        <v>196</v>
      </c>
      <c r="I308" t="s">
        <v>5916</v>
      </c>
      <c r="J308">
        <v>1917</v>
      </c>
      <c r="K308" t="s">
        <v>5257</v>
      </c>
      <c r="L308" t="s">
        <v>4979</v>
      </c>
      <c r="M308" t="s">
        <v>5917</v>
      </c>
      <c r="N308" t="s">
        <v>5918</v>
      </c>
      <c r="O308" t="s">
        <v>1237</v>
      </c>
      <c r="R308">
        <f>1</f>
        <v>1</v>
      </c>
      <c r="S308">
        <f>8.1</f>
        <v>8.1</v>
      </c>
      <c r="T308">
        <f>7.5</f>
        <v>7.5</v>
      </c>
      <c r="U308">
        <f>291</f>
        <v>291</v>
      </c>
      <c r="V308">
        <f>0.16</f>
        <v>0.16</v>
      </c>
      <c r="X308">
        <f>0</f>
        <v>0</v>
      </c>
      <c r="Y308" t="s">
        <v>157</v>
      </c>
      <c r="Z308">
        <f>0</f>
        <v>0</v>
      </c>
      <c r="AA308">
        <f>1</f>
        <v>1</v>
      </c>
      <c r="AB308">
        <f>3</f>
        <v>3</v>
      </c>
      <c r="AC308">
        <f>0</f>
        <v>0</v>
      </c>
      <c r="AD308">
        <f>0</f>
        <v>0</v>
      </c>
      <c r="AE308">
        <f>0</f>
        <v>0</v>
      </c>
      <c r="AH308" t="s">
        <v>157</v>
      </c>
      <c r="BB308">
        <f>19</f>
        <v>19</v>
      </c>
    </row>
    <row r="309" spans="1:148" x14ac:dyDescent="0.25">
      <c r="A309" t="s">
        <v>1238</v>
      </c>
      <c r="B309" t="s">
        <v>148</v>
      </c>
      <c r="C309" s="1">
        <v>45729</v>
      </c>
      <c r="D309" t="s">
        <v>189</v>
      </c>
      <c r="E309" t="s">
        <v>190</v>
      </c>
      <c r="F309" t="s">
        <v>5849</v>
      </c>
      <c r="G309" t="s">
        <v>1239</v>
      </c>
      <c r="H309">
        <v>329</v>
      </c>
      <c r="I309" t="s">
        <v>1239</v>
      </c>
      <c r="J309">
        <v>1000</v>
      </c>
      <c r="K309" t="s">
        <v>5257</v>
      </c>
      <c r="L309" t="s">
        <v>712</v>
      </c>
      <c r="M309" t="s">
        <v>6606</v>
      </c>
      <c r="N309" t="s">
        <v>6607</v>
      </c>
      <c r="O309" t="s">
        <v>1240</v>
      </c>
      <c r="R309">
        <f>1</f>
        <v>1</v>
      </c>
      <c r="S309">
        <f>10.9</f>
        <v>10.9</v>
      </c>
      <c r="T309">
        <f>7.8</f>
        <v>7.8</v>
      </c>
      <c r="U309">
        <f>314</f>
        <v>314</v>
      </c>
      <c r="X309">
        <f>0</f>
        <v>0</v>
      </c>
      <c r="Y309">
        <f>0.42</f>
        <v>0.42</v>
      </c>
      <c r="Z309">
        <f>0</f>
        <v>0</v>
      </c>
      <c r="AA309">
        <f>2</f>
        <v>2</v>
      </c>
      <c r="AB309">
        <f>1</f>
        <v>1</v>
      </c>
      <c r="AC309">
        <f>0</f>
        <v>0</v>
      </c>
      <c r="AD309">
        <f>0</f>
        <v>0</v>
      </c>
      <c r="AE309">
        <f>0</f>
        <v>0</v>
      </c>
      <c r="AH309" t="s">
        <v>157</v>
      </c>
    </row>
    <row r="310" spans="1:148" x14ac:dyDescent="0.25">
      <c r="A310" t="s">
        <v>1241</v>
      </c>
      <c r="B310" t="s">
        <v>148</v>
      </c>
      <c r="C310" s="1">
        <v>45796</v>
      </c>
      <c r="D310" t="s">
        <v>317</v>
      </c>
      <c r="E310" t="s">
        <v>318</v>
      </c>
      <c r="F310" t="s">
        <v>325</v>
      </c>
      <c r="G310" t="s">
        <v>5919</v>
      </c>
      <c r="H310">
        <v>809</v>
      </c>
      <c r="I310" t="s">
        <v>1242</v>
      </c>
      <c r="J310">
        <v>587</v>
      </c>
      <c r="K310" t="s">
        <v>5257</v>
      </c>
      <c r="L310" t="s">
        <v>4966</v>
      </c>
      <c r="M310" t="s">
        <v>5388</v>
      </c>
      <c r="N310" t="s">
        <v>5389</v>
      </c>
      <c r="O310" t="s">
        <v>1243</v>
      </c>
      <c r="Q310" t="s">
        <v>329</v>
      </c>
      <c r="R310">
        <f>1</f>
        <v>1</v>
      </c>
      <c r="S310">
        <f>19</f>
        <v>19</v>
      </c>
      <c r="T310">
        <f>7.6</f>
        <v>7.6</v>
      </c>
      <c r="U310">
        <f>373</f>
        <v>373</v>
      </c>
      <c r="X310">
        <f>0</f>
        <v>0</v>
      </c>
      <c r="Y310" t="s">
        <v>157</v>
      </c>
      <c r="Z310">
        <f>0</f>
        <v>0</v>
      </c>
      <c r="AA310">
        <f>1</f>
        <v>1</v>
      </c>
      <c r="AB310">
        <f>1</f>
        <v>1</v>
      </c>
      <c r="AC310">
        <f>0</f>
        <v>0</v>
      </c>
      <c r="AD310">
        <f>0</f>
        <v>0</v>
      </c>
      <c r="AE310">
        <f>0</f>
        <v>0</v>
      </c>
      <c r="AH310" t="s">
        <v>157</v>
      </c>
      <c r="AI310" t="s">
        <v>167</v>
      </c>
      <c r="AL310" t="s">
        <v>168</v>
      </c>
      <c r="AM310" t="s">
        <v>216</v>
      </c>
      <c r="AN310">
        <f>3.8</f>
        <v>3.8</v>
      </c>
      <c r="AO310">
        <f>0.076</f>
        <v>7.5999999999999998E-2</v>
      </c>
      <c r="AP310">
        <f>2</f>
        <v>2</v>
      </c>
      <c r="AQ310">
        <f>1.3</f>
        <v>1.3</v>
      </c>
      <c r="AR310" t="s">
        <v>167</v>
      </c>
      <c r="AS310">
        <f>1.4</f>
        <v>1.4</v>
      </c>
      <c r="AY310" t="s">
        <v>158</v>
      </c>
      <c r="AZ310" t="s">
        <v>158</v>
      </c>
      <c r="BA310" t="s">
        <v>216</v>
      </c>
      <c r="BB310" t="s">
        <v>158</v>
      </c>
      <c r="BC310" t="s">
        <v>167</v>
      </c>
      <c r="BD310" t="s">
        <v>167</v>
      </c>
      <c r="BE310" t="s">
        <v>216</v>
      </c>
      <c r="BF310" t="s">
        <v>167</v>
      </c>
      <c r="BG310" t="s">
        <v>158</v>
      </c>
      <c r="BH310" t="s">
        <v>167</v>
      </c>
      <c r="BK310" t="s">
        <v>158</v>
      </c>
    </row>
    <row r="311" spans="1:148" x14ac:dyDescent="0.25">
      <c r="A311" t="s">
        <v>1244</v>
      </c>
      <c r="B311" t="s">
        <v>148</v>
      </c>
      <c r="C311" s="1">
        <v>45783</v>
      </c>
      <c r="D311" t="s">
        <v>618</v>
      </c>
      <c r="E311" t="s">
        <v>619</v>
      </c>
      <c r="F311" t="s">
        <v>730</v>
      </c>
      <c r="G311" t="s">
        <v>731</v>
      </c>
      <c r="H311">
        <v>817</v>
      </c>
      <c r="I311" t="s">
        <v>5920</v>
      </c>
      <c r="J311">
        <v>2000</v>
      </c>
      <c r="K311" t="s">
        <v>5254</v>
      </c>
      <c r="L311" t="s">
        <v>387</v>
      </c>
      <c r="M311" t="s">
        <v>5921</v>
      </c>
      <c r="N311" t="s">
        <v>5922</v>
      </c>
      <c r="O311" t="s">
        <v>1245</v>
      </c>
      <c r="R311">
        <f>1</f>
        <v>1</v>
      </c>
      <c r="S311">
        <f>12.8</f>
        <v>12.8</v>
      </c>
      <c r="T311">
        <f>7.6</f>
        <v>7.6</v>
      </c>
      <c r="U311">
        <f>353</f>
        <v>353</v>
      </c>
      <c r="V311">
        <f>0.08</f>
        <v>0.08</v>
      </c>
      <c r="X311">
        <f>0</f>
        <v>0</v>
      </c>
      <c r="Y311">
        <f>0.1</f>
        <v>0.1</v>
      </c>
      <c r="Z311">
        <f>0</f>
        <v>0</v>
      </c>
      <c r="AA311" t="s">
        <v>158</v>
      </c>
      <c r="AB311" t="s">
        <v>158</v>
      </c>
      <c r="AD311">
        <f>0</f>
        <v>0</v>
      </c>
      <c r="AE311">
        <f>0</f>
        <v>0</v>
      </c>
      <c r="AH311" t="s">
        <v>157</v>
      </c>
      <c r="AI311" t="s">
        <v>238</v>
      </c>
      <c r="AL311" t="s">
        <v>164</v>
      </c>
      <c r="AM311" t="s">
        <v>165</v>
      </c>
      <c r="AN311">
        <f>3.1</f>
        <v>3.1</v>
      </c>
      <c r="AO311">
        <f>0.06</f>
        <v>0.06</v>
      </c>
      <c r="AP311">
        <f>14</f>
        <v>14</v>
      </c>
      <c r="AQ311">
        <f>1.4</f>
        <v>1.4</v>
      </c>
      <c r="AR311" t="s">
        <v>157</v>
      </c>
      <c r="AS311">
        <f>0.81</f>
        <v>0.81</v>
      </c>
      <c r="AY311" t="s">
        <v>167</v>
      </c>
      <c r="AZ311" t="s">
        <v>158</v>
      </c>
      <c r="BA311" t="s">
        <v>216</v>
      </c>
      <c r="BB311" t="s">
        <v>158</v>
      </c>
      <c r="BC311" t="s">
        <v>166</v>
      </c>
      <c r="BD311" t="s">
        <v>167</v>
      </c>
      <c r="BE311">
        <f>0.0066</f>
        <v>6.6E-3</v>
      </c>
      <c r="BF311">
        <f>0.028</f>
        <v>2.8000000000000001E-2</v>
      </c>
      <c r="BG311" t="s">
        <v>167</v>
      </c>
      <c r="BH311" t="s">
        <v>167</v>
      </c>
      <c r="BK311">
        <f>1.7</f>
        <v>1.7</v>
      </c>
      <c r="EL311">
        <f>1.8</f>
        <v>1.8</v>
      </c>
      <c r="EM311" t="s">
        <v>166</v>
      </c>
      <c r="EN311">
        <f>0.93</f>
        <v>0.93</v>
      </c>
      <c r="EO311">
        <f>0.3</f>
        <v>0.3</v>
      </c>
      <c r="ER311">
        <f>3</f>
        <v>3</v>
      </c>
    </row>
    <row r="312" spans="1:148" x14ac:dyDescent="0.25">
      <c r="A312" t="s">
        <v>1246</v>
      </c>
      <c r="B312" t="s">
        <v>148</v>
      </c>
      <c r="C312" s="1">
        <v>45784</v>
      </c>
      <c r="D312" t="s">
        <v>269</v>
      </c>
      <c r="E312" t="s">
        <v>295</v>
      </c>
      <c r="F312" t="s">
        <v>331</v>
      </c>
      <c r="G312" t="s">
        <v>6608</v>
      </c>
      <c r="H312">
        <v>229</v>
      </c>
      <c r="I312" t="s">
        <v>6608</v>
      </c>
      <c r="J312">
        <v>998</v>
      </c>
      <c r="K312" t="s">
        <v>5254</v>
      </c>
      <c r="L312" t="s">
        <v>431</v>
      </c>
      <c r="M312" t="s">
        <v>5923</v>
      </c>
      <c r="N312" t="s">
        <v>4757</v>
      </c>
      <c r="O312" t="s">
        <v>1247</v>
      </c>
      <c r="R312">
        <f>1</f>
        <v>1</v>
      </c>
      <c r="S312">
        <f>14.9</f>
        <v>14.9</v>
      </c>
      <c r="T312">
        <f>7.8</f>
        <v>7.8</v>
      </c>
      <c r="U312">
        <f>406</f>
        <v>406</v>
      </c>
      <c r="X312">
        <f>0</f>
        <v>0</v>
      </c>
      <c r="Y312">
        <f>0.04</f>
        <v>0.04</v>
      </c>
      <c r="Z312">
        <f>0</f>
        <v>0</v>
      </c>
      <c r="AA312" t="s">
        <v>158</v>
      </c>
      <c r="AB312" t="s">
        <v>158</v>
      </c>
      <c r="AD312">
        <f>0</f>
        <v>0</v>
      </c>
      <c r="AE312">
        <f>0</f>
        <v>0</v>
      </c>
      <c r="AH312" t="s">
        <v>166</v>
      </c>
      <c r="AI312">
        <f>0.47</f>
        <v>0.47</v>
      </c>
      <c r="AL312" t="s">
        <v>216</v>
      </c>
      <c r="AM312" t="s">
        <v>266</v>
      </c>
      <c r="AN312">
        <f>4.85</f>
        <v>4.8499999999999996</v>
      </c>
      <c r="AO312">
        <f>0.097</f>
        <v>9.7000000000000003E-2</v>
      </c>
      <c r="AP312">
        <f>4.6</f>
        <v>4.5999999999999996</v>
      </c>
      <c r="AQ312">
        <f>1.92</f>
        <v>1.92</v>
      </c>
      <c r="AR312" t="s">
        <v>209</v>
      </c>
      <c r="AS312">
        <f>1.2</f>
        <v>1.2</v>
      </c>
      <c r="AY312" t="s">
        <v>157</v>
      </c>
      <c r="AZ312" t="s">
        <v>208</v>
      </c>
      <c r="BA312">
        <f>0.0027</f>
        <v>2.7000000000000001E-3</v>
      </c>
      <c r="BB312">
        <f>47</f>
        <v>47</v>
      </c>
      <c r="BC312" t="s">
        <v>209</v>
      </c>
      <c r="BD312">
        <f>0.1</f>
        <v>0.1</v>
      </c>
      <c r="BE312">
        <f>0.0018</f>
        <v>1.8E-3</v>
      </c>
      <c r="BF312" t="s">
        <v>168</v>
      </c>
      <c r="BG312" t="s">
        <v>237</v>
      </c>
      <c r="BH312" t="s">
        <v>157</v>
      </c>
      <c r="BK312">
        <f>0.25</f>
        <v>0.25</v>
      </c>
      <c r="EL312">
        <f>4.2</f>
        <v>4.2</v>
      </c>
      <c r="EM312" t="s">
        <v>238</v>
      </c>
      <c r="EN312">
        <f>1.6</f>
        <v>1.6</v>
      </c>
      <c r="EO312">
        <f>0.4</f>
        <v>0.4</v>
      </c>
      <c r="ER312">
        <f>6.2</f>
        <v>6.2</v>
      </c>
    </row>
    <row r="313" spans="1:148" x14ac:dyDescent="0.25">
      <c r="A313" t="s">
        <v>1248</v>
      </c>
      <c r="B313" t="s">
        <v>148</v>
      </c>
      <c r="C313" s="1">
        <v>45743</v>
      </c>
      <c r="D313" t="s">
        <v>175</v>
      </c>
      <c r="E313" t="s">
        <v>649</v>
      </c>
      <c r="F313" t="s">
        <v>650</v>
      </c>
      <c r="G313" t="s">
        <v>1249</v>
      </c>
      <c r="H313">
        <v>842</v>
      </c>
      <c r="I313" t="s">
        <v>1249</v>
      </c>
      <c r="J313">
        <v>1032</v>
      </c>
      <c r="K313" t="s">
        <v>5257</v>
      </c>
      <c r="L313" t="s">
        <v>431</v>
      </c>
      <c r="M313" t="s">
        <v>1250</v>
      </c>
      <c r="N313" t="s">
        <v>1251</v>
      </c>
      <c r="O313" t="s">
        <v>1252</v>
      </c>
      <c r="Q313" t="s">
        <v>6341</v>
      </c>
      <c r="R313">
        <f>1</f>
        <v>1</v>
      </c>
      <c r="S313">
        <f>12.2</f>
        <v>12.2</v>
      </c>
      <c r="T313">
        <f>7.6</f>
        <v>7.6</v>
      </c>
      <c r="U313">
        <f>473</f>
        <v>473</v>
      </c>
      <c r="V313">
        <f>0.25</f>
        <v>0.25</v>
      </c>
      <c r="X313">
        <f>0</f>
        <v>0</v>
      </c>
      <c r="Y313">
        <f>0.34</f>
        <v>0.34</v>
      </c>
      <c r="Z313">
        <f>0</f>
        <v>0</v>
      </c>
      <c r="AA313" t="s">
        <v>158</v>
      </c>
      <c r="AB313" t="s">
        <v>158</v>
      </c>
      <c r="AC313">
        <f>0</f>
        <v>0</v>
      </c>
      <c r="AD313">
        <f>0</f>
        <v>0</v>
      </c>
      <c r="AE313">
        <f>0</f>
        <v>0</v>
      </c>
      <c r="AH313" t="s">
        <v>157</v>
      </c>
    </row>
    <row r="314" spans="1:148" x14ac:dyDescent="0.25">
      <c r="A314" t="s">
        <v>1253</v>
      </c>
      <c r="B314" t="s">
        <v>148</v>
      </c>
      <c r="C314" s="1">
        <v>45726</v>
      </c>
      <c r="D314" t="s">
        <v>269</v>
      </c>
      <c r="E314" t="s">
        <v>295</v>
      </c>
      <c r="F314" t="s">
        <v>331</v>
      </c>
      <c r="G314" t="s">
        <v>1254</v>
      </c>
      <c r="H314">
        <v>228</v>
      </c>
      <c r="I314" t="s">
        <v>1255</v>
      </c>
      <c r="J314">
        <v>841</v>
      </c>
      <c r="K314" t="s">
        <v>5254</v>
      </c>
      <c r="L314" t="s">
        <v>431</v>
      </c>
      <c r="M314" t="s">
        <v>1256</v>
      </c>
      <c r="N314" t="s">
        <v>5390</v>
      </c>
      <c r="O314" t="s">
        <v>1257</v>
      </c>
      <c r="R314">
        <f>1</f>
        <v>1</v>
      </c>
      <c r="S314">
        <f>9.4</f>
        <v>9.4</v>
      </c>
      <c r="T314">
        <f>7.9</f>
        <v>7.9</v>
      </c>
      <c r="U314">
        <f>378</f>
        <v>378</v>
      </c>
      <c r="V314">
        <f>0.13</f>
        <v>0.13</v>
      </c>
      <c r="X314">
        <f>0</f>
        <v>0</v>
      </c>
      <c r="Y314">
        <f>0.14</f>
        <v>0.14000000000000001</v>
      </c>
      <c r="Z314">
        <f>0</f>
        <v>0</v>
      </c>
      <c r="AA314" t="s">
        <v>158</v>
      </c>
      <c r="AB314">
        <f>18</f>
        <v>18</v>
      </c>
      <c r="AD314">
        <f>0</f>
        <v>0</v>
      </c>
      <c r="AE314">
        <f>0</f>
        <v>0</v>
      </c>
    </row>
    <row r="315" spans="1:148" x14ac:dyDescent="0.25">
      <c r="A315" t="s">
        <v>1258</v>
      </c>
      <c r="B315" t="s">
        <v>148</v>
      </c>
      <c r="C315" s="1">
        <v>45722</v>
      </c>
      <c r="D315" t="s">
        <v>269</v>
      </c>
      <c r="E315" t="s">
        <v>270</v>
      </c>
      <c r="F315" t="s">
        <v>746</v>
      </c>
      <c r="G315" t="s">
        <v>1259</v>
      </c>
      <c r="H315">
        <v>143</v>
      </c>
      <c r="I315" t="s">
        <v>1259</v>
      </c>
      <c r="J315">
        <v>1820</v>
      </c>
      <c r="K315" t="s">
        <v>5257</v>
      </c>
      <c r="L315" t="s">
        <v>431</v>
      </c>
      <c r="M315" t="s">
        <v>5391</v>
      </c>
      <c r="N315" t="s">
        <v>1260</v>
      </c>
      <c r="O315" t="s">
        <v>1261</v>
      </c>
      <c r="R315">
        <f>1</f>
        <v>1</v>
      </c>
      <c r="S315">
        <f>8</f>
        <v>8</v>
      </c>
      <c r="T315">
        <f>7.9</f>
        <v>7.9</v>
      </c>
      <c r="U315">
        <f>406</f>
        <v>406</v>
      </c>
      <c r="V315">
        <f>0.28</f>
        <v>0.28000000000000003</v>
      </c>
      <c r="X315">
        <f>0</f>
        <v>0</v>
      </c>
      <c r="Y315">
        <f>0.65</f>
        <v>0.65</v>
      </c>
      <c r="Z315">
        <f>0</f>
        <v>0</v>
      </c>
      <c r="AA315" t="s">
        <v>158</v>
      </c>
      <c r="AB315" t="s">
        <v>158</v>
      </c>
      <c r="AC315">
        <f>0</f>
        <v>0</v>
      </c>
      <c r="AD315">
        <f>0</f>
        <v>0</v>
      </c>
      <c r="AE315">
        <f>0</f>
        <v>0</v>
      </c>
    </row>
    <row r="316" spans="1:148" x14ac:dyDescent="0.25">
      <c r="A316" t="s">
        <v>1262</v>
      </c>
      <c r="B316" t="s">
        <v>148</v>
      </c>
      <c r="C316" s="1">
        <v>45723</v>
      </c>
      <c r="D316" t="s">
        <v>269</v>
      </c>
      <c r="E316" t="s">
        <v>270</v>
      </c>
      <c r="F316" t="s">
        <v>754</v>
      </c>
      <c r="G316" t="s">
        <v>5924</v>
      </c>
      <c r="H316">
        <v>231</v>
      </c>
      <c r="I316" t="s">
        <v>5925</v>
      </c>
      <c r="J316">
        <v>580</v>
      </c>
      <c r="K316" t="s">
        <v>5254</v>
      </c>
      <c r="L316" t="s">
        <v>431</v>
      </c>
      <c r="M316" t="s">
        <v>5926</v>
      </c>
      <c r="N316" t="s">
        <v>5927</v>
      </c>
      <c r="O316" t="s">
        <v>1263</v>
      </c>
      <c r="R316">
        <f>1</f>
        <v>1</v>
      </c>
      <c r="S316">
        <f>9.7</f>
        <v>9.6999999999999993</v>
      </c>
      <c r="T316">
        <f>7.5</f>
        <v>7.5</v>
      </c>
      <c r="U316">
        <f>671</f>
        <v>671</v>
      </c>
      <c r="V316">
        <f>0.19</f>
        <v>0.19</v>
      </c>
      <c r="X316">
        <f>0</f>
        <v>0</v>
      </c>
      <c r="Y316">
        <f>0.13</f>
        <v>0.13</v>
      </c>
      <c r="Z316">
        <f>0</f>
        <v>0</v>
      </c>
      <c r="AA316" t="s">
        <v>158</v>
      </c>
      <c r="AB316" t="s">
        <v>158</v>
      </c>
      <c r="AD316">
        <f>0</f>
        <v>0</v>
      </c>
      <c r="AE316">
        <f>0</f>
        <v>0</v>
      </c>
    </row>
    <row r="317" spans="1:148" x14ac:dyDescent="0.25">
      <c r="A317" t="s">
        <v>1264</v>
      </c>
      <c r="B317" t="s">
        <v>148</v>
      </c>
      <c r="C317" s="1">
        <v>45726</v>
      </c>
      <c r="D317" t="s">
        <v>242</v>
      </c>
      <c r="E317" t="s">
        <v>243</v>
      </c>
      <c r="F317" t="s">
        <v>1265</v>
      </c>
      <c r="G317" t="s">
        <v>1266</v>
      </c>
      <c r="H317">
        <v>869</v>
      </c>
      <c r="I317" t="s">
        <v>1266</v>
      </c>
      <c r="J317">
        <v>1050</v>
      </c>
      <c r="K317" t="s">
        <v>5257</v>
      </c>
      <c r="L317" t="s">
        <v>4968</v>
      </c>
      <c r="M317" t="s">
        <v>5392</v>
      </c>
      <c r="N317" t="s">
        <v>1267</v>
      </c>
      <c r="O317" t="s">
        <v>1268</v>
      </c>
      <c r="R317">
        <f>1</f>
        <v>1</v>
      </c>
      <c r="S317">
        <f>10.8</f>
        <v>10.8</v>
      </c>
      <c r="T317">
        <f>8.2</f>
        <v>8.1999999999999993</v>
      </c>
      <c r="U317">
        <f>295</f>
        <v>295</v>
      </c>
      <c r="V317">
        <f>0.11</f>
        <v>0.11</v>
      </c>
      <c r="X317">
        <f>0</f>
        <v>0</v>
      </c>
      <c r="Y317" t="s">
        <v>157</v>
      </c>
      <c r="Z317">
        <f>0</f>
        <v>0</v>
      </c>
      <c r="AA317" t="s">
        <v>158</v>
      </c>
      <c r="AB317" t="s">
        <v>158</v>
      </c>
      <c r="AC317">
        <f>0</f>
        <v>0</v>
      </c>
      <c r="AD317">
        <f>0</f>
        <v>0</v>
      </c>
      <c r="AE317">
        <f>0</f>
        <v>0</v>
      </c>
      <c r="AH317" t="s">
        <v>157</v>
      </c>
    </row>
    <row r="318" spans="1:148" x14ac:dyDescent="0.25">
      <c r="A318" t="s">
        <v>1269</v>
      </c>
      <c r="B318" t="s">
        <v>148</v>
      </c>
      <c r="C318" s="1">
        <v>45728</v>
      </c>
      <c r="D318" t="s">
        <v>242</v>
      </c>
      <c r="E318" t="s">
        <v>243</v>
      </c>
      <c r="F318" t="s">
        <v>5393</v>
      </c>
      <c r="G318" t="s">
        <v>5928</v>
      </c>
      <c r="H318">
        <v>882</v>
      </c>
      <c r="I318" t="s">
        <v>5928</v>
      </c>
      <c r="J318">
        <v>450</v>
      </c>
      <c r="K318" t="s">
        <v>5254</v>
      </c>
      <c r="L318" t="s">
        <v>4758</v>
      </c>
      <c r="M318" t="s">
        <v>5394</v>
      </c>
      <c r="N318" t="s">
        <v>5395</v>
      </c>
      <c r="O318" t="s">
        <v>1270</v>
      </c>
      <c r="R318">
        <f>1</f>
        <v>1</v>
      </c>
      <c r="S318">
        <f>8.9</f>
        <v>8.9</v>
      </c>
      <c r="T318">
        <f>8</f>
        <v>8</v>
      </c>
      <c r="U318">
        <f>517</f>
        <v>517</v>
      </c>
      <c r="X318">
        <f>0</f>
        <v>0</v>
      </c>
      <c r="Y318">
        <f>0.85</f>
        <v>0.85</v>
      </c>
      <c r="Z318">
        <f>0</f>
        <v>0</v>
      </c>
      <c r="AA318" t="s">
        <v>158</v>
      </c>
      <c r="AB318" t="s">
        <v>158</v>
      </c>
      <c r="AD318">
        <f>0</f>
        <v>0</v>
      </c>
      <c r="AE318">
        <f>0</f>
        <v>0</v>
      </c>
      <c r="AH318" t="s">
        <v>157</v>
      </c>
      <c r="BI318">
        <f>1.8</f>
        <v>1.8</v>
      </c>
    </row>
    <row r="319" spans="1:148" x14ac:dyDescent="0.25">
      <c r="A319" t="s">
        <v>1271</v>
      </c>
      <c r="B319" t="s">
        <v>148</v>
      </c>
      <c r="C319" s="1">
        <v>45721</v>
      </c>
      <c r="D319" t="s">
        <v>311</v>
      </c>
      <c r="E319" t="s">
        <v>312</v>
      </c>
      <c r="F319" t="s">
        <v>349</v>
      </c>
      <c r="G319" t="s">
        <v>1272</v>
      </c>
      <c r="H319">
        <v>850</v>
      </c>
      <c r="I319" t="s">
        <v>1273</v>
      </c>
      <c r="J319">
        <v>1099</v>
      </c>
      <c r="K319" t="s">
        <v>5257</v>
      </c>
      <c r="L319" t="s">
        <v>393</v>
      </c>
      <c r="M319" t="s">
        <v>1274</v>
      </c>
      <c r="N319" t="s">
        <v>1275</v>
      </c>
      <c r="O319" t="s">
        <v>1276</v>
      </c>
      <c r="R319">
        <f>1</f>
        <v>1</v>
      </c>
      <c r="S319">
        <f>10</f>
        <v>10</v>
      </c>
      <c r="T319">
        <f>7.2</f>
        <v>7.2</v>
      </c>
      <c r="U319">
        <f>103</f>
        <v>103</v>
      </c>
      <c r="V319" t="s">
        <v>157</v>
      </c>
      <c r="X319">
        <f>0</f>
        <v>0</v>
      </c>
      <c r="Y319" t="s">
        <v>157</v>
      </c>
      <c r="Z319">
        <f>0</f>
        <v>0</v>
      </c>
      <c r="AA319" t="s">
        <v>158</v>
      </c>
      <c r="AB319" t="s">
        <v>158</v>
      </c>
      <c r="AC319">
        <f>0</f>
        <v>0</v>
      </c>
      <c r="AD319">
        <f>0</f>
        <v>0</v>
      </c>
      <c r="AE319">
        <f>0</f>
        <v>0</v>
      </c>
      <c r="AH319" t="s">
        <v>157</v>
      </c>
    </row>
    <row r="320" spans="1:148" x14ac:dyDescent="0.25">
      <c r="A320" t="s">
        <v>1277</v>
      </c>
      <c r="B320" t="s">
        <v>148</v>
      </c>
      <c r="C320" s="1">
        <v>45875</v>
      </c>
      <c r="D320" t="s">
        <v>222</v>
      </c>
      <c r="E320" t="s">
        <v>223</v>
      </c>
      <c r="F320" t="s">
        <v>224</v>
      </c>
      <c r="G320" t="s">
        <v>5929</v>
      </c>
      <c r="H320">
        <v>262</v>
      </c>
      <c r="I320" t="s">
        <v>6609</v>
      </c>
      <c r="J320">
        <v>413</v>
      </c>
      <c r="K320" t="s">
        <v>5257</v>
      </c>
      <c r="L320" t="s">
        <v>4963</v>
      </c>
      <c r="M320" t="s">
        <v>1278</v>
      </c>
      <c r="N320" t="s">
        <v>1279</v>
      </c>
      <c r="Q320" t="s">
        <v>1280</v>
      </c>
      <c r="R320">
        <f>1</f>
        <v>1</v>
      </c>
      <c r="S320">
        <f>18.5</f>
        <v>18.5</v>
      </c>
      <c r="T320">
        <f>8.1</f>
        <v>8.1</v>
      </c>
      <c r="U320">
        <f>354</f>
        <v>354</v>
      </c>
      <c r="X320">
        <f>1</f>
        <v>1</v>
      </c>
      <c r="Y320">
        <f>0.12</f>
        <v>0.12</v>
      </c>
      <c r="Z320">
        <f>0</f>
        <v>0</v>
      </c>
      <c r="AA320">
        <f>0</f>
        <v>0</v>
      </c>
      <c r="AB320">
        <f>0</f>
        <v>0</v>
      </c>
      <c r="AC320">
        <f>0</f>
        <v>0</v>
      </c>
      <c r="AD320">
        <f>0</f>
        <v>0</v>
      </c>
      <c r="AE320">
        <f>0</f>
        <v>0</v>
      </c>
      <c r="AH320" t="s">
        <v>166</v>
      </c>
      <c r="AI320">
        <f>0.71</f>
        <v>0.71</v>
      </c>
      <c r="AL320" t="s">
        <v>168</v>
      </c>
      <c r="AM320" t="s">
        <v>164</v>
      </c>
      <c r="AN320">
        <f>4.2</f>
        <v>4.2</v>
      </c>
      <c r="AO320">
        <f>0.08</f>
        <v>0.08</v>
      </c>
      <c r="AP320">
        <f>4.1</f>
        <v>4.0999999999999996</v>
      </c>
      <c r="AQ320">
        <f>2.4</f>
        <v>2.4</v>
      </c>
      <c r="AR320" t="s">
        <v>167</v>
      </c>
    </row>
    <row r="321" spans="1:149" x14ac:dyDescent="0.25">
      <c r="A321" t="s">
        <v>1281</v>
      </c>
      <c r="B321" t="s">
        <v>148</v>
      </c>
      <c r="C321" s="1">
        <v>45726</v>
      </c>
      <c r="D321" t="s">
        <v>222</v>
      </c>
      <c r="E321" t="s">
        <v>223</v>
      </c>
      <c r="F321" t="s">
        <v>469</v>
      </c>
      <c r="G321" t="s">
        <v>5131</v>
      </c>
      <c r="H321">
        <v>251</v>
      </c>
      <c r="I321" t="s">
        <v>5131</v>
      </c>
      <c r="J321">
        <v>256</v>
      </c>
      <c r="K321" t="s">
        <v>5257</v>
      </c>
      <c r="L321" t="s">
        <v>431</v>
      </c>
      <c r="M321" t="s">
        <v>5396</v>
      </c>
      <c r="N321" t="s">
        <v>5397</v>
      </c>
      <c r="O321" t="s">
        <v>1282</v>
      </c>
      <c r="Q321" t="s">
        <v>6303</v>
      </c>
      <c r="R321">
        <f>1</f>
        <v>1</v>
      </c>
      <c r="S321">
        <f>10.3</f>
        <v>10.3</v>
      </c>
      <c r="T321">
        <f>8.1</f>
        <v>8.1</v>
      </c>
      <c r="U321">
        <f>196</f>
        <v>196</v>
      </c>
      <c r="X321">
        <f>1</f>
        <v>1</v>
      </c>
      <c r="Y321">
        <f>0.13</f>
        <v>0.13</v>
      </c>
      <c r="Z321">
        <f>0</f>
        <v>0</v>
      </c>
      <c r="AA321">
        <f>0</f>
        <v>0</v>
      </c>
      <c r="AB321">
        <f>0</f>
        <v>0</v>
      </c>
      <c r="AC321">
        <f>0</f>
        <v>0</v>
      </c>
      <c r="AD321">
        <f>0</f>
        <v>0</v>
      </c>
      <c r="AE321">
        <f>0</f>
        <v>0</v>
      </c>
      <c r="AH321" t="s">
        <v>166</v>
      </c>
    </row>
    <row r="322" spans="1:149" x14ac:dyDescent="0.25">
      <c r="A322" t="s">
        <v>1283</v>
      </c>
      <c r="B322" t="s">
        <v>148</v>
      </c>
      <c r="C322" s="1">
        <v>45818</v>
      </c>
      <c r="D322" t="s">
        <v>242</v>
      </c>
      <c r="E322" t="s">
        <v>243</v>
      </c>
      <c r="F322" t="s">
        <v>244</v>
      </c>
      <c r="G322" t="s">
        <v>1041</v>
      </c>
      <c r="H322">
        <v>881</v>
      </c>
      <c r="I322" t="s">
        <v>5132</v>
      </c>
      <c r="J322">
        <v>764</v>
      </c>
      <c r="K322" t="s">
        <v>5254</v>
      </c>
      <c r="L322" t="s">
        <v>393</v>
      </c>
      <c r="M322" t="s">
        <v>5398</v>
      </c>
      <c r="N322" t="s">
        <v>1284</v>
      </c>
      <c r="O322" t="s">
        <v>1285</v>
      </c>
      <c r="R322">
        <f>1</f>
        <v>1</v>
      </c>
      <c r="S322">
        <f>16.5</f>
        <v>16.5</v>
      </c>
      <c r="T322">
        <f>8.2</f>
        <v>8.1999999999999993</v>
      </c>
      <c r="U322">
        <f>449</f>
        <v>449</v>
      </c>
      <c r="V322">
        <f>0.15</f>
        <v>0.15</v>
      </c>
      <c r="X322">
        <f>0</f>
        <v>0</v>
      </c>
      <c r="Y322" t="s">
        <v>157</v>
      </c>
      <c r="Z322">
        <f>0</f>
        <v>0</v>
      </c>
      <c r="AA322" t="s">
        <v>158</v>
      </c>
      <c r="AB322" t="s">
        <v>158</v>
      </c>
      <c r="AD322">
        <f>0</f>
        <v>0</v>
      </c>
      <c r="AE322">
        <f>0</f>
        <v>0</v>
      </c>
      <c r="AH322" t="s">
        <v>157</v>
      </c>
      <c r="AI322" t="s">
        <v>238</v>
      </c>
      <c r="AL322" t="s">
        <v>164</v>
      </c>
      <c r="AM322" t="s">
        <v>165</v>
      </c>
      <c r="AN322">
        <f>3.8</f>
        <v>3.8</v>
      </c>
      <c r="AO322">
        <f>0.08</f>
        <v>0.08</v>
      </c>
      <c r="AP322">
        <f>7.5</f>
        <v>7.5</v>
      </c>
      <c r="AQ322">
        <f>1.6</f>
        <v>1.6</v>
      </c>
      <c r="AR322" t="s">
        <v>157</v>
      </c>
      <c r="AS322">
        <f>0.84</f>
        <v>0.84</v>
      </c>
      <c r="AY322" t="s">
        <v>167</v>
      </c>
      <c r="AZ322" t="s">
        <v>158</v>
      </c>
      <c r="BA322" t="s">
        <v>216</v>
      </c>
      <c r="BB322" t="s">
        <v>158</v>
      </c>
      <c r="BC322" t="s">
        <v>166</v>
      </c>
      <c r="BD322" t="s">
        <v>167</v>
      </c>
      <c r="BE322">
        <f>0.0051</f>
        <v>5.1000000000000004E-3</v>
      </c>
      <c r="BF322" t="s">
        <v>168</v>
      </c>
      <c r="BG322" t="s">
        <v>167</v>
      </c>
      <c r="BH322" t="s">
        <v>167</v>
      </c>
      <c r="BK322">
        <f>0.61</f>
        <v>0.61</v>
      </c>
      <c r="EL322">
        <f>1.1</f>
        <v>1.1000000000000001</v>
      </c>
      <c r="EM322" t="s">
        <v>166</v>
      </c>
      <c r="EN322">
        <f>0.62</f>
        <v>0.62</v>
      </c>
      <c r="EO322" t="s">
        <v>166</v>
      </c>
      <c r="ER322">
        <f>1.7</f>
        <v>1.7</v>
      </c>
    </row>
    <row r="323" spans="1:149" x14ac:dyDescent="0.25">
      <c r="A323" t="s">
        <v>1286</v>
      </c>
      <c r="B323" t="s">
        <v>148</v>
      </c>
      <c r="C323" s="1">
        <v>45764</v>
      </c>
      <c r="D323" t="s">
        <v>242</v>
      </c>
      <c r="E323" t="s">
        <v>243</v>
      </c>
      <c r="F323" t="s">
        <v>884</v>
      </c>
      <c r="G323" t="s">
        <v>6610</v>
      </c>
      <c r="H323">
        <v>912</v>
      </c>
      <c r="I323" t="s">
        <v>6610</v>
      </c>
      <c r="J323">
        <v>577</v>
      </c>
      <c r="K323" t="s">
        <v>5254</v>
      </c>
      <c r="L323" t="s">
        <v>393</v>
      </c>
      <c r="M323" t="s">
        <v>4759</v>
      </c>
      <c r="N323" t="s">
        <v>4760</v>
      </c>
      <c r="O323" t="s">
        <v>1287</v>
      </c>
      <c r="R323">
        <f>1</f>
        <v>1</v>
      </c>
      <c r="S323">
        <f>13.4</f>
        <v>13.4</v>
      </c>
      <c r="T323">
        <f>8</f>
        <v>8</v>
      </c>
      <c r="U323">
        <f>178</f>
        <v>178</v>
      </c>
      <c r="V323">
        <f>0.22</f>
        <v>0.22</v>
      </c>
      <c r="X323">
        <f>0</f>
        <v>0</v>
      </c>
      <c r="Y323">
        <f>1.3</f>
        <v>1.3</v>
      </c>
      <c r="Z323">
        <f>0</f>
        <v>0</v>
      </c>
      <c r="AA323" t="s">
        <v>158</v>
      </c>
      <c r="AB323" t="s">
        <v>158</v>
      </c>
      <c r="AD323">
        <f>0</f>
        <v>0</v>
      </c>
      <c r="AE323">
        <f>0</f>
        <v>0</v>
      </c>
      <c r="AH323" t="s">
        <v>157</v>
      </c>
    </row>
    <row r="324" spans="1:149" x14ac:dyDescent="0.25">
      <c r="A324" t="s">
        <v>1288</v>
      </c>
      <c r="B324" t="s">
        <v>148</v>
      </c>
      <c r="C324" s="1">
        <v>45783</v>
      </c>
      <c r="D324" t="s">
        <v>618</v>
      </c>
      <c r="E324" t="s">
        <v>619</v>
      </c>
      <c r="F324" t="s">
        <v>620</v>
      </c>
      <c r="G324" t="s">
        <v>1080</v>
      </c>
      <c r="H324">
        <v>43</v>
      </c>
      <c r="I324" t="s">
        <v>1289</v>
      </c>
      <c r="J324">
        <v>530</v>
      </c>
      <c r="K324" t="s">
        <v>5254</v>
      </c>
      <c r="L324" t="s">
        <v>180</v>
      </c>
      <c r="M324" t="s">
        <v>5930</v>
      </c>
      <c r="N324" t="s">
        <v>1290</v>
      </c>
      <c r="O324" t="s">
        <v>1291</v>
      </c>
      <c r="R324">
        <f>1</f>
        <v>1</v>
      </c>
      <c r="S324">
        <f>12.3</f>
        <v>12.3</v>
      </c>
      <c r="T324">
        <f>7.9</f>
        <v>7.9</v>
      </c>
      <c r="U324">
        <f>276</f>
        <v>276</v>
      </c>
      <c r="X324">
        <f>0</f>
        <v>0</v>
      </c>
      <c r="Y324">
        <f>0.1</f>
        <v>0.1</v>
      </c>
      <c r="Z324">
        <f>0</f>
        <v>0</v>
      </c>
      <c r="AA324" t="s">
        <v>158</v>
      </c>
      <c r="AB324" t="s">
        <v>158</v>
      </c>
      <c r="AD324">
        <f>0</f>
        <v>0</v>
      </c>
      <c r="AE324">
        <f>0</f>
        <v>0</v>
      </c>
      <c r="AH324" t="s">
        <v>157</v>
      </c>
      <c r="AI324" t="s">
        <v>238</v>
      </c>
      <c r="AL324" t="s">
        <v>164</v>
      </c>
      <c r="AM324" t="s">
        <v>165</v>
      </c>
      <c r="AN324">
        <f>2.7</f>
        <v>2.7</v>
      </c>
      <c r="AO324">
        <f>0.05</f>
        <v>0.05</v>
      </c>
      <c r="AP324">
        <f>20</f>
        <v>20</v>
      </c>
      <c r="AQ324">
        <f>1.8</f>
        <v>1.8</v>
      </c>
      <c r="AR324">
        <f>0.11</f>
        <v>0.11</v>
      </c>
      <c r="AS324">
        <f>3.8</f>
        <v>3.8</v>
      </c>
      <c r="AY324" t="s">
        <v>167</v>
      </c>
      <c r="AZ324" t="s">
        <v>158</v>
      </c>
      <c r="BA324" t="s">
        <v>216</v>
      </c>
      <c r="BB324" t="s">
        <v>158</v>
      </c>
      <c r="BC324">
        <f>0.43</f>
        <v>0.43</v>
      </c>
      <c r="BD324" t="s">
        <v>167</v>
      </c>
      <c r="BE324">
        <f>0.0036</f>
        <v>3.5999999999999999E-3</v>
      </c>
      <c r="BF324" t="s">
        <v>168</v>
      </c>
      <c r="BG324" t="s">
        <v>167</v>
      </c>
      <c r="BH324" t="s">
        <v>167</v>
      </c>
      <c r="BK324">
        <f>0.83</f>
        <v>0.83</v>
      </c>
    </row>
    <row r="325" spans="1:149" x14ac:dyDescent="0.25">
      <c r="A325" t="s">
        <v>1292</v>
      </c>
      <c r="B325" t="s">
        <v>148</v>
      </c>
      <c r="C325" s="1">
        <v>45820</v>
      </c>
      <c r="D325" t="s">
        <v>175</v>
      </c>
      <c r="E325" t="s">
        <v>270</v>
      </c>
      <c r="F325" t="s">
        <v>354</v>
      </c>
      <c r="G325" t="s">
        <v>6540</v>
      </c>
      <c r="H325">
        <v>693</v>
      </c>
      <c r="I325" t="s">
        <v>5133</v>
      </c>
      <c r="J325">
        <v>2414</v>
      </c>
      <c r="K325" t="s">
        <v>5257</v>
      </c>
      <c r="L325" t="s">
        <v>355</v>
      </c>
      <c r="M325" t="s">
        <v>5134</v>
      </c>
      <c r="N325" t="s">
        <v>4980</v>
      </c>
      <c r="O325" t="s">
        <v>1293</v>
      </c>
      <c r="Q325" t="s">
        <v>5931</v>
      </c>
      <c r="R325">
        <f>1</f>
        <v>1</v>
      </c>
      <c r="S325">
        <f>17</f>
        <v>17</v>
      </c>
      <c r="T325">
        <f>7.8</f>
        <v>7.8</v>
      </c>
      <c r="U325">
        <f>409</f>
        <v>409</v>
      </c>
      <c r="X325">
        <f>0</f>
        <v>0</v>
      </c>
      <c r="Y325" t="s">
        <v>207</v>
      </c>
      <c r="Z325">
        <f>0</f>
        <v>0</v>
      </c>
      <c r="AA325" t="s">
        <v>158</v>
      </c>
      <c r="AB325" t="s">
        <v>158</v>
      </c>
      <c r="AC325">
        <f>0</f>
        <v>0</v>
      </c>
      <c r="AD325">
        <f>0</f>
        <v>0</v>
      </c>
      <c r="AE325">
        <f>0</f>
        <v>0</v>
      </c>
      <c r="AH325" t="s">
        <v>166</v>
      </c>
      <c r="AI325">
        <f>0.74</f>
        <v>0.74</v>
      </c>
      <c r="AL325" t="s">
        <v>216</v>
      </c>
      <c r="AM325" t="s">
        <v>266</v>
      </c>
      <c r="AN325">
        <f>4.45</f>
        <v>4.45</v>
      </c>
      <c r="AO325">
        <f>0.089</f>
        <v>8.8999999999999996E-2</v>
      </c>
      <c r="AP325">
        <f>2.47</f>
        <v>2.4700000000000002</v>
      </c>
      <c r="AQ325">
        <f>3.38</f>
        <v>3.38</v>
      </c>
      <c r="AR325" t="s">
        <v>209</v>
      </c>
      <c r="AS325">
        <f>2.1</f>
        <v>2.1</v>
      </c>
      <c r="AY325" t="s">
        <v>157</v>
      </c>
      <c r="AZ325" t="s">
        <v>208</v>
      </c>
      <c r="BA325">
        <f>0.0021</f>
        <v>2.0999999999999999E-3</v>
      </c>
      <c r="BB325">
        <f>4.5</f>
        <v>4.5</v>
      </c>
      <c r="BC325" t="s">
        <v>209</v>
      </c>
      <c r="BD325">
        <f>0.11</f>
        <v>0.11</v>
      </c>
      <c r="BE325">
        <f>0.0012</f>
        <v>1.1999999999999999E-3</v>
      </c>
      <c r="BF325" t="s">
        <v>168</v>
      </c>
      <c r="BG325" t="s">
        <v>237</v>
      </c>
      <c r="BH325" t="s">
        <v>157</v>
      </c>
      <c r="BK325">
        <f>0.63</f>
        <v>0.63</v>
      </c>
      <c r="EL325">
        <f>7.8</f>
        <v>7.8</v>
      </c>
      <c r="EM325" t="s">
        <v>238</v>
      </c>
      <c r="EN325">
        <f>1.8</f>
        <v>1.8</v>
      </c>
      <c r="EO325" t="s">
        <v>300</v>
      </c>
      <c r="ER325">
        <f>9.6</f>
        <v>9.6</v>
      </c>
    </row>
    <row r="326" spans="1:149" x14ac:dyDescent="0.25">
      <c r="A326" t="s">
        <v>1294</v>
      </c>
      <c r="B326" t="s">
        <v>148</v>
      </c>
      <c r="C326" s="1">
        <v>45726</v>
      </c>
      <c r="D326" t="s">
        <v>222</v>
      </c>
      <c r="E326" t="s">
        <v>223</v>
      </c>
      <c r="F326" t="s">
        <v>469</v>
      </c>
      <c r="G326" t="s">
        <v>1295</v>
      </c>
      <c r="H326">
        <v>402</v>
      </c>
      <c r="I326" t="s">
        <v>1295</v>
      </c>
      <c r="J326">
        <v>375</v>
      </c>
      <c r="K326" t="s">
        <v>5257</v>
      </c>
      <c r="L326" t="s">
        <v>431</v>
      </c>
      <c r="M326" t="s">
        <v>5399</v>
      </c>
      <c r="N326" t="s">
        <v>5400</v>
      </c>
      <c r="O326" t="s">
        <v>1296</v>
      </c>
      <c r="Q326" t="s">
        <v>6298</v>
      </c>
      <c r="R326">
        <f>1</f>
        <v>1</v>
      </c>
      <c r="S326">
        <f>9.1</f>
        <v>9.1</v>
      </c>
      <c r="T326">
        <f>8.1</f>
        <v>8.1</v>
      </c>
      <c r="U326">
        <f>204</f>
        <v>204</v>
      </c>
      <c r="V326" t="s">
        <v>209</v>
      </c>
      <c r="X326">
        <f>1</f>
        <v>1</v>
      </c>
      <c r="Y326">
        <f>0.2</f>
        <v>0.2</v>
      </c>
      <c r="Z326">
        <f>0</f>
        <v>0</v>
      </c>
      <c r="AA326">
        <f>0</f>
        <v>0</v>
      </c>
      <c r="AB326">
        <f>1</f>
        <v>1</v>
      </c>
      <c r="AC326">
        <f>0</f>
        <v>0</v>
      </c>
      <c r="AD326">
        <f>0</f>
        <v>0</v>
      </c>
      <c r="AE326">
        <f>0</f>
        <v>0</v>
      </c>
      <c r="AH326" t="s">
        <v>166</v>
      </c>
      <c r="AI326" t="s">
        <v>300</v>
      </c>
      <c r="AL326" t="s">
        <v>168</v>
      </c>
      <c r="AM326" t="s">
        <v>164</v>
      </c>
      <c r="AN326">
        <f>3.5</f>
        <v>3.5</v>
      </c>
      <c r="AO326">
        <f>0.07</f>
        <v>7.0000000000000007E-2</v>
      </c>
      <c r="AP326">
        <f>2</f>
        <v>2</v>
      </c>
      <c r="AQ326" t="s">
        <v>167</v>
      </c>
      <c r="AR326" t="s">
        <v>167</v>
      </c>
    </row>
    <row r="327" spans="1:149" x14ac:dyDescent="0.25">
      <c r="A327" t="s">
        <v>1297</v>
      </c>
      <c r="B327" t="s">
        <v>268</v>
      </c>
      <c r="C327" s="1">
        <v>45874</v>
      </c>
      <c r="D327" t="s">
        <v>222</v>
      </c>
      <c r="E327" t="s">
        <v>223</v>
      </c>
      <c r="F327" t="s">
        <v>4723</v>
      </c>
      <c r="G327" t="s">
        <v>5135</v>
      </c>
      <c r="H327">
        <v>412</v>
      </c>
      <c r="I327" t="s">
        <v>5135</v>
      </c>
      <c r="J327">
        <v>264</v>
      </c>
      <c r="K327" t="s">
        <v>5257</v>
      </c>
      <c r="L327" t="s">
        <v>393</v>
      </c>
      <c r="M327" t="s">
        <v>5384</v>
      </c>
      <c r="N327" t="s">
        <v>5401</v>
      </c>
      <c r="O327" t="s">
        <v>1298</v>
      </c>
      <c r="Q327" t="s">
        <v>1299</v>
      </c>
      <c r="R327">
        <f>1</f>
        <v>1</v>
      </c>
      <c r="S327">
        <f>17.1</f>
        <v>17.100000000000001</v>
      </c>
      <c r="T327">
        <f>7.7</f>
        <v>7.7</v>
      </c>
      <c r="U327">
        <f>370</f>
        <v>370</v>
      </c>
      <c r="V327">
        <f>0.06</f>
        <v>0.06</v>
      </c>
      <c r="X327">
        <f>1</f>
        <v>1</v>
      </c>
      <c r="Y327">
        <f>0.12</f>
        <v>0.12</v>
      </c>
      <c r="Z327">
        <f>0</f>
        <v>0</v>
      </c>
      <c r="AA327">
        <f>0</f>
        <v>0</v>
      </c>
      <c r="AB327">
        <f>0</f>
        <v>0</v>
      </c>
      <c r="AC327">
        <f>0</f>
        <v>0</v>
      </c>
      <c r="AD327">
        <f>0</f>
        <v>0</v>
      </c>
      <c r="AE327">
        <f>1</f>
        <v>1</v>
      </c>
      <c r="AH327" t="s">
        <v>166</v>
      </c>
    </row>
    <row r="328" spans="1:149" x14ac:dyDescent="0.25">
      <c r="A328" t="s">
        <v>1300</v>
      </c>
      <c r="B328" t="s">
        <v>148</v>
      </c>
      <c r="C328" s="1">
        <v>45727</v>
      </c>
      <c r="D328" t="s">
        <v>175</v>
      </c>
      <c r="E328" t="s">
        <v>270</v>
      </c>
      <c r="F328" t="s">
        <v>354</v>
      </c>
      <c r="G328" t="s">
        <v>5932</v>
      </c>
      <c r="H328">
        <v>681</v>
      </c>
      <c r="I328" t="s">
        <v>5932</v>
      </c>
      <c r="J328">
        <v>1805</v>
      </c>
      <c r="K328" t="s">
        <v>5257</v>
      </c>
      <c r="L328" t="s">
        <v>355</v>
      </c>
      <c r="M328" t="s">
        <v>5933</v>
      </c>
      <c r="N328" t="s">
        <v>5402</v>
      </c>
      <c r="O328" t="s">
        <v>1301</v>
      </c>
      <c r="R328">
        <f>1</f>
        <v>1</v>
      </c>
      <c r="S328">
        <f>11.5</f>
        <v>11.5</v>
      </c>
      <c r="T328">
        <f>7.7</f>
        <v>7.7</v>
      </c>
      <c r="U328">
        <f>347</f>
        <v>347</v>
      </c>
      <c r="V328">
        <f>0.2</f>
        <v>0.2</v>
      </c>
      <c r="X328">
        <f>0</f>
        <v>0</v>
      </c>
      <c r="Y328" t="s">
        <v>207</v>
      </c>
      <c r="Z328">
        <f>0</f>
        <v>0</v>
      </c>
      <c r="AA328" t="s">
        <v>158</v>
      </c>
      <c r="AB328" t="s">
        <v>158</v>
      </c>
      <c r="AC328">
        <f>0</f>
        <v>0</v>
      </c>
      <c r="AD328">
        <f>0</f>
        <v>0</v>
      </c>
      <c r="AE328">
        <f>0</f>
        <v>0</v>
      </c>
    </row>
    <row r="329" spans="1:149" x14ac:dyDescent="0.25">
      <c r="A329" t="s">
        <v>1302</v>
      </c>
      <c r="B329" t="s">
        <v>148</v>
      </c>
      <c r="C329" s="1">
        <v>45716</v>
      </c>
      <c r="D329" t="s">
        <v>618</v>
      </c>
      <c r="E329" t="s">
        <v>619</v>
      </c>
      <c r="F329" t="s">
        <v>620</v>
      </c>
      <c r="G329" t="s">
        <v>1303</v>
      </c>
      <c r="H329">
        <v>933</v>
      </c>
      <c r="I329" t="s">
        <v>1303</v>
      </c>
      <c r="J329">
        <v>2000</v>
      </c>
      <c r="K329" t="s">
        <v>5257</v>
      </c>
      <c r="L329" t="s">
        <v>393</v>
      </c>
      <c r="M329" t="s">
        <v>5934</v>
      </c>
      <c r="N329" t="s">
        <v>1304</v>
      </c>
      <c r="O329" t="s">
        <v>1305</v>
      </c>
      <c r="R329">
        <f>1</f>
        <v>1</v>
      </c>
      <c r="S329">
        <f>8.5</f>
        <v>8.5</v>
      </c>
      <c r="T329">
        <f>7.7</f>
        <v>7.7</v>
      </c>
      <c r="U329">
        <f>633</f>
        <v>633</v>
      </c>
      <c r="V329">
        <f>0.12</f>
        <v>0.12</v>
      </c>
      <c r="X329">
        <f>0</f>
        <v>0</v>
      </c>
      <c r="Y329">
        <f>0.1</f>
        <v>0.1</v>
      </c>
      <c r="Z329">
        <f>0</f>
        <v>0</v>
      </c>
      <c r="AA329" t="s">
        <v>158</v>
      </c>
      <c r="AB329">
        <f>14</f>
        <v>14</v>
      </c>
      <c r="AC329">
        <f>0</f>
        <v>0</v>
      </c>
      <c r="AD329">
        <f>0</f>
        <v>0</v>
      </c>
      <c r="AE329">
        <f>0</f>
        <v>0</v>
      </c>
      <c r="AH329" t="s">
        <v>157</v>
      </c>
    </row>
    <row r="330" spans="1:149" x14ac:dyDescent="0.25">
      <c r="A330" t="s">
        <v>1306</v>
      </c>
      <c r="B330" t="s">
        <v>148</v>
      </c>
      <c r="C330" s="1">
        <v>45733</v>
      </c>
      <c r="D330" t="s">
        <v>317</v>
      </c>
      <c r="E330" t="s">
        <v>318</v>
      </c>
      <c r="F330" t="s">
        <v>360</v>
      </c>
      <c r="G330" t="s">
        <v>1307</v>
      </c>
      <c r="H330">
        <v>60</v>
      </c>
      <c r="I330" t="s">
        <v>1307</v>
      </c>
      <c r="J330">
        <v>927</v>
      </c>
      <c r="K330" t="s">
        <v>5254</v>
      </c>
      <c r="L330" t="s">
        <v>4948</v>
      </c>
      <c r="M330" t="s">
        <v>5403</v>
      </c>
      <c r="N330" t="s">
        <v>1308</v>
      </c>
      <c r="O330" t="s">
        <v>1309</v>
      </c>
      <c r="Q330" t="s">
        <v>329</v>
      </c>
      <c r="R330">
        <f>1</f>
        <v>1</v>
      </c>
      <c r="S330">
        <f>9.1</f>
        <v>9.1</v>
      </c>
      <c r="T330">
        <f>7.5</f>
        <v>7.5</v>
      </c>
      <c r="U330">
        <f>471</f>
        <v>471</v>
      </c>
      <c r="X330">
        <f>0</f>
        <v>0</v>
      </c>
      <c r="Y330" t="s">
        <v>157</v>
      </c>
      <c r="Z330">
        <f>0</f>
        <v>0</v>
      </c>
      <c r="AA330">
        <f>4</f>
        <v>4</v>
      </c>
      <c r="AB330">
        <f>3</f>
        <v>3</v>
      </c>
      <c r="AD330">
        <f>0</f>
        <v>0</v>
      </c>
      <c r="AE330">
        <f>0</f>
        <v>0</v>
      </c>
      <c r="AH330" t="s">
        <v>157</v>
      </c>
      <c r="AI330" t="s">
        <v>167</v>
      </c>
      <c r="AL330" t="s">
        <v>168</v>
      </c>
      <c r="AM330" t="s">
        <v>216</v>
      </c>
      <c r="AN330">
        <f>3.5</f>
        <v>3.5</v>
      </c>
      <c r="AO330">
        <f>0.07</f>
        <v>7.0000000000000007E-2</v>
      </c>
      <c r="AP330">
        <f>6.3</f>
        <v>6.3</v>
      </c>
      <c r="AQ330">
        <f>4.7</f>
        <v>4.7</v>
      </c>
      <c r="AR330" t="s">
        <v>167</v>
      </c>
      <c r="AS330">
        <f>2.6</f>
        <v>2.6</v>
      </c>
      <c r="AY330" t="s">
        <v>158</v>
      </c>
      <c r="AZ330" t="s">
        <v>158</v>
      </c>
      <c r="BA330" t="s">
        <v>216</v>
      </c>
      <c r="BB330" t="s">
        <v>158</v>
      </c>
      <c r="BC330" t="s">
        <v>167</v>
      </c>
      <c r="BD330" t="s">
        <v>167</v>
      </c>
      <c r="BE330" t="s">
        <v>216</v>
      </c>
      <c r="BF330" t="s">
        <v>167</v>
      </c>
      <c r="BG330" t="s">
        <v>158</v>
      </c>
      <c r="BH330" t="s">
        <v>167</v>
      </c>
      <c r="BK330" t="s">
        <v>158</v>
      </c>
    </row>
    <row r="331" spans="1:149" x14ac:dyDescent="0.25">
      <c r="A331" t="s">
        <v>1310</v>
      </c>
      <c r="B331" t="s">
        <v>148</v>
      </c>
      <c r="C331" s="1">
        <v>45728</v>
      </c>
      <c r="D331" t="s">
        <v>175</v>
      </c>
      <c r="E331" t="s">
        <v>176</v>
      </c>
      <c r="F331" t="s">
        <v>343</v>
      </c>
      <c r="G331" t="s">
        <v>344</v>
      </c>
      <c r="H331">
        <v>1700</v>
      </c>
      <c r="I331" t="s">
        <v>1311</v>
      </c>
      <c r="J331">
        <v>6419</v>
      </c>
      <c r="K331" t="s">
        <v>5331</v>
      </c>
      <c r="L331" t="s">
        <v>180</v>
      </c>
      <c r="M331" t="s">
        <v>5404</v>
      </c>
      <c r="N331" t="s">
        <v>1312</v>
      </c>
      <c r="O331" t="s">
        <v>1313</v>
      </c>
      <c r="Q331" t="s">
        <v>347</v>
      </c>
      <c r="R331">
        <f>1</f>
        <v>1</v>
      </c>
      <c r="S331">
        <f>8.5</f>
        <v>8.5</v>
      </c>
      <c r="T331">
        <f>8.1</f>
        <v>8.1</v>
      </c>
      <c r="U331">
        <f>233</f>
        <v>233</v>
      </c>
      <c r="X331">
        <f>0</f>
        <v>0</v>
      </c>
      <c r="Y331" t="s">
        <v>157</v>
      </c>
      <c r="Z331">
        <f>0</f>
        <v>0</v>
      </c>
      <c r="AA331">
        <f>1</f>
        <v>1</v>
      </c>
      <c r="AB331">
        <f>1</f>
        <v>1</v>
      </c>
      <c r="AD331">
        <f>0</f>
        <v>0</v>
      </c>
      <c r="AE331">
        <f>0</f>
        <v>0</v>
      </c>
      <c r="AH331" t="s">
        <v>157</v>
      </c>
    </row>
    <row r="332" spans="1:149" x14ac:dyDescent="0.25">
      <c r="A332" t="s">
        <v>1314</v>
      </c>
      <c r="B332" t="s">
        <v>148</v>
      </c>
      <c r="C332" s="1">
        <v>45783</v>
      </c>
      <c r="D332" t="s">
        <v>175</v>
      </c>
      <c r="E332" t="s">
        <v>176</v>
      </c>
      <c r="F332" t="s">
        <v>370</v>
      </c>
      <c r="G332" t="s">
        <v>1315</v>
      </c>
      <c r="H332">
        <v>335</v>
      </c>
      <c r="I332" t="s">
        <v>6611</v>
      </c>
      <c r="J332">
        <v>4339</v>
      </c>
      <c r="K332" t="s">
        <v>5254</v>
      </c>
      <c r="L332" t="s">
        <v>431</v>
      </c>
      <c r="M332" t="s">
        <v>5405</v>
      </c>
      <c r="N332" t="s">
        <v>4761</v>
      </c>
      <c r="O332" t="s">
        <v>1316</v>
      </c>
      <c r="Q332" t="s">
        <v>329</v>
      </c>
      <c r="R332">
        <f>1</f>
        <v>1</v>
      </c>
      <c r="S332">
        <f>14.7</f>
        <v>14.7</v>
      </c>
      <c r="T332">
        <f>7.4</f>
        <v>7.4</v>
      </c>
      <c r="U332">
        <f>465</f>
        <v>465</v>
      </c>
      <c r="V332" t="s">
        <v>209</v>
      </c>
      <c r="X332">
        <f>0</f>
        <v>0</v>
      </c>
      <c r="Y332" t="s">
        <v>157</v>
      </c>
      <c r="Z332">
        <f>0</f>
        <v>0</v>
      </c>
      <c r="AA332">
        <f>2</f>
        <v>2</v>
      </c>
      <c r="AB332">
        <f>2</f>
        <v>2</v>
      </c>
      <c r="AD332">
        <f>0</f>
        <v>0</v>
      </c>
      <c r="AE332">
        <f>0</f>
        <v>0</v>
      </c>
      <c r="AH332" t="s">
        <v>157</v>
      </c>
      <c r="AI332" t="s">
        <v>167</v>
      </c>
      <c r="AL332" t="s">
        <v>168</v>
      </c>
      <c r="AM332" t="s">
        <v>216</v>
      </c>
      <c r="AN332">
        <f>4.8</f>
        <v>4.8</v>
      </c>
      <c r="AO332">
        <f>0.096</f>
        <v>9.6000000000000002E-2</v>
      </c>
      <c r="AP332">
        <f>2</f>
        <v>2</v>
      </c>
      <c r="AQ332">
        <f>3.3</f>
        <v>3.3</v>
      </c>
      <c r="AR332" t="s">
        <v>167</v>
      </c>
      <c r="AS332">
        <f>1.7</f>
        <v>1.7</v>
      </c>
      <c r="AY332" t="s">
        <v>158</v>
      </c>
      <c r="AZ332" t="s">
        <v>158</v>
      </c>
      <c r="BA332" t="s">
        <v>216</v>
      </c>
      <c r="BB332" t="s">
        <v>158</v>
      </c>
      <c r="BC332" t="s">
        <v>167</v>
      </c>
      <c r="BD332" t="s">
        <v>167</v>
      </c>
      <c r="BE332" t="s">
        <v>216</v>
      </c>
      <c r="BF332" t="s">
        <v>167</v>
      </c>
      <c r="BG332" t="s">
        <v>158</v>
      </c>
      <c r="BH332" t="s">
        <v>167</v>
      </c>
      <c r="BK332" t="s">
        <v>158</v>
      </c>
    </row>
    <row r="333" spans="1:149" x14ac:dyDescent="0.25">
      <c r="A333" t="s">
        <v>1317</v>
      </c>
      <c r="B333" t="s">
        <v>148</v>
      </c>
      <c r="C333" s="1">
        <v>45722</v>
      </c>
      <c r="D333" t="s">
        <v>175</v>
      </c>
      <c r="E333" t="s">
        <v>176</v>
      </c>
      <c r="F333" t="s">
        <v>370</v>
      </c>
      <c r="G333" t="s">
        <v>1318</v>
      </c>
      <c r="H333">
        <v>935</v>
      </c>
      <c r="I333" t="s">
        <v>1318</v>
      </c>
      <c r="J333">
        <v>7014</v>
      </c>
      <c r="K333" t="s">
        <v>5254</v>
      </c>
      <c r="L333" t="s">
        <v>4981</v>
      </c>
      <c r="M333" t="s">
        <v>1319</v>
      </c>
      <c r="N333" t="s">
        <v>5406</v>
      </c>
      <c r="O333" t="s">
        <v>1320</v>
      </c>
      <c r="Q333" t="s">
        <v>6342</v>
      </c>
      <c r="R333">
        <f>1</f>
        <v>1</v>
      </c>
      <c r="S333">
        <f>9.3</f>
        <v>9.3000000000000007</v>
      </c>
      <c r="T333">
        <f>7.5</f>
        <v>7.5</v>
      </c>
      <c r="U333">
        <f>371</f>
        <v>371</v>
      </c>
      <c r="X333">
        <f>0</f>
        <v>0</v>
      </c>
      <c r="Y333">
        <f>0.12</f>
        <v>0.12</v>
      </c>
      <c r="Z333">
        <f>0</f>
        <v>0</v>
      </c>
      <c r="AA333">
        <f>9</f>
        <v>9</v>
      </c>
      <c r="AB333">
        <f>7</f>
        <v>7</v>
      </c>
      <c r="AD333">
        <f>0</f>
        <v>0</v>
      </c>
      <c r="AE333">
        <f>0</f>
        <v>0</v>
      </c>
      <c r="AH333" t="s">
        <v>157</v>
      </c>
    </row>
    <row r="334" spans="1:149" x14ac:dyDescent="0.25">
      <c r="A334" t="s">
        <v>1321</v>
      </c>
      <c r="B334" t="s">
        <v>148</v>
      </c>
      <c r="C334" s="1">
        <v>45785</v>
      </c>
      <c r="D334" t="s">
        <v>175</v>
      </c>
      <c r="E334" t="s">
        <v>176</v>
      </c>
      <c r="F334" t="s">
        <v>370</v>
      </c>
      <c r="G334" t="s">
        <v>1318</v>
      </c>
      <c r="H334">
        <v>935</v>
      </c>
      <c r="I334" t="s">
        <v>1318</v>
      </c>
      <c r="J334">
        <v>7014</v>
      </c>
      <c r="K334" t="s">
        <v>5254</v>
      </c>
      <c r="L334" t="s">
        <v>4981</v>
      </c>
      <c r="M334" t="s">
        <v>5407</v>
      </c>
      <c r="N334" t="s">
        <v>4982</v>
      </c>
      <c r="O334" t="s">
        <v>1322</v>
      </c>
      <c r="Q334" t="s">
        <v>329</v>
      </c>
      <c r="R334">
        <f>1</f>
        <v>1</v>
      </c>
      <c r="S334">
        <f>13.2</f>
        <v>13.2</v>
      </c>
      <c r="T334">
        <f>7.5</f>
        <v>7.5</v>
      </c>
      <c r="U334">
        <f>379</f>
        <v>379</v>
      </c>
      <c r="X334">
        <f>0</f>
        <v>0</v>
      </c>
      <c r="Y334">
        <f>0.11</f>
        <v>0.11</v>
      </c>
      <c r="Z334">
        <f>0</f>
        <v>0</v>
      </c>
      <c r="AA334">
        <f>2</f>
        <v>2</v>
      </c>
      <c r="AB334">
        <f>0</f>
        <v>0</v>
      </c>
      <c r="AD334">
        <f>0</f>
        <v>0</v>
      </c>
      <c r="AE334">
        <f>0</f>
        <v>0</v>
      </c>
      <c r="AH334" t="s">
        <v>157</v>
      </c>
      <c r="AS334">
        <f>1.9</f>
        <v>1.9</v>
      </c>
      <c r="AY334" t="s">
        <v>158</v>
      </c>
      <c r="AZ334" t="s">
        <v>158</v>
      </c>
      <c r="BA334" t="s">
        <v>216</v>
      </c>
      <c r="BB334" t="s">
        <v>158</v>
      </c>
      <c r="BC334" t="s">
        <v>167</v>
      </c>
      <c r="BD334" t="s">
        <v>167</v>
      </c>
      <c r="BE334" t="s">
        <v>216</v>
      </c>
      <c r="BF334" t="s">
        <v>167</v>
      </c>
      <c r="BG334" t="s">
        <v>158</v>
      </c>
      <c r="BH334" t="s">
        <v>167</v>
      </c>
      <c r="BK334" t="s">
        <v>158</v>
      </c>
      <c r="EP334" t="s">
        <v>251</v>
      </c>
      <c r="EQ334" t="s">
        <v>251</v>
      </c>
      <c r="ES334" t="s">
        <v>251</v>
      </c>
    </row>
    <row r="335" spans="1:149" x14ac:dyDescent="0.25">
      <c r="A335" t="s">
        <v>1323</v>
      </c>
      <c r="B335" t="s">
        <v>148</v>
      </c>
      <c r="C335" s="1">
        <v>45719</v>
      </c>
      <c r="D335" t="s">
        <v>618</v>
      </c>
      <c r="E335" t="s">
        <v>619</v>
      </c>
      <c r="F335" t="s">
        <v>730</v>
      </c>
      <c r="G335" t="s">
        <v>6612</v>
      </c>
      <c r="H335">
        <v>949</v>
      </c>
      <c r="I335" t="s">
        <v>6612</v>
      </c>
      <c r="J335">
        <v>600</v>
      </c>
      <c r="K335" t="s">
        <v>5257</v>
      </c>
      <c r="L335" t="s">
        <v>154</v>
      </c>
      <c r="M335" t="s">
        <v>6613</v>
      </c>
      <c r="N335" t="s">
        <v>6614</v>
      </c>
      <c r="O335" t="s">
        <v>1324</v>
      </c>
      <c r="R335">
        <f>1</f>
        <v>1</v>
      </c>
      <c r="S335">
        <f>7.9</f>
        <v>7.9</v>
      </c>
      <c r="T335">
        <f>7.4</f>
        <v>7.4</v>
      </c>
      <c r="U335">
        <f>337</f>
        <v>337</v>
      </c>
      <c r="V335">
        <f>0.11</f>
        <v>0.11</v>
      </c>
      <c r="X335">
        <f>0</f>
        <v>0</v>
      </c>
      <c r="Y335">
        <f>0.1</f>
        <v>0.1</v>
      </c>
      <c r="Z335">
        <f>0</f>
        <v>0</v>
      </c>
      <c r="AA335" t="s">
        <v>158</v>
      </c>
      <c r="AB335" t="s">
        <v>158</v>
      </c>
      <c r="AC335">
        <f>0</f>
        <v>0</v>
      </c>
      <c r="AD335">
        <f>0</f>
        <v>0</v>
      </c>
      <c r="AE335">
        <f>0</f>
        <v>0</v>
      </c>
      <c r="AH335" t="s">
        <v>157</v>
      </c>
    </row>
    <row r="336" spans="1:149" x14ac:dyDescent="0.25">
      <c r="A336" t="s">
        <v>1325</v>
      </c>
      <c r="B336" t="s">
        <v>148</v>
      </c>
      <c r="C336" s="1">
        <v>45726</v>
      </c>
      <c r="D336" t="s">
        <v>222</v>
      </c>
      <c r="E336" t="s">
        <v>223</v>
      </c>
      <c r="F336" t="s">
        <v>469</v>
      </c>
      <c r="G336" t="s">
        <v>5136</v>
      </c>
      <c r="H336">
        <v>250</v>
      </c>
      <c r="I336" t="s">
        <v>5137</v>
      </c>
      <c r="J336">
        <v>330</v>
      </c>
      <c r="K336" t="s">
        <v>5257</v>
      </c>
      <c r="L336" t="s">
        <v>431</v>
      </c>
      <c r="M336" t="s">
        <v>5340</v>
      </c>
      <c r="N336" t="s">
        <v>5408</v>
      </c>
      <c r="O336" t="s">
        <v>1326</v>
      </c>
      <c r="Q336" t="s">
        <v>6298</v>
      </c>
      <c r="R336">
        <f>1</f>
        <v>1</v>
      </c>
      <c r="S336">
        <f>9.1</f>
        <v>9.1</v>
      </c>
      <c r="T336">
        <f>8.4</f>
        <v>8.4</v>
      </c>
      <c r="U336">
        <f>255</f>
        <v>255</v>
      </c>
      <c r="X336">
        <f>1</f>
        <v>1</v>
      </c>
      <c r="Y336">
        <f>0.15</f>
        <v>0.15</v>
      </c>
      <c r="Z336">
        <f>0</f>
        <v>0</v>
      </c>
      <c r="AA336">
        <f>0</f>
        <v>0</v>
      </c>
      <c r="AB336">
        <f>0</f>
        <v>0</v>
      </c>
      <c r="AC336">
        <f>0</f>
        <v>0</v>
      </c>
      <c r="AD336">
        <f>0</f>
        <v>0</v>
      </c>
      <c r="AE336">
        <f>0</f>
        <v>0</v>
      </c>
      <c r="AH336" t="s">
        <v>166</v>
      </c>
    </row>
    <row r="337" spans="1:63" x14ac:dyDescent="0.25">
      <c r="A337" t="s">
        <v>1327</v>
      </c>
      <c r="B337" t="s">
        <v>148</v>
      </c>
      <c r="C337" s="1">
        <v>45734</v>
      </c>
      <c r="D337" t="s">
        <v>317</v>
      </c>
      <c r="E337" t="s">
        <v>318</v>
      </c>
      <c r="F337" t="s">
        <v>360</v>
      </c>
      <c r="G337" t="s">
        <v>1328</v>
      </c>
      <c r="H337">
        <v>633</v>
      </c>
      <c r="I337" t="s">
        <v>1328</v>
      </c>
      <c r="J337">
        <v>649</v>
      </c>
      <c r="K337" t="s">
        <v>5331</v>
      </c>
      <c r="L337" t="s">
        <v>4948</v>
      </c>
      <c r="M337" t="s">
        <v>5409</v>
      </c>
      <c r="N337" t="s">
        <v>1329</v>
      </c>
      <c r="O337" t="s">
        <v>1330</v>
      </c>
      <c r="Q337" t="s">
        <v>6343</v>
      </c>
      <c r="R337">
        <f>1</f>
        <v>1</v>
      </c>
      <c r="S337">
        <f>5.5</f>
        <v>5.5</v>
      </c>
      <c r="T337">
        <f>7.9</f>
        <v>7.9</v>
      </c>
      <c r="U337">
        <f>253</f>
        <v>253</v>
      </c>
      <c r="V337" t="s">
        <v>207</v>
      </c>
      <c r="X337">
        <f>0</f>
        <v>0</v>
      </c>
      <c r="Y337" t="s">
        <v>157</v>
      </c>
      <c r="Z337">
        <f>0</f>
        <v>0</v>
      </c>
      <c r="AA337">
        <f>0</f>
        <v>0</v>
      </c>
      <c r="AB337">
        <f>0</f>
        <v>0</v>
      </c>
      <c r="AC337">
        <f>0</f>
        <v>0</v>
      </c>
      <c r="AD337">
        <f>0</f>
        <v>0</v>
      </c>
      <c r="AE337">
        <f>0</f>
        <v>0</v>
      </c>
      <c r="AH337" t="s">
        <v>157</v>
      </c>
    </row>
    <row r="338" spans="1:63" x14ac:dyDescent="0.25">
      <c r="A338" t="s">
        <v>1331</v>
      </c>
      <c r="B338" t="s">
        <v>148</v>
      </c>
      <c r="C338" s="1">
        <v>45715</v>
      </c>
      <c r="D338" t="s">
        <v>175</v>
      </c>
      <c r="E338" t="s">
        <v>176</v>
      </c>
      <c r="F338" t="s">
        <v>1332</v>
      </c>
      <c r="G338" t="s">
        <v>1333</v>
      </c>
      <c r="H338">
        <v>566</v>
      </c>
      <c r="I338" t="s">
        <v>1333</v>
      </c>
      <c r="J338">
        <v>2807</v>
      </c>
      <c r="K338" t="s">
        <v>5257</v>
      </c>
      <c r="L338" t="s">
        <v>431</v>
      </c>
      <c r="M338" t="s">
        <v>5410</v>
      </c>
      <c r="N338" t="s">
        <v>1334</v>
      </c>
      <c r="O338" t="s">
        <v>1335</v>
      </c>
      <c r="R338">
        <f>1</f>
        <v>1</v>
      </c>
      <c r="S338">
        <f>19.1</f>
        <v>19.100000000000001</v>
      </c>
      <c r="T338">
        <f>7.7</f>
        <v>7.7</v>
      </c>
      <c r="U338">
        <f>340</f>
        <v>340</v>
      </c>
      <c r="V338">
        <f>0.12</f>
        <v>0.12</v>
      </c>
      <c r="X338">
        <f>1</f>
        <v>1</v>
      </c>
      <c r="Y338" t="s">
        <v>157</v>
      </c>
      <c r="Z338">
        <f>0</f>
        <v>0</v>
      </c>
      <c r="AA338" t="s">
        <v>158</v>
      </c>
      <c r="AB338" t="s">
        <v>158</v>
      </c>
      <c r="AC338">
        <f>0</f>
        <v>0</v>
      </c>
      <c r="AD338">
        <f>0</f>
        <v>0</v>
      </c>
      <c r="AE338">
        <f>0</f>
        <v>0</v>
      </c>
    </row>
    <row r="339" spans="1:63" x14ac:dyDescent="0.25">
      <c r="A339" t="s">
        <v>1336</v>
      </c>
      <c r="B339" t="s">
        <v>148</v>
      </c>
      <c r="C339" s="1">
        <v>45797</v>
      </c>
      <c r="D339" t="s">
        <v>175</v>
      </c>
      <c r="E339" t="s">
        <v>176</v>
      </c>
      <c r="F339" t="s">
        <v>1332</v>
      </c>
      <c r="G339" t="s">
        <v>1337</v>
      </c>
      <c r="H339">
        <v>567</v>
      </c>
      <c r="I339" t="s">
        <v>1337</v>
      </c>
      <c r="J339">
        <v>998</v>
      </c>
      <c r="K339" t="s">
        <v>5257</v>
      </c>
      <c r="L339" t="s">
        <v>180</v>
      </c>
      <c r="M339" t="s">
        <v>5411</v>
      </c>
      <c r="N339" t="s">
        <v>1338</v>
      </c>
      <c r="O339" t="s">
        <v>1339</v>
      </c>
      <c r="Q339" t="s">
        <v>6311</v>
      </c>
      <c r="R339">
        <f>1</f>
        <v>1</v>
      </c>
      <c r="S339">
        <f>15.4</f>
        <v>15.4</v>
      </c>
      <c r="T339">
        <f>7.6</f>
        <v>7.6</v>
      </c>
      <c r="U339">
        <f>448</f>
        <v>448</v>
      </c>
      <c r="X339">
        <f>0</f>
        <v>0</v>
      </c>
      <c r="Y339" t="s">
        <v>157</v>
      </c>
      <c r="Z339">
        <f>0</f>
        <v>0</v>
      </c>
      <c r="AA339" t="s">
        <v>158</v>
      </c>
      <c r="AB339" t="s">
        <v>158</v>
      </c>
      <c r="AC339">
        <f>0</f>
        <v>0</v>
      </c>
      <c r="AD339">
        <f>0</f>
        <v>0</v>
      </c>
      <c r="AE339">
        <f>0</f>
        <v>0</v>
      </c>
      <c r="AH339" t="s">
        <v>157</v>
      </c>
      <c r="AI339" t="s">
        <v>238</v>
      </c>
      <c r="AL339" t="s">
        <v>164</v>
      </c>
      <c r="AM339" t="s">
        <v>165</v>
      </c>
      <c r="AN339">
        <f>4.9</f>
        <v>4.9000000000000004</v>
      </c>
      <c r="AO339">
        <f>0.1</f>
        <v>0.1</v>
      </c>
      <c r="AP339">
        <f>4.9</f>
        <v>4.9000000000000004</v>
      </c>
      <c r="AQ339">
        <f>1.5</f>
        <v>1.5</v>
      </c>
      <c r="AR339" t="s">
        <v>157</v>
      </c>
      <c r="AS339">
        <f>0.66</f>
        <v>0.66</v>
      </c>
      <c r="AY339" t="s">
        <v>167</v>
      </c>
      <c r="AZ339" t="s">
        <v>158</v>
      </c>
      <c r="BA339" t="s">
        <v>216</v>
      </c>
      <c r="BB339" t="s">
        <v>158</v>
      </c>
      <c r="BC339" t="s">
        <v>166</v>
      </c>
      <c r="BD339" t="s">
        <v>167</v>
      </c>
      <c r="BE339">
        <f>0.0053</f>
        <v>5.3E-3</v>
      </c>
      <c r="BF339">
        <f>0.026</f>
        <v>2.5999999999999999E-2</v>
      </c>
      <c r="BG339" t="s">
        <v>167</v>
      </c>
      <c r="BH339" t="s">
        <v>167</v>
      </c>
      <c r="BK339">
        <f>0.073</f>
        <v>7.2999999999999995E-2</v>
      </c>
    </row>
    <row r="340" spans="1:63" x14ac:dyDescent="0.25">
      <c r="A340" t="s">
        <v>1340</v>
      </c>
      <c r="B340" t="s">
        <v>148</v>
      </c>
      <c r="C340" s="1">
        <v>45722</v>
      </c>
      <c r="D340" t="s">
        <v>175</v>
      </c>
      <c r="E340" t="s">
        <v>176</v>
      </c>
      <c r="F340" t="s">
        <v>6615</v>
      </c>
      <c r="G340" t="s">
        <v>1341</v>
      </c>
      <c r="H340">
        <v>583</v>
      </c>
      <c r="I340" t="s">
        <v>1342</v>
      </c>
      <c r="J340">
        <v>1496</v>
      </c>
      <c r="K340" t="s">
        <v>5254</v>
      </c>
      <c r="L340" t="s">
        <v>431</v>
      </c>
      <c r="M340" t="s">
        <v>5412</v>
      </c>
      <c r="N340" t="s">
        <v>5935</v>
      </c>
      <c r="O340" t="s">
        <v>1343</v>
      </c>
      <c r="R340">
        <f>1</f>
        <v>1</v>
      </c>
      <c r="S340">
        <f>11.1</f>
        <v>11.1</v>
      </c>
      <c r="T340">
        <f>7.5</f>
        <v>7.5</v>
      </c>
      <c r="U340">
        <f>476</f>
        <v>476</v>
      </c>
      <c r="V340">
        <f>0.07</f>
        <v>7.0000000000000007E-2</v>
      </c>
      <c r="X340">
        <f>0</f>
        <v>0</v>
      </c>
      <c r="Y340" t="s">
        <v>157</v>
      </c>
      <c r="Z340">
        <f>0</f>
        <v>0</v>
      </c>
      <c r="AA340" t="s">
        <v>158</v>
      </c>
      <c r="AB340" t="s">
        <v>158</v>
      </c>
      <c r="AD340">
        <f>0</f>
        <v>0</v>
      </c>
      <c r="AE340">
        <f>0</f>
        <v>0</v>
      </c>
    </row>
    <row r="341" spans="1:63" x14ac:dyDescent="0.25">
      <c r="A341" t="s">
        <v>1344</v>
      </c>
      <c r="B341" t="s">
        <v>148</v>
      </c>
      <c r="C341" s="1">
        <v>45726</v>
      </c>
      <c r="D341" t="s">
        <v>317</v>
      </c>
      <c r="E341" t="s">
        <v>318</v>
      </c>
      <c r="F341" t="s">
        <v>847</v>
      </c>
      <c r="G341" t="s">
        <v>6616</v>
      </c>
      <c r="H341">
        <v>69</v>
      </c>
      <c r="I341" t="s">
        <v>6616</v>
      </c>
      <c r="J341">
        <v>667</v>
      </c>
      <c r="K341" t="s">
        <v>5254</v>
      </c>
      <c r="L341" t="s">
        <v>4966</v>
      </c>
      <c r="M341" t="s">
        <v>4762</v>
      </c>
      <c r="N341" t="s">
        <v>4763</v>
      </c>
      <c r="O341" t="s">
        <v>1345</v>
      </c>
      <c r="Q341" t="s">
        <v>329</v>
      </c>
      <c r="R341">
        <f>1</f>
        <v>1</v>
      </c>
      <c r="S341">
        <f>5.3</f>
        <v>5.3</v>
      </c>
      <c r="T341">
        <f>8.1</f>
        <v>8.1</v>
      </c>
      <c r="U341">
        <f>171</f>
        <v>171</v>
      </c>
      <c r="X341">
        <f>0</f>
        <v>0</v>
      </c>
      <c r="Y341" t="s">
        <v>157</v>
      </c>
      <c r="Z341">
        <f>0</f>
        <v>0</v>
      </c>
      <c r="AA341">
        <f>0</f>
        <v>0</v>
      </c>
      <c r="AB341">
        <f>0</f>
        <v>0</v>
      </c>
      <c r="AD341">
        <f>0</f>
        <v>0</v>
      </c>
      <c r="AE341">
        <f>0</f>
        <v>0</v>
      </c>
      <c r="AH341" t="s">
        <v>157</v>
      </c>
    </row>
    <row r="342" spans="1:63" x14ac:dyDescent="0.25">
      <c r="A342" t="s">
        <v>1346</v>
      </c>
      <c r="B342" t="s">
        <v>148</v>
      </c>
      <c r="C342" s="1">
        <v>45806</v>
      </c>
      <c r="D342" t="s">
        <v>175</v>
      </c>
      <c r="E342" t="s">
        <v>176</v>
      </c>
      <c r="F342" t="s">
        <v>690</v>
      </c>
      <c r="G342" t="s">
        <v>1347</v>
      </c>
      <c r="H342">
        <v>1079</v>
      </c>
      <c r="I342" t="s">
        <v>1347</v>
      </c>
      <c r="J342">
        <v>1021</v>
      </c>
      <c r="K342" t="s">
        <v>5254</v>
      </c>
      <c r="L342" t="s">
        <v>4966</v>
      </c>
      <c r="M342" t="s">
        <v>5936</v>
      </c>
      <c r="N342" t="s">
        <v>1348</v>
      </c>
      <c r="O342" t="s">
        <v>1349</v>
      </c>
      <c r="R342">
        <f>1</f>
        <v>1</v>
      </c>
      <c r="S342">
        <f>14.9</f>
        <v>14.9</v>
      </c>
      <c r="T342">
        <f>7.7</f>
        <v>7.7</v>
      </c>
      <c r="U342">
        <f>615</f>
        <v>615</v>
      </c>
      <c r="X342">
        <f>0</f>
        <v>0</v>
      </c>
      <c r="Y342" t="s">
        <v>157</v>
      </c>
      <c r="Z342">
        <f>0</f>
        <v>0</v>
      </c>
      <c r="AA342" t="s">
        <v>158</v>
      </c>
      <c r="AB342" t="s">
        <v>158</v>
      </c>
      <c r="AD342">
        <f>0</f>
        <v>0</v>
      </c>
      <c r="AE342">
        <f>0</f>
        <v>0</v>
      </c>
      <c r="AH342" t="s">
        <v>157</v>
      </c>
      <c r="AI342" t="s">
        <v>238</v>
      </c>
      <c r="AL342" t="s">
        <v>164</v>
      </c>
      <c r="AM342" t="s">
        <v>165</v>
      </c>
      <c r="AN342">
        <f>7.5</f>
        <v>7.5</v>
      </c>
      <c r="AO342">
        <f>0.15</f>
        <v>0.15</v>
      </c>
      <c r="AP342">
        <f>130</f>
        <v>130</v>
      </c>
      <c r="AQ342">
        <f>12</f>
        <v>12</v>
      </c>
      <c r="AR342" t="s">
        <v>157</v>
      </c>
      <c r="AS342">
        <f>6.5</f>
        <v>6.5</v>
      </c>
      <c r="AY342" t="s">
        <v>167</v>
      </c>
      <c r="AZ342" t="s">
        <v>158</v>
      </c>
      <c r="BA342" t="s">
        <v>216</v>
      </c>
      <c r="BB342" t="s">
        <v>158</v>
      </c>
      <c r="BC342" t="s">
        <v>166</v>
      </c>
      <c r="BD342" t="s">
        <v>167</v>
      </c>
      <c r="BE342">
        <f>0.0014</f>
        <v>1.4E-3</v>
      </c>
      <c r="BF342" t="s">
        <v>168</v>
      </c>
      <c r="BG342" t="s">
        <v>167</v>
      </c>
      <c r="BH342">
        <f>1.2</f>
        <v>1.2</v>
      </c>
      <c r="BK342">
        <f>0.41</f>
        <v>0.41</v>
      </c>
    </row>
    <row r="343" spans="1:63" x14ac:dyDescent="0.25">
      <c r="A343" t="s">
        <v>1350</v>
      </c>
      <c r="B343" t="s">
        <v>148</v>
      </c>
      <c r="C343" s="1">
        <v>45720</v>
      </c>
      <c r="D343" t="s">
        <v>317</v>
      </c>
      <c r="E343" t="s">
        <v>318</v>
      </c>
      <c r="F343" t="s">
        <v>5108</v>
      </c>
      <c r="G343" t="s">
        <v>1351</v>
      </c>
      <c r="H343">
        <v>723</v>
      </c>
      <c r="I343" t="s">
        <v>1351</v>
      </c>
      <c r="J343">
        <v>800</v>
      </c>
      <c r="K343" t="s">
        <v>5254</v>
      </c>
      <c r="L343" t="s">
        <v>4947</v>
      </c>
      <c r="M343" t="s">
        <v>5413</v>
      </c>
      <c r="N343" t="s">
        <v>1352</v>
      </c>
      <c r="O343" t="s">
        <v>1353</v>
      </c>
      <c r="Q343" t="s">
        <v>329</v>
      </c>
      <c r="R343">
        <f>1</f>
        <v>1</v>
      </c>
      <c r="S343">
        <f>7.9</f>
        <v>7.9</v>
      </c>
      <c r="T343">
        <f>8</f>
        <v>8</v>
      </c>
      <c r="U343">
        <f>158</f>
        <v>158</v>
      </c>
      <c r="V343">
        <f>0.11</f>
        <v>0.11</v>
      </c>
      <c r="X343">
        <f>0</f>
        <v>0</v>
      </c>
      <c r="Y343">
        <f>0.12</f>
        <v>0.12</v>
      </c>
      <c r="Z343">
        <f>0</f>
        <v>0</v>
      </c>
      <c r="AA343">
        <f>0</f>
        <v>0</v>
      </c>
      <c r="AB343">
        <f>0</f>
        <v>0</v>
      </c>
      <c r="AD343">
        <f>0</f>
        <v>0</v>
      </c>
      <c r="AE343">
        <f>0</f>
        <v>0</v>
      </c>
      <c r="AH343" t="s">
        <v>157</v>
      </c>
    </row>
    <row r="344" spans="1:63" x14ac:dyDescent="0.25">
      <c r="A344" t="s">
        <v>1354</v>
      </c>
      <c r="B344" t="s">
        <v>148</v>
      </c>
      <c r="C344" s="1">
        <v>45720</v>
      </c>
      <c r="D344" t="s">
        <v>317</v>
      </c>
      <c r="E344" t="s">
        <v>318</v>
      </c>
      <c r="F344" t="s">
        <v>5108</v>
      </c>
      <c r="G344" t="s">
        <v>1255</v>
      </c>
      <c r="H344">
        <v>108</v>
      </c>
      <c r="I344" t="s">
        <v>5138</v>
      </c>
      <c r="J344">
        <v>450</v>
      </c>
      <c r="K344" t="s">
        <v>5254</v>
      </c>
      <c r="L344" t="s">
        <v>180</v>
      </c>
      <c r="M344" t="s">
        <v>1355</v>
      </c>
      <c r="N344" t="s">
        <v>1356</v>
      </c>
      <c r="O344" t="s">
        <v>1357</v>
      </c>
      <c r="Q344" t="s">
        <v>6344</v>
      </c>
      <c r="R344">
        <f>1</f>
        <v>1</v>
      </c>
      <c r="S344">
        <f>7.1</f>
        <v>7.1</v>
      </c>
      <c r="T344">
        <f>6.5</f>
        <v>6.5</v>
      </c>
      <c r="U344">
        <f>21</f>
        <v>21</v>
      </c>
      <c r="X344">
        <f>0</f>
        <v>0</v>
      </c>
      <c r="Y344" t="s">
        <v>157</v>
      </c>
      <c r="Z344">
        <f>0</f>
        <v>0</v>
      </c>
      <c r="AA344">
        <f>1</f>
        <v>1</v>
      </c>
      <c r="AB344">
        <f>0</f>
        <v>0</v>
      </c>
      <c r="AD344">
        <f>0</f>
        <v>0</v>
      </c>
      <c r="AE344">
        <f>0</f>
        <v>0</v>
      </c>
      <c r="AH344" t="s">
        <v>157</v>
      </c>
    </row>
    <row r="345" spans="1:63" x14ac:dyDescent="0.25">
      <c r="A345" t="s">
        <v>1358</v>
      </c>
      <c r="B345" t="s">
        <v>148</v>
      </c>
      <c r="C345" s="1">
        <v>45715</v>
      </c>
      <c r="D345" t="s">
        <v>311</v>
      </c>
      <c r="E345" t="s">
        <v>312</v>
      </c>
      <c r="F345" t="s">
        <v>6617</v>
      </c>
      <c r="G345" t="s">
        <v>1359</v>
      </c>
      <c r="H345">
        <v>924</v>
      </c>
      <c r="I345" t="s">
        <v>1359</v>
      </c>
      <c r="J345">
        <v>3678</v>
      </c>
      <c r="K345" t="s">
        <v>5257</v>
      </c>
      <c r="L345" t="s">
        <v>180</v>
      </c>
      <c r="M345" t="s">
        <v>5937</v>
      </c>
      <c r="N345" t="s">
        <v>1360</v>
      </c>
      <c r="O345" t="s">
        <v>1361</v>
      </c>
      <c r="R345">
        <f>1</f>
        <v>1</v>
      </c>
      <c r="S345">
        <f>9.6</f>
        <v>9.6</v>
      </c>
      <c r="T345">
        <f>7.7</f>
        <v>7.7</v>
      </c>
      <c r="U345">
        <f>275</f>
        <v>275</v>
      </c>
      <c r="X345">
        <f>0</f>
        <v>0</v>
      </c>
      <c r="Y345" t="s">
        <v>157</v>
      </c>
      <c r="Z345">
        <f>0</f>
        <v>0</v>
      </c>
      <c r="AA345" t="s">
        <v>158</v>
      </c>
      <c r="AB345" t="s">
        <v>158</v>
      </c>
      <c r="AC345">
        <f>0</f>
        <v>0</v>
      </c>
      <c r="AD345">
        <f>0</f>
        <v>0</v>
      </c>
      <c r="AE345">
        <f>0</f>
        <v>0</v>
      </c>
      <c r="AH345" t="s">
        <v>157</v>
      </c>
    </row>
    <row r="346" spans="1:63" x14ac:dyDescent="0.25">
      <c r="A346" t="s">
        <v>1362</v>
      </c>
      <c r="B346" t="s">
        <v>268</v>
      </c>
      <c r="C346" s="1">
        <v>45715</v>
      </c>
      <c r="D346" t="s">
        <v>311</v>
      </c>
      <c r="E346" t="s">
        <v>312</v>
      </c>
      <c r="F346" t="s">
        <v>6617</v>
      </c>
      <c r="G346" t="s">
        <v>1363</v>
      </c>
      <c r="H346">
        <v>927</v>
      </c>
      <c r="I346" t="s">
        <v>1364</v>
      </c>
      <c r="J346">
        <v>600</v>
      </c>
      <c r="K346" t="s">
        <v>5257</v>
      </c>
      <c r="L346" t="s">
        <v>180</v>
      </c>
      <c r="M346" t="s">
        <v>5938</v>
      </c>
      <c r="N346" t="s">
        <v>1365</v>
      </c>
      <c r="Q346" t="s">
        <v>6345</v>
      </c>
      <c r="R346">
        <f>1</f>
        <v>1</v>
      </c>
      <c r="S346">
        <f>6.3</f>
        <v>6.3</v>
      </c>
      <c r="T346">
        <f>7.7</f>
        <v>7.7</v>
      </c>
      <c r="U346">
        <f>343</f>
        <v>343</v>
      </c>
      <c r="X346">
        <f>0</f>
        <v>0</v>
      </c>
      <c r="Y346" t="s">
        <v>157</v>
      </c>
      <c r="Z346">
        <f>0</f>
        <v>0</v>
      </c>
      <c r="AA346" t="s">
        <v>158</v>
      </c>
      <c r="AB346" t="s">
        <v>158</v>
      </c>
      <c r="AC346">
        <f>7</f>
        <v>7</v>
      </c>
      <c r="AD346">
        <f>0</f>
        <v>0</v>
      </c>
      <c r="AE346">
        <f>0</f>
        <v>0</v>
      </c>
      <c r="AH346" t="s">
        <v>157</v>
      </c>
    </row>
    <row r="347" spans="1:63" x14ac:dyDescent="0.25">
      <c r="A347" t="s">
        <v>1366</v>
      </c>
      <c r="B347" t="s">
        <v>148</v>
      </c>
      <c r="C347" s="1">
        <v>45789</v>
      </c>
      <c r="D347" t="s">
        <v>311</v>
      </c>
      <c r="E347" t="s">
        <v>312</v>
      </c>
      <c r="F347" t="s">
        <v>5284</v>
      </c>
      <c r="G347" t="s">
        <v>6618</v>
      </c>
      <c r="H347">
        <v>899</v>
      </c>
      <c r="I347" t="s">
        <v>6618</v>
      </c>
      <c r="J347">
        <v>1057</v>
      </c>
      <c r="K347" t="s">
        <v>5257</v>
      </c>
      <c r="L347" t="s">
        <v>387</v>
      </c>
      <c r="M347" t="s">
        <v>5939</v>
      </c>
      <c r="N347" t="s">
        <v>4764</v>
      </c>
      <c r="O347" t="s">
        <v>1367</v>
      </c>
      <c r="R347">
        <f>1</f>
        <v>1</v>
      </c>
      <c r="S347">
        <f>15.3</f>
        <v>15.3</v>
      </c>
      <c r="T347">
        <f>7.6</f>
        <v>7.6</v>
      </c>
      <c r="U347">
        <f>361</f>
        <v>361</v>
      </c>
      <c r="V347">
        <f>0.05</f>
        <v>0.05</v>
      </c>
      <c r="X347">
        <f>0</f>
        <v>0</v>
      </c>
      <c r="Y347">
        <f>0.3</f>
        <v>0.3</v>
      </c>
      <c r="Z347">
        <f>0</f>
        <v>0</v>
      </c>
      <c r="AA347" t="s">
        <v>158</v>
      </c>
      <c r="AB347" t="s">
        <v>158</v>
      </c>
      <c r="AC347">
        <f>0</f>
        <v>0</v>
      </c>
      <c r="AD347">
        <f>0</f>
        <v>0</v>
      </c>
      <c r="AE347">
        <f>0</f>
        <v>0</v>
      </c>
      <c r="AH347" t="s">
        <v>157</v>
      </c>
    </row>
    <row r="348" spans="1:63" x14ac:dyDescent="0.25">
      <c r="A348" t="s">
        <v>1368</v>
      </c>
      <c r="B348" t="s">
        <v>148</v>
      </c>
      <c r="C348" s="1">
        <v>45876</v>
      </c>
      <c r="D348" t="s">
        <v>242</v>
      </c>
      <c r="E348" t="s">
        <v>243</v>
      </c>
      <c r="F348" t="s">
        <v>884</v>
      </c>
      <c r="G348" t="s">
        <v>6579</v>
      </c>
      <c r="H348">
        <v>1811</v>
      </c>
      <c r="I348" t="s">
        <v>1369</v>
      </c>
      <c r="J348">
        <v>462</v>
      </c>
      <c r="K348" t="s">
        <v>5254</v>
      </c>
      <c r="L348" t="s">
        <v>393</v>
      </c>
      <c r="M348" t="s">
        <v>5414</v>
      </c>
      <c r="N348" t="s">
        <v>1370</v>
      </c>
      <c r="O348" t="s">
        <v>1371</v>
      </c>
      <c r="Q348" t="s">
        <v>6346</v>
      </c>
      <c r="R348">
        <f>1</f>
        <v>1</v>
      </c>
      <c r="S348">
        <f>18.8</f>
        <v>18.8</v>
      </c>
      <c r="T348">
        <f>8</f>
        <v>8</v>
      </c>
      <c r="U348">
        <f>291</f>
        <v>291</v>
      </c>
      <c r="X348">
        <f>1</f>
        <v>1</v>
      </c>
      <c r="Y348">
        <f>1</f>
        <v>1</v>
      </c>
      <c r="Z348">
        <f>0</f>
        <v>0</v>
      </c>
      <c r="AA348" t="s">
        <v>158</v>
      </c>
      <c r="AB348">
        <f>49</f>
        <v>49</v>
      </c>
      <c r="AD348">
        <f>0</f>
        <v>0</v>
      </c>
      <c r="AE348">
        <f>0</f>
        <v>0</v>
      </c>
      <c r="AH348" t="s">
        <v>157</v>
      </c>
      <c r="AI348" t="s">
        <v>238</v>
      </c>
      <c r="AL348" t="s">
        <v>164</v>
      </c>
      <c r="AM348" t="s">
        <v>165</v>
      </c>
      <c r="AN348">
        <f>6.6</f>
        <v>6.6</v>
      </c>
      <c r="AO348">
        <f>0.13</f>
        <v>0.13</v>
      </c>
      <c r="AP348">
        <f>5.2</f>
        <v>5.2</v>
      </c>
      <c r="AQ348">
        <f>1.2</f>
        <v>1.2</v>
      </c>
      <c r="AR348" t="s">
        <v>157</v>
      </c>
    </row>
    <row r="349" spans="1:63" x14ac:dyDescent="0.25">
      <c r="A349" t="s">
        <v>1372</v>
      </c>
      <c r="B349" t="s">
        <v>148</v>
      </c>
      <c r="C349" s="1">
        <v>45783</v>
      </c>
      <c r="D349" t="s">
        <v>311</v>
      </c>
      <c r="E349" t="s">
        <v>312</v>
      </c>
      <c r="F349" t="s">
        <v>5415</v>
      </c>
      <c r="G349" t="s">
        <v>6619</v>
      </c>
      <c r="H349">
        <v>1048</v>
      </c>
      <c r="I349" t="s">
        <v>6620</v>
      </c>
      <c r="J349">
        <v>500</v>
      </c>
      <c r="K349" t="s">
        <v>5257</v>
      </c>
      <c r="L349" t="s">
        <v>4758</v>
      </c>
      <c r="M349" t="s">
        <v>6621</v>
      </c>
      <c r="N349" t="s">
        <v>6622</v>
      </c>
      <c r="O349" t="s">
        <v>1373</v>
      </c>
      <c r="R349">
        <f>1</f>
        <v>1</v>
      </c>
      <c r="S349">
        <f>14</f>
        <v>14</v>
      </c>
      <c r="T349">
        <f>7</f>
        <v>7</v>
      </c>
      <c r="U349">
        <f>90</f>
        <v>90</v>
      </c>
      <c r="X349">
        <f>0</f>
        <v>0</v>
      </c>
      <c r="Y349" t="s">
        <v>157</v>
      </c>
      <c r="Z349">
        <f>0</f>
        <v>0</v>
      </c>
      <c r="AA349" t="s">
        <v>158</v>
      </c>
      <c r="AB349" t="s">
        <v>158</v>
      </c>
      <c r="AC349">
        <f>0</f>
        <v>0</v>
      </c>
      <c r="AD349">
        <f>0</f>
        <v>0</v>
      </c>
      <c r="AE349">
        <f>0</f>
        <v>0</v>
      </c>
      <c r="AH349" t="s">
        <v>157</v>
      </c>
      <c r="BI349" t="s">
        <v>836</v>
      </c>
    </row>
    <row r="350" spans="1:63" x14ac:dyDescent="0.25">
      <c r="A350" t="s">
        <v>1374</v>
      </c>
      <c r="B350" t="s">
        <v>148</v>
      </c>
      <c r="C350" s="1">
        <v>45720</v>
      </c>
      <c r="D350" t="s">
        <v>175</v>
      </c>
      <c r="E350" t="s">
        <v>649</v>
      </c>
      <c r="F350" t="s">
        <v>685</v>
      </c>
      <c r="G350" t="s">
        <v>1375</v>
      </c>
      <c r="H350">
        <v>1073</v>
      </c>
      <c r="I350" t="s">
        <v>1375</v>
      </c>
      <c r="J350">
        <v>980</v>
      </c>
      <c r="K350" t="s">
        <v>5257</v>
      </c>
      <c r="L350" t="s">
        <v>431</v>
      </c>
      <c r="M350" t="s">
        <v>5940</v>
      </c>
      <c r="N350" t="s">
        <v>1376</v>
      </c>
      <c r="O350" t="s">
        <v>1377</v>
      </c>
      <c r="R350">
        <f>1</f>
        <v>1</v>
      </c>
      <c r="S350">
        <f>9</f>
        <v>9</v>
      </c>
      <c r="T350">
        <f>7.1</f>
        <v>7.1</v>
      </c>
      <c r="U350">
        <f>106</f>
        <v>106</v>
      </c>
      <c r="V350">
        <f>0.28</f>
        <v>0.28000000000000003</v>
      </c>
      <c r="X350">
        <f>1</f>
        <v>1</v>
      </c>
      <c r="Y350" t="s">
        <v>157</v>
      </c>
      <c r="Z350">
        <f>0</f>
        <v>0</v>
      </c>
      <c r="AA350" t="s">
        <v>158</v>
      </c>
      <c r="AB350" t="s">
        <v>158</v>
      </c>
      <c r="AC350">
        <f>0</f>
        <v>0</v>
      </c>
      <c r="AD350">
        <f>0</f>
        <v>0</v>
      </c>
      <c r="AE350">
        <f>0</f>
        <v>0</v>
      </c>
    </row>
    <row r="351" spans="1:63" x14ac:dyDescent="0.25">
      <c r="A351" t="s">
        <v>1378</v>
      </c>
      <c r="B351" t="s">
        <v>148</v>
      </c>
      <c r="C351" s="1">
        <v>45729</v>
      </c>
      <c r="D351" t="s">
        <v>317</v>
      </c>
      <c r="E351" t="s">
        <v>318</v>
      </c>
      <c r="F351" t="s">
        <v>4983</v>
      </c>
      <c r="G351" t="s">
        <v>6623</v>
      </c>
      <c r="H351">
        <v>1063</v>
      </c>
      <c r="I351" t="s">
        <v>6623</v>
      </c>
      <c r="J351">
        <v>350</v>
      </c>
      <c r="K351" t="s">
        <v>5254</v>
      </c>
      <c r="L351" t="s">
        <v>180</v>
      </c>
      <c r="M351" t="s">
        <v>5416</v>
      </c>
      <c r="N351" t="s">
        <v>4984</v>
      </c>
      <c r="O351" t="s">
        <v>1379</v>
      </c>
      <c r="Q351" t="s">
        <v>329</v>
      </c>
      <c r="R351">
        <f>1</f>
        <v>1</v>
      </c>
      <c r="S351">
        <f>8</f>
        <v>8</v>
      </c>
      <c r="T351">
        <f>7.8</f>
        <v>7.8</v>
      </c>
      <c r="U351">
        <f>253</f>
        <v>253</v>
      </c>
      <c r="X351">
        <f>0</f>
        <v>0</v>
      </c>
      <c r="Y351">
        <f>0.78</f>
        <v>0.78</v>
      </c>
      <c r="Z351">
        <f>0</f>
        <v>0</v>
      </c>
      <c r="AA351">
        <f>0</f>
        <v>0</v>
      </c>
      <c r="AB351">
        <f>0</f>
        <v>0</v>
      </c>
      <c r="AD351">
        <f>0</f>
        <v>0</v>
      </c>
      <c r="AE351">
        <f>0</f>
        <v>0</v>
      </c>
      <c r="AH351" t="s">
        <v>157</v>
      </c>
      <c r="BI351" t="s">
        <v>167</v>
      </c>
    </row>
    <row r="352" spans="1:63" x14ac:dyDescent="0.25">
      <c r="A352" t="s">
        <v>1380</v>
      </c>
      <c r="B352" t="s">
        <v>148</v>
      </c>
      <c r="C352" s="1">
        <v>45796</v>
      </c>
      <c r="D352" t="s">
        <v>317</v>
      </c>
      <c r="E352" t="s">
        <v>318</v>
      </c>
      <c r="F352" t="s">
        <v>4965</v>
      </c>
      <c r="G352" t="s">
        <v>6624</v>
      </c>
      <c r="H352">
        <v>1096</v>
      </c>
      <c r="I352" t="s">
        <v>1381</v>
      </c>
      <c r="J352">
        <v>669</v>
      </c>
      <c r="K352" t="s">
        <v>5254</v>
      </c>
      <c r="L352" t="s">
        <v>180</v>
      </c>
      <c r="M352" t="s">
        <v>4985</v>
      </c>
      <c r="N352" t="s">
        <v>4986</v>
      </c>
      <c r="O352" t="s">
        <v>1382</v>
      </c>
      <c r="Q352" t="s">
        <v>6301</v>
      </c>
      <c r="R352">
        <f>1</f>
        <v>1</v>
      </c>
      <c r="S352">
        <f>13.7</f>
        <v>13.7</v>
      </c>
      <c r="T352">
        <f>7.9</f>
        <v>7.9</v>
      </c>
      <c r="U352">
        <f>327</f>
        <v>327</v>
      </c>
      <c r="X352">
        <f>0</f>
        <v>0</v>
      </c>
      <c r="Y352" t="s">
        <v>157</v>
      </c>
      <c r="Z352">
        <f>0</f>
        <v>0</v>
      </c>
      <c r="AA352">
        <f>4</f>
        <v>4</v>
      </c>
      <c r="AB352">
        <f>0</f>
        <v>0</v>
      </c>
      <c r="AD352">
        <f>0</f>
        <v>0</v>
      </c>
      <c r="AE352">
        <f>0</f>
        <v>0</v>
      </c>
      <c r="AH352" t="s">
        <v>157</v>
      </c>
      <c r="AI352" t="s">
        <v>167</v>
      </c>
      <c r="AL352" t="s">
        <v>168</v>
      </c>
      <c r="AM352" t="s">
        <v>216</v>
      </c>
      <c r="AN352">
        <f>4.8</f>
        <v>4.8</v>
      </c>
      <c r="AO352">
        <f>0.096</f>
        <v>9.6000000000000002E-2</v>
      </c>
      <c r="AP352">
        <f>4.1</f>
        <v>4.0999999999999996</v>
      </c>
      <c r="AQ352" t="s">
        <v>167</v>
      </c>
      <c r="AR352" t="s">
        <v>167</v>
      </c>
      <c r="AS352">
        <f>0.64</f>
        <v>0.64</v>
      </c>
      <c r="AY352" t="s">
        <v>158</v>
      </c>
      <c r="AZ352" t="s">
        <v>158</v>
      </c>
      <c r="BA352" t="s">
        <v>216</v>
      </c>
      <c r="BB352" t="s">
        <v>158</v>
      </c>
      <c r="BC352" t="s">
        <v>167</v>
      </c>
      <c r="BD352" t="s">
        <v>167</v>
      </c>
      <c r="BE352" t="s">
        <v>216</v>
      </c>
      <c r="BF352" t="s">
        <v>167</v>
      </c>
      <c r="BG352" t="s">
        <v>158</v>
      </c>
      <c r="BH352" t="s">
        <v>167</v>
      </c>
      <c r="BK352" t="s">
        <v>158</v>
      </c>
    </row>
    <row r="353" spans="1:148" x14ac:dyDescent="0.25">
      <c r="A353" t="s">
        <v>1383</v>
      </c>
      <c r="B353" t="s">
        <v>148</v>
      </c>
      <c r="C353" s="1">
        <v>45723</v>
      </c>
      <c r="D353" t="s">
        <v>317</v>
      </c>
      <c r="E353" t="s">
        <v>318</v>
      </c>
      <c r="F353" t="s">
        <v>6576</v>
      </c>
      <c r="G353" t="s">
        <v>1384</v>
      </c>
      <c r="H353">
        <v>1088</v>
      </c>
      <c r="I353" t="s">
        <v>1384</v>
      </c>
      <c r="J353">
        <v>700</v>
      </c>
      <c r="K353" t="s">
        <v>5254</v>
      </c>
      <c r="L353" t="s">
        <v>431</v>
      </c>
      <c r="M353" t="s">
        <v>5941</v>
      </c>
      <c r="N353" t="s">
        <v>5942</v>
      </c>
      <c r="O353" t="s">
        <v>1385</v>
      </c>
      <c r="Q353" t="s">
        <v>347</v>
      </c>
      <c r="R353">
        <f>1</f>
        <v>1</v>
      </c>
      <c r="S353">
        <f>10.5</f>
        <v>10.5</v>
      </c>
      <c r="T353">
        <f>7.8</f>
        <v>7.8</v>
      </c>
      <c r="U353">
        <f>327</f>
        <v>327</v>
      </c>
      <c r="V353">
        <f>0.12</f>
        <v>0.12</v>
      </c>
      <c r="X353">
        <f>0</f>
        <v>0</v>
      </c>
      <c r="Y353">
        <f>0.15</f>
        <v>0.15</v>
      </c>
      <c r="Z353">
        <f>0</f>
        <v>0</v>
      </c>
      <c r="AA353">
        <f>0</f>
        <v>0</v>
      </c>
      <c r="AB353">
        <f>0</f>
        <v>0</v>
      </c>
      <c r="AD353">
        <f>0</f>
        <v>0</v>
      </c>
      <c r="AE353">
        <f>0</f>
        <v>0</v>
      </c>
      <c r="AH353" t="s">
        <v>157</v>
      </c>
    </row>
    <row r="354" spans="1:148" x14ac:dyDescent="0.25">
      <c r="A354" t="s">
        <v>1386</v>
      </c>
      <c r="B354" t="s">
        <v>148</v>
      </c>
      <c r="C354" s="1">
        <v>45721</v>
      </c>
      <c r="D354" t="s">
        <v>242</v>
      </c>
      <c r="E354" t="s">
        <v>243</v>
      </c>
      <c r="F354" t="s">
        <v>5802</v>
      </c>
      <c r="G354" t="s">
        <v>1387</v>
      </c>
      <c r="H354">
        <v>1119</v>
      </c>
      <c r="I354" t="s">
        <v>1387</v>
      </c>
      <c r="J354">
        <v>535</v>
      </c>
      <c r="K354" t="s">
        <v>5254</v>
      </c>
      <c r="L354" t="s">
        <v>393</v>
      </c>
      <c r="M354" t="s">
        <v>1388</v>
      </c>
      <c r="N354" t="s">
        <v>1389</v>
      </c>
      <c r="R354">
        <f>1</f>
        <v>1</v>
      </c>
      <c r="S354">
        <f>7.8</f>
        <v>7.8</v>
      </c>
      <c r="T354">
        <f>8.1</f>
        <v>8.1</v>
      </c>
      <c r="U354">
        <f>397</f>
        <v>397</v>
      </c>
      <c r="V354">
        <f>0.13</f>
        <v>0.13</v>
      </c>
      <c r="X354">
        <f>0</f>
        <v>0</v>
      </c>
      <c r="Y354" t="s">
        <v>157</v>
      </c>
      <c r="Z354">
        <f>0</f>
        <v>0</v>
      </c>
      <c r="AA354">
        <f>17</f>
        <v>17</v>
      </c>
      <c r="AB354">
        <f>12</f>
        <v>12</v>
      </c>
      <c r="AD354">
        <f>0</f>
        <v>0</v>
      </c>
      <c r="AE354">
        <f>0</f>
        <v>0</v>
      </c>
      <c r="AH354" t="s">
        <v>157</v>
      </c>
    </row>
    <row r="355" spans="1:148" x14ac:dyDescent="0.25">
      <c r="A355" t="s">
        <v>1390</v>
      </c>
      <c r="B355" t="s">
        <v>148</v>
      </c>
      <c r="C355" s="1">
        <v>45729</v>
      </c>
      <c r="D355" t="s">
        <v>242</v>
      </c>
      <c r="E355" t="s">
        <v>243</v>
      </c>
      <c r="F355" t="s">
        <v>5349</v>
      </c>
      <c r="G355" t="s">
        <v>1391</v>
      </c>
      <c r="H355">
        <v>1129</v>
      </c>
      <c r="I355" t="s">
        <v>1391</v>
      </c>
      <c r="J355">
        <v>1080</v>
      </c>
      <c r="K355" t="s">
        <v>5254</v>
      </c>
      <c r="L355" t="s">
        <v>431</v>
      </c>
      <c r="M355" t="s">
        <v>1392</v>
      </c>
      <c r="N355" t="s">
        <v>1393</v>
      </c>
      <c r="O355" t="s">
        <v>1394</v>
      </c>
      <c r="P355" t="s">
        <v>6347</v>
      </c>
      <c r="R355">
        <f>1</f>
        <v>1</v>
      </c>
      <c r="S355">
        <f>12.8</f>
        <v>12.8</v>
      </c>
      <c r="T355">
        <f>7.9</f>
        <v>7.9</v>
      </c>
      <c r="U355">
        <f>416</f>
        <v>416</v>
      </c>
      <c r="X355">
        <f>0</f>
        <v>0</v>
      </c>
      <c r="Y355" t="s">
        <v>157</v>
      </c>
      <c r="Z355">
        <f>0</f>
        <v>0</v>
      </c>
      <c r="AA355" t="s">
        <v>158</v>
      </c>
      <c r="AB355" t="s">
        <v>158</v>
      </c>
      <c r="AD355">
        <f>0</f>
        <v>0</v>
      </c>
      <c r="AE355">
        <f>0</f>
        <v>0</v>
      </c>
      <c r="AH355" t="s">
        <v>157</v>
      </c>
    </row>
    <row r="356" spans="1:148" x14ac:dyDescent="0.25">
      <c r="A356" t="s">
        <v>1395</v>
      </c>
      <c r="B356" t="s">
        <v>148</v>
      </c>
      <c r="C356" s="1">
        <v>45728</v>
      </c>
      <c r="D356" t="s">
        <v>242</v>
      </c>
      <c r="E356" t="s">
        <v>243</v>
      </c>
      <c r="F356" t="s">
        <v>1396</v>
      </c>
      <c r="G356" t="s">
        <v>1397</v>
      </c>
      <c r="H356">
        <v>1143</v>
      </c>
      <c r="I356" t="s">
        <v>1397</v>
      </c>
      <c r="J356">
        <v>1039</v>
      </c>
      <c r="K356" t="s">
        <v>5254</v>
      </c>
      <c r="L356" t="s">
        <v>431</v>
      </c>
      <c r="M356" t="s">
        <v>1398</v>
      </c>
      <c r="N356" t="s">
        <v>1399</v>
      </c>
      <c r="O356" t="s">
        <v>1400</v>
      </c>
      <c r="R356">
        <f>1</f>
        <v>1</v>
      </c>
      <c r="S356">
        <f>10.9</f>
        <v>10.9</v>
      </c>
      <c r="T356">
        <f>7.5</f>
        <v>7.5</v>
      </c>
      <c r="U356">
        <f>451</f>
        <v>451</v>
      </c>
      <c r="X356">
        <f>0</f>
        <v>0</v>
      </c>
      <c r="Y356" t="s">
        <v>157</v>
      </c>
      <c r="Z356">
        <f>0</f>
        <v>0</v>
      </c>
      <c r="AA356" t="s">
        <v>158</v>
      </c>
      <c r="AB356" t="s">
        <v>158</v>
      </c>
      <c r="AD356">
        <f>0</f>
        <v>0</v>
      </c>
      <c r="AE356">
        <f>0</f>
        <v>0</v>
      </c>
      <c r="AH356" t="s">
        <v>157</v>
      </c>
    </row>
    <row r="357" spans="1:148" x14ac:dyDescent="0.25">
      <c r="A357" t="s">
        <v>1401</v>
      </c>
      <c r="B357" t="s">
        <v>148</v>
      </c>
      <c r="C357" s="1">
        <v>45722</v>
      </c>
      <c r="D357" t="s">
        <v>242</v>
      </c>
      <c r="E357" t="s">
        <v>295</v>
      </c>
      <c r="F357" t="s">
        <v>764</v>
      </c>
      <c r="G357" t="s">
        <v>1402</v>
      </c>
      <c r="H357">
        <v>828</v>
      </c>
      <c r="I357" t="s">
        <v>1402</v>
      </c>
      <c r="J357">
        <v>690</v>
      </c>
      <c r="K357" t="s">
        <v>5254</v>
      </c>
      <c r="L357" t="s">
        <v>4724</v>
      </c>
      <c r="M357" t="s">
        <v>5417</v>
      </c>
      <c r="N357" t="s">
        <v>1403</v>
      </c>
      <c r="O357" t="s">
        <v>1404</v>
      </c>
      <c r="R357">
        <f>1</f>
        <v>1</v>
      </c>
      <c r="S357">
        <f>13.2</f>
        <v>13.2</v>
      </c>
      <c r="T357">
        <f>7.5</f>
        <v>7.5</v>
      </c>
      <c r="U357">
        <f>498</f>
        <v>498</v>
      </c>
      <c r="V357">
        <f>0.18</f>
        <v>0.18</v>
      </c>
      <c r="X357">
        <f>0</f>
        <v>0</v>
      </c>
      <c r="Y357" t="s">
        <v>157</v>
      </c>
      <c r="Z357">
        <f>0</f>
        <v>0</v>
      </c>
      <c r="AA357" t="s">
        <v>158</v>
      </c>
      <c r="AB357" t="s">
        <v>158</v>
      </c>
      <c r="AD357">
        <f>0</f>
        <v>0</v>
      </c>
      <c r="AE357">
        <f>0</f>
        <v>0</v>
      </c>
      <c r="AH357" t="s">
        <v>157</v>
      </c>
    </row>
    <row r="358" spans="1:148" x14ac:dyDescent="0.25">
      <c r="A358" t="s">
        <v>1405</v>
      </c>
      <c r="B358" t="s">
        <v>148</v>
      </c>
      <c r="C358" s="1">
        <v>45728</v>
      </c>
      <c r="D358" t="s">
        <v>242</v>
      </c>
      <c r="E358" t="s">
        <v>243</v>
      </c>
      <c r="F358" t="s">
        <v>5098</v>
      </c>
      <c r="G358" t="s">
        <v>5943</v>
      </c>
      <c r="H358">
        <v>1146</v>
      </c>
      <c r="I358" t="s">
        <v>5943</v>
      </c>
      <c r="J358">
        <v>1009</v>
      </c>
      <c r="K358" t="s">
        <v>5254</v>
      </c>
      <c r="L358" t="s">
        <v>387</v>
      </c>
      <c r="M358" t="s">
        <v>5418</v>
      </c>
      <c r="N358" t="s">
        <v>5944</v>
      </c>
      <c r="O358" t="s">
        <v>1406</v>
      </c>
      <c r="R358">
        <f>1</f>
        <v>1</v>
      </c>
      <c r="S358">
        <f>8.7</f>
        <v>8.6999999999999993</v>
      </c>
      <c r="T358">
        <f>7.5</f>
        <v>7.5</v>
      </c>
      <c r="U358">
        <f>344</f>
        <v>344</v>
      </c>
      <c r="V358">
        <f>0.08</f>
        <v>0.08</v>
      </c>
      <c r="X358">
        <f>0</f>
        <v>0</v>
      </c>
      <c r="Y358" t="s">
        <v>157</v>
      </c>
      <c r="Z358">
        <f>0</f>
        <v>0</v>
      </c>
      <c r="AA358" t="s">
        <v>158</v>
      </c>
      <c r="AB358" t="s">
        <v>158</v>
      </c>
      <c r="AD358">
        <f>0</f>
        <v>0</v>
      </c>
      <c r="AE358">
        <f>0</f>
        <v>0</v>
      </c>
      <c r="AH358" t="s">
        <v>157</v>
      </c>
    </row>
    <row r="359" spans="1:148" x14ac:dyDescent="0.25">
      <c r="A359" t="s">
        <v>1407</v>
      </c>
      <c r="B359" t="s">
        <v>148</v>
      </c>
      <c r="C359" s="1">
        <v>45785</v>
      </c>
      <c r="D359" t="s">
        <v>242</v>
      </c>
      <c r="E359" t="s">
        <v>243</v>
      </c>
      <c r="F359" t="s">
        <v>5284</v>
      </c>
      <c r="G359" t="s">
        <v>6625</v>
      </c>
      <c r="H359">
        <v>1149</v>
      </c>
      <c r="I359" t="s">
        <v>6625</v>
      </c>
      <c r="J359">
        <v>505</v>
      </c>
      <c r="K359" t="s">
        <v>5254</v>
      </c>
      <c r="L359" t="s">
        <v>393</v>
      </c>
      <c r="M359" t="s">
        <v>4765</v>
      </c>
      <c r="N359" t="s">
        <v>5419</v>
      </c>
      <c r="O359" t="s">
        <v>1408</v>
      </c>
      <c r="R359">
        <f>1</f>
        <v>1</v>
      </c>
      <c r="S359">
        <f>14.8</f>
        <v>14.8</v>
      </c>
      <c r="T359">
        <f>7.4</f>
        <v>7.4</v>
      </c>
      <c r="U359">
        <f>608</f>
        <v>608</v>
      </c>
      <c r="X359">
        <f>0</f>
        <v>0</v>
      </c>
      <c r="Y359" t="s">
        <v>157</v>
      </c>
      <c r="Z359">
        <f>0</f>
        <v>0</v>
      </c>
      <c r="AA359" t="s">
        <v>158</v>
      </c>
      <c r="AB359" t="s">
        <v>158</v>
      </c>
      <c r="AD359">
        <f>0</f>
        <v>0</v>
      </c>
      <c r="AE359">
        <f>0</f>
        <v>0</v>
      </c>
      <c r="AH359" t="s">
        <v>157</v>
      </c>
      <c r="AI359" t="s">
        <v>238</v>
      </c>
      <c r="AL359" t="s">
        <v>164</v>
      </c>
      <c r="AM359" t="s">
        <v>165</v>
      </c>
      <c r="AN359">
        <f>3.5</f>
        <v>3.5</v>
      </c>
      <c r="AO359">
        <f>0.07</f>
        <v>7.0000000000000007E-2</v>
      </c>
      <c r="AP359">
        <f>22</f>
        <v>22</v>
      </c>
      <c r="AQ359">
        <f>2.6</f>
        <v>2.6</v>
      </c>
      <c r="AR359" t="s">
        <v>157</v>
      </c>
      <c r="AS359">
        <f>1.4</f>
        <v>1.4</v>
      </c>
      <c r="AY359" t="s">
        <v>167</v>
      </c>
      <c r="AZ359" t="s">
        <v>158</v>
      </c>
      <c r="BA359" t="s">
        <v>216</v>
      </c>
      <c r="BB359" t="s">
        <v>158</v>
      </c>
      <c r="BC359" t="s">
        <v>166</v>
      </c>
      <c r="BD359" t="s">
        <v>167</v>
      </c>
      <c r="BE359">
        <f>0.0033</f>
        <v>3.3E-3</v>
      </c>
      <c r="BF359" t="s">
        <v>168</v>
      </c>
      <c r="BG359" t="s">
        <v>167</v>
      </c>
      <c r="BH359" t="s">
        <v>167</v>
      </c>
      <c r="BK359">
        <f>1.1</f>
        <v>1.1000000000000001</v>
      </c>
      <c r="EL359">
        <f>0.18</f>
        <v>0.18</v>
      </c>
      <c r="EM359">
        <f>0.21</f>
        <v>0.21</v>
      </c>
      <c r="EN359">
        <f>0.23</f>
        <v>0.23</v>
      </c>
      <c r="EO359">
        <f>0.34</f>
        <v>0.34</v>
      </c>
      <c r="ER359">
        <f>0.96</f>
        <v>0.96</v>
      </c>
    </row>
    <row r="360" spans="1:148" x14ac:dyDescent="0.25">
      <c r="A360" t="s">
        <v>1409</v>
      </c>
      <c r="B360" t="s">
        <v>148</v>
      </c>
      <c r="C360" s="1">
        <v>45726</v>
      </c>
      <c r="D360" t="s">
        <v>242</v>
      </c>
      <c r="E360" t="s">
        <v>295</v>
      </c>
      <c r="F360" t="s">
        <v>5284</v>
      </c>
      <c r="G360" t="s">
        <v>1410</v>
      </c>
      <c r="H360">
        <v>1151</v>
      </c>
      <c r="I360" t="s">
        <v>6626</v>
      </c>
      <c r="J360">
        <v>1056</v>
      </c>
      <c r="K360" t="s">
        <v>5257</v>
      </c>
      <c r="L360" t="s">
        <v>393</v>
      </c>
      <c r="M360" t="s">
        <v>5420</v>
      </c>
      <c r="N360" t="s">
        <v>1411</v>
      </c>
      <c r="O360" t="s">
        <v>1412</v>
      </c>
      <c r="R360">
        <f>1</f>
        <v>1</v>
      </c>
      <c r="S360">
        <f>10.5</f>
        <v>10.5</v>
      </c>
      <c r="T360">
        <f>7.7</f>
        <v>7.7</v>
      </c>
      <c r="U360">
        <f>451</f>
        <v>451</v>
      </c>
      <c r="V360">
        <f>0.12</f>
        <v>0.12</v>
      </c>
      <c r="X360">
        <f>0</f>
        <v>0</v>
      </c>
      <c r="Y360" t="s">
        <v>157</v>
      </c>
      <c r="Z360">
        <f>0</f>
        <v>0</v>
      </c>
      <c r="AA360" t="s">
        <v>158</v>
      </c>
      <c r="AB360" t="s">
        <v>158</v>
      </c>
      <c r="AC360">
        <f>0</f>
        <v>0</v>
      </c>
      <c r="AD360">
        <f>0</f>
        <v>0</v>
      </c>
      <c r="AE360">
        <f>0</f>
        <v>0</v>
      </c>
      <c r="AH360" t="s">
        <v>157</v>
      </c>
    </row>
    <row r="361" spans="1:148" x14ac:dyDescent="0.25">
      <c r="A361" t="s">
        <v>1413</v>
      </c>
      <c r="B361" t="s">
        <v>148</v>
      </c>
      <c r="C361" s="1">
        <v>45784</v>
      </c>
      <c r="D361" t="s">
        <v>269</v>
      </c>
      <c r="E361" t="s">
        <v>295</v>
      </c>
      <c r="F361" t="s">
        <v>331</v>
      </c>
      <c r="G361" t="s">
        <v>1414</v>
      </c>
      <c r="H361">
        <v>310</v>
      </c>
      <c r="I361" t="s">
        <v>1414</v>
      </c>
      <c r="J361">
        <v>821</v>
      </c>
      <c r="K361" t="s">
        <v>5254</v>
      </c>
      <c r="L361" t="s">
        <v>154</v>
      </c>
      <c r="M361" t="s">
        <v>1415</v>
      </c>
      <c r="N361" t="s">
        <v>5421</v>
      </c>
      <c r="O361" t="s">
        <v>1416</v>
      </c>
      <c r="R361">
        <f>1</f>
        <v>1</v>
      </c>
      <c r="S361">
        <f>15.1</f>
        <v>15.1</v>
      </c>
      <c r="T361">
        <f>7.6</f>
        <v>7.6</v>
      </c>
      <c r="U361">
        <f>508</f>
        <v>508</v>
      </c>
      <c r="X361">
        <f>0</f>
        <v>0</v>
      </c>
      <c r="Y361">
        <f>0.06</f>
        <v>0.06</v>
      </c>
      <c r="Z361">
        <f>0</f>
        <v>0</v>
      </c>
      <c r="AA361" t="s">
        <v>158</v>
      </c>
      <c r="AB361" t="s">
        <v>158</v>
      </c>
      <c r="AD361">
        <f>0</f>
        <v>0</v>
      </c>
      <c r="AE361">
        <f>0</f>
        <v>0</v>
      </c>
      <c r="AH361" t="s">
        <v>166</v>
      </c>
      <c r="AI361" t="s">
        <v>300</v>
      </c>
      <c r="AL361" t="s">
        <v>216</v>
      </c>
      <c r="AM361" t="s">
        <v>266</v>
      </c>
      <c r="AN361">
        <f>2.38</f>
        <v>2.38</v>
      </c>
      <c r="AO361">
        <f>0.048</f>
        <v>4.8000000000000001E-2</v>
      </c>
      <c r="AP361">
        <f>40</f>
        <v>40</v>
      </c>
      <c r="AQ361">
        <f>5.3</f>
        <v>5.3</v>
      </c>
      <c r="AR361">
        <f>0.22</f>
        <v>0.22</v>
      </c>
      <c r="AS361">
        <f>4.4</f>
        <v>4.4000000000000004</v>
      </c>
      <c r="AY361">
        <f>0.43</f>
        <v>0.43</v>
      </c>
      <c r="AZ361" t="s">
        <v>208</v>
      </c>
      <c r="BA361">
        <f>0.032</f>
        <v>3.2000000000000001E-2</v>
      </c>
      <c r="BB361" t="s">
        <v>1417</v>
      </c>
      <c r="BC361" t="s">
        <v>209</v>
      </c>
      <c r="BD361" t="s">
        <v>157</v>
      </c>
      <c r="BE361">
        <f>0.0056</f>
        <v>5.5999999999999999E-3</v>
      </c>
      <c r="BF361" t="s">
        <v>168</v>
      </c>
      <c r="BG361" t="s">
        <v>237</v>
      </c>
      <c r="BH361">
        <f>0.13</f>
        <v>0.13</v>
      </c>
      <c r="BK361">
        <f>0.33</f>
        <v>0.33</v>
      </c>
      <c r="EL361" t="s">
        <v>237</v>
      </c>
      <c r="EM361">
        <f>0.5</f>
        <v>0.5</v>
      </c>
      <c r="EN361">
        <f>0.4</f>
        <v>0.4</v>
      </c>
      <c r="EO361">
        <f>0.8</f>
        <v>0.8</v>
      </c>
      <c r="ER361">
        <f>1.7</f>
        <v>1.7</v>
      </c>
    </row>
    <row r="362" spans="1:148" x14ac:dyDescent="0.25">
      <c r="A362" t="s">
        <v>1418</v>
      </c>
      <c r="B362" t="s">
        <v>148</v>
      </c>
      <c r="C362" s="1">
        <v>45800</v>
      </c>
      <c r="D362" t="s">
        <v>269</v>
      </c>
      <c r="E362" t="s">
        <v>270</v>
      </c>
      <c r="F362" t="s">
        <v>271</v>
      </c>
      <c r="G362" t="s">
        <v>1419</v>
      </c>
      <c r="H362">
        <v>162</v>
      </c>
      <c r="I362" t="s">
        <v>1419</v>
      </c>
      <c r="J362">
        <v>599</v>
      </c>
      <c r="K362" t="s">
        <v>5257</v>
      </c>
      <c r="L362" t="s">
        <v>154</v>
      </c>
      <c r="M362" t="s">
        <v>1420</v>
      </c>
      <c r="N362" t="s">
        <v>1421</v>
      </c>
      <c r="O362" t="s">
        <v>1422</v>
      </c>
      <c r="R362">
        <f>1</f>
        <v>1</v>
      </c>
      <c r="S362">
        <f>16.2</f>
        <v>16.2</v>
      </c>
      <c r="T362">
        <f>7.6</f>
        <v>7.6</v>
      </c>
      <c r="U362">
        <f>391</f>
        <v>391</v>
      </c>
      <c r="X362">
        <f>0</f>
        <v>0</v>
      </c>
      <c r="Y362">
        <f>0.38</f>
        <v>0.38</v>
      </c>
      <c r="Z362">
        <f>0</f>
        <v>0</v>
      </c>
      <c r="AA362" t="s">
        <v>158</v>
      </c>
      <c r="AB362" t="s">
        <v>158</v>
      </c>
      <c r="AC362">
        <f>0</f>
        <v>0</v>
      </c>
      <c r="AD362">
        <f>0</f>
        <v>0</v>
      </c>
      <c r="AE362">
        <f>0</f>
        <v>0</v>
      </c>
      <c r="AH362" t="s">
        <v>166</v>
      </c>
      <c r="AI362">
        <f>0.32</f>
        <v>0.32</v>
      </c>
      <c r="AL362" t="s">
        <v>216</v>
      </c>
      <c r="AM362">
        <f>0.0055</f>
        <v>5.4999999999999997E-3</v>
      </c>
      <c r="AN362">
        <f>5.28</f>
        <v>5.28</v>
      </c>
      <c r="AO362">
        <f>0.107</f>
        <v>0.107</v>
      </c>
      <c r="AP362">
        <f>3.76</f>
        <v>3.76</v>
      </c>
      <c r="AQ362">
        <f>3.55</f>
        <v>3.55</v>
      </c>
      <c r="AR362" t="s">
        <v>209</v>
      </c>
      <c r="AS362">
        <f>78</f>
        <v>78</v>
      </c>
      <c r="AY362" t="s">
        <v>157</v>
      </c>
      <c r="AZ362" t="s">
        <v>208</v>
      </c>
      <c r="BA362">
        <f>0.0036</f>
        <v>3.5999999999999999E-3</v>
      </c>
      <c r="BB362">
        <f>2.6</f>
        <v>2.6</v>
      </c>
      <c r="BC362" t="s">
        <v>209</v>
      </c>
      <c r="BD362">
        <f>0.11</f>
        <v>0.11</v>
      </c>
      <c r="BE362">
        <f>0.0012</f>
        <v>1.1999999999999999E-3</v>
      </c>
      <c r="BF362" t="s">
        <v>168</v>
      </c>
      <c r="BG362">
        <f>0.51</f>
        <v>0.51</v>
      </c>
      <c r="BH362" t="s">
        <v>157</v>
      </c>
      <c r="BK362">
        <f>0.31</f>
        <v>0.31</v>
      </c>
      <c r="EL362">
        <f>1.8</f>
        <v>1.8</v>
      </c>
      <c r="EM362" t="s">
        <v>238</v>
      </c>
      <c r="EN362">
        <f>1</f>
        <v>1</v>
      </c>
      <c r="EO362">
        <f>0.9</f>
        <v>0.9</v>
      </c>
      <c r="ER362">
        <f>3.7</f>
        <v>3.7</v>
      </c>
    </row>
    <row r="363" spans="1:148" x14ac:dyDescent="0.25">
      <c r="A363" t="s">
        <v>1423</v>
      </c>
      <c r="B363" t="s">
        <v>268</v>
      </c>
      <c r="C363" s="1">
        <v>45741</v>
      </c>
      <c r="D363" t="s">
        <v>175</v>
      </c>
      <c r="E363" t="s">
        <v>649</v>
      </c>
      <c r="F363" t="s">
        <v>918</v>
      </c>
      <c r="G363" t="s">
        <v>919</v>
      </c>
      <c r="H363">
        <v>128</v>
      </c>
      <c r="I363" t="s">
        <v>1424</v>
      </c>
      <c r="J363">
        <v>2430</v>
      </c>
      <c r="K363" t="s">
        <v>5254</v>
      </c>
      <c r="L363" t="s">
        <v>431</v>
      </c>
      <c r="M363" t="s">
        <v>4987</v>
      </c>
      <c r="N363" t="s">
        <v>1425</v>
      </c>
      <c r="O363" t="s">
        <v>1426</v>
      </c>
      <c r="Q363" t="s">
        <v>6348</v>
      </c>
      <c r="R363">
        <f>1</f>
        <v>1</v>
      </c>
      <c r="S363">
        <f>8.9</f>
        <v>8.9</v>
      </c>
      <c r="T363">
        <f>7.8</f>
        <v>7.8</v>
      </c>
      <c r="U363">
        <f>344</f>
        <v>344</v>
      </c>
      <c r="X363">
        <f>0</f>
        <v>0</v>
      </c>
      <c r="Y363">
        <f>0.54</f>
        <v>0.54</v>
      </c>
      <c r="Z363">
        <f>0</f>
        <v>0</v>
      </c>
      <c r="AA363" t="s">
        <v>158</v>
      </c>
      <c r="AB363">
        <f>186</f>
        <v>186</v>
      </c>
      <c r="AD363">
        <f>0</f>
        <v>0</v>
      </c>
      <c r="AE363">
        <f>0</f>
        <v>0</v>
      </c>
      <c r="AH363" t="s">
        <v>157</v>
      </c>
    </row>
    <row r="364" spans="1:148" x14ac:dyDescent="0.25">
      <c r="A364" t="s">
        <v>1427</v>
      </c>
      <c r="B364" t="s">
        <v>268</v>
      </c>
      <c r="C364" s="1">
        <v>45839</v>
      </c>
      <c r="D364" t="s">
        <v>175</v>
      </c>
      <c r="E364" t="s">
        <v>649</v>
      </c>
      <c r="F364" t="s">
        <v>1428</v>
      </c>
      <c r="G364" t="s">
        <v>1429</v>
      </c>
      <c r="H364">
        <v>839</v>
      </c>
      <c r="I364" t="s">
        <v>1429</v>
      </c>
      <c r="J364">
        <v>1000</v>
      </c>
      <c r="K364" t="s">
        <v>5254</v>
      </c>
      <c r="L364" t="s">
        <v>4947</v>
      </c>
      <c r="M364" t="s">
        <v>1430</v>
      </c>
      <c r="N364" t="s">
        <v>1431</v>
      </c>
      <c r="O364" t="s">
        <v>1432</v>
      </c>
      <c r="Q364" t="s">
        <v>6349</v>
      </c>
      <c r="R364">
        <f>1</f>
        <v>1</v>
      </c>
      <c r="S364">
        <f>13.8</f>
        <v>13.8</v>
      </c>
      <c r="T364">
        <f>8.1</f>
        <v>8.1</v>
      </c>
      <c r="U364">
        <f>300</f>
        <v>300</v>
      </c>
      <c r="X364">
        <f>0</f>
        <v>0</v>
      </c>
      <c r="Y364">
        <f>0.23</f>
        <v>0.23</v>
      </c>
      <c r="Z364">
        <f>0</f>
        <v>0</v>
      </c>
      <c r="AA364" t="s">
        <v>705</v>
      </c>
      <c r="AB364" t="s">
        <v>705</v>
      </c>
      <c r="AD364">
        <f>0</f>
        <v>0</v>
      </c>
      <c r="AE364">
        <f>0</f>
        <v>0</v>
      </c>
      <c r="AH364" t="s">
        <v>157</v>
      </c>
      <c r="AI364" t="s">
        <v>238</v>
      </c>
      <c r="AL364" t="s">
        <v>164</v>
      </c>
      <c r="AM364" t="s">
        <v>165</v>
      </c>
      <c r="AN364">
        <f>5.3</f>
        <v>5.3</v>
      </c>
      <c r="AO364">
        <f>0.11</f>
        <v>0.11</v>
      </c>
      <c r="AP364">
        <f>18</f>
        <v>18</v>
      </c>
      <c r="AQ364">
        <f>2.2</f>
        <v>2.2000000000000002</v>
      </c>
      <c r="AR364">
        <f>0.13</f>
        <v>0.13</v>
      </c>
      <c r="AS364">
        <f>1.9</f>
        <v>1.9</v>
      </c>
      <c r="AY364" t="s">
        <v>167</v>
      </c>
      <c r="AZ364">
        <f>10</f>
        <v>10</v>
      </c>
      <c r="BA364" t="s">
        <v>216</v>
      </c>
      <c r="BB364" t="s">
        <v>158</v>
      </c>
      <c r="BC364" t="s">
        <v>166</v>
      </c>
      <c r="BD364" t="s">
        <v>167</v>
      </c>
      <c r="BE364">
        <f>0.0017</f>
        <v>1.6999999999999999E-3</v>
      </c>
      <c r="BF364" t="s">
        <v>168</v>
      </c>
      <c r="BG364" t="s">
        <v>167</v>
      </c>
      <c r="BH364">
        <f>1.7</f>
        <v>1.7</v>
      </c>
      <c r="BI364">
        <f>0.65</f>
        <v>0.65</v>
      </c>
      <c r="BK364">
        <f>0.74</f>
        <v>0.74</v>
      </c>
      <c r="EL364">
        <f>1.8</f>
        <v>1.8</v>
      </c>
      <c r="EM364" t="s">
        <v>166</v>
      </c>
      <c r="EN364">
        <f>1</f>
        <v>1</v>
      </c>
      <c r="EO364">
        <f>0.74</f>
        <v>0.74</v>
      </c>
      <c r="ER364">
        <f>3.5</f>
        <v>3.5</v>
      </c>
    </row>
    <row r="365" spans="1:148" x14ac:dyDescent="0.25">
      <c r="A365" t="s">
        <v>1433</v>
      </c>
      <c r="B365" t="s">
        <v>148</v>
      </c>
      <c r="C365" s="1">
        <v>45741</v>
      </c>
      <c r="D365" t="s">
        <v>242</v>
      </c>
      <c r="E365" t="s">
        <v>243</v>
      </c>
      <c r="F365" t="s">
        <v>5098</v>
      </c>
      <c r="G365" t="s">
        <v>6627</v>
      </c>
      <c r="H365">
        <v>1195</v>
      </c>
      <c r="I365" t="s">
        <v>6627</v>
      </c>
      <c r="J365">
        <v>721</v>
      </c>
      <c r="K365" t="s">
        <v>5254</v>
      </c>
      <c r="L365" t="s">
        <v>1434</v>
      </c>
      <c r="M365" t="s">
        <v>5422</v>
      </c>
      <c r="N365" t="s">
        <v>1435</v>
      </c>
      <c r="O365" t="s">
        <v>1436</v>
      </c>
      <c r="R365">
        <f>1</f>
        <v>1</v>
      </c>
      <c r="S365">
        <f>14.1</f>
        <v>14.1</v>
      </c>
      <c r="T365">
        <f>7.2</f>
        <v>7.2</v>
      </c>
      <c r="U365">
        <f>450</f>
        <v>450</v>
      </c>
      <c r="X365">
        <f>1</f>
        <v>1</v>
      </c>
      <c r="Y365">
        <f>0.25</f>
        <v>0.25</v>
      </c>
      <c r="Z365">
        <f>0</f>
        <v>0</v>
      </c>
      <c r="AA365" t="s">
        <v>158</v>
      </c>
      <c r="AB365">
        <f>16</f>
        <v>16</v>
      </c>
      <c r="AD365">
        <f>0</f>
        <v>0</v>
      </c>
      <c r="AE365">
        <f>0</f>
        <v>0</v>
      </c>
      <c r="AH365" t="s">
        <v>157</v>
      </c>
    </row>
    <row r="366" spans="1:148" x14ac:dyDescent="0.25">
      <c r="A366" t="s">
        <v>1437</v>
      </c>
      <c r="B366" t="s">
        <v>148</v>
      </c>
      <c r="C366" s="1">
        <v>45720</v>
      </c>
      <c r="D366" t="s">
        <v>242</v>
      </c>
      <c r="E366" t="s">
        <v>243</v>
      </c>
      <c r="F366" t="s">
        <v>244</v>
      </c>
      <c r="G366" t="s">
        <v>245</v>
      </c>
      <c r="H366">
        <v>720</v>
      </c>
      <c r="I366" t="s">
        <v>1438</v>
      </c>
      <c r="J366">
        <v>599</v>
      </c>
      <c r="K366" t="s">
        <v>5257</v>
      </c>
      <c r="L366" t="s">
        <v>1198</v>
      </c>
      <c r="M366" t="s">
        <v>1439</v>
      </c>
      <c r="N366" t="s">
        <v>1440</v>
      </c>
      <c r="O366" t="s">
        <v>1441</v>
      </c>
      <c r="Q366" t="s">
        <v>6350</v>
      </c>
      <c r="R366">
        <f>1</f>
        <v>1</v>
      </c>
      <c r="S366">
        <f>11.8</f>
        <v>11.8</v>
      </c>
      <c r="T366">
        <f>8</f>
        <v>8</v>
      </c>
      <c r="U366">
        <f>401</f>
        <v>401</v>
      </c>
      <c r="V366">
        <f>0.31</f>
        <v>0.31</v>
      </c>
      <c r="X366">
        <f>0</f>
        <v>0</v>
      </c>
      <c r="Y366" t="s">
        <v>157</v>
      </c>
      <c r="Z366">
        <f>0</f>
        <v>0</v>
      </c>
      <c r="AA366" t="s">
        <v>158</v>
      </c>
      <c r="AB366">
        <f>22</f>
        <v>22</v>
      </c>
      <c r="AC366">
        <f>0</f>
        <v>0</v>
      </c>
      <c r="AD366">
        <f>0</f>
        <v>0</v>
      </c>
      <c r="AE366">
        <f>0</f>
        <v>0</v>
      </c>
      <c r="AH366" t="s">
        <v>157</v>
      </c>
    </row>
    <row r="367" spans="1:148" x14ac:dyDescent="0.25">
      <c r="A367" t="s">
        <v>1442</v>
      </c>
      <c r="B367" t="s">
        <v>148</v>
      </c>
      <c r="C367" s="1">
        <v>45875</v>
      </c>
      <c r="D367" t="s">
        <v>222</v>
      </c>
      <c r="E367" t="s">
        <v>223</v>
      </c>
      <c r="F367" t="s">
        <v>4723</v>
      </c>
      <c r="G367" t="s">
        <v>6628</v>
      </c>
      <c r="H367">
        <v>419</v>
      </c>
      <c r="I367" t="s">
        <v>6628</v>
      </c>
      <c r="J367">
        <v>369</v>
      </c>
      <c r="K367" t="s">
        <v>5257</v>
      </c>
      <c r="L367" t="s">
        <v>393</v>
      </c>
      <c r="M367" t="s">
        <v>5423</v>
      </c>
      <c r="N367" t="s">
        <v>5424</v>
      </c>
      <c r="O367" t="s">
        <v>1443</v>
      </c>
      <c r="Q367" t="s">
        <v>5425</v>
      </c>
      <c r="R367">
        <f>1</f>
        <v>1</v>
      </c>
      <c r="S367">
        <f>21.2</f>
        <v>21.2</v>
      </c>
      <c r="T367">
        <f>7.9</f>
        <v>7.9</v>
      </c>
      <c r="U367">
        <f>342</f>
        <v>342</v>
      </c>
      <c r="V367">
        <f>0.12</f>
        <v>0.12</v>
      </c>
      <c r="X367">
        <f>1</f>
        <v>1</v>
      </c>
      <c r="Y367">
        <f>0.11</f>
        <v>0.11</v>
      </c>
      <c r="Z367">
        <f>0</f>
        <v>0</v>
      </c>
      <c r="AA367">
        <f>0</f>
        <v>0</v>
      </c>
      <c r="AB367">
        <f>0</f>
        <v>0</v>
      </c>
      <c r="AC367">
        <f>0</f>
        <v>0</v>
      </c>
      <c r="AD367">
        <f>0</f>
        <v>0</v>
      </c>
      <c r="AE367">
        <f>0</f>
        <v>0</v>
      </c>
      <c r="AH367" t="s">
        <v>166</v>
      </c>
      <c r="AI367">
        <f>0.33</f>
        <v>0.33</v>
      </c>
      <c r="AL367" t="s">
        <v>168</v>
      </c>
      <c r="AM367" t="s">
        <v>164</v>
      </c>
      <c r="AN367">
        <f>5.7</f>
        <v>5.7</v>
      </c>
      <c r="AO367">
        <f>0.11</f>
        <v>0.11</v>
      </c>
      <c r="AP367">
        <f>4.9</f>
        <v>4.9000000000000004</v>
      </c>
      <c r="AQ367">
        <f>2.5</f>
        <v>2.5</v>
      </c>
      <c r="AR367" t="s">
        <v>167</v>
      </c>
    </row>
    <row r="368" spans="1:148" x14ac:dyDescent="0.25">
      <c r="A368" t="s">
        <v>1444</v>
      </c>
      <c r="B368" t="s">
        <v>148</v>
      </c>
      <c r="C368" s="1">
        <v>45720</v>
      </c>
      <c r="D368" t="s">
        <v>175</v>
      </c>
      <c r="E368" t="s">
        <v>176</v>
      </c>
      <c r="F368" t="s">
        <v>556</v>
      </c>
      <c r="G368" t="s">
        <v>1445</v>
      </c>
      <c r="H368">
        <v>178</v>
      </c>
      <c r="I368" t="s">
        <v>1445</v>
      </c>
      <c r="J368">
        <v>3488</v>
      </c>
      <c r="K368" t="s">
        <v>5254</v>
      </c>
      <c r="L368" t="s">
        <v>302</v>
      </c>
      <c r="M368" t="s">
        <v>6629</v>
      </c>
      <c r="N368" t="s">
        <v>5945</v>
      </c>
      <c r="O368" t="s">
        <v>1446</v>
      </c>
      <c r="R368">
        <f>1</f>
        <v>1</v>
      </c>
      <c r="S368">
        <f>9.8</f>
        <v>9.8000000000000007</v>
      </c>
      <c r="T368">
        <f>7.4</f>
        <v>7.4</v>
      </c>
      <c r="U368">
        <f>511</f>
        <v>511</v>
      </c>
      <c r="W368">
        <f>0.08</f>
        <v>0.08</v>
      </c>
      <c r="X368">
        <f>0</f>
        <v>0</v>
      </c>
      <c r="Y368" t="s">
        <v>157</v>
      </c>
      <c r="Z368">
        <f>0</f>
        <v>0</v>
      </c>
      <c r="AA368" t="s">
        <v>158</v>
      </c>
      <c r="AB368" t="s">
        <v>158</v>
      </c>
      <c r="AD368">
        <f>0</f>
        <v>0</v>
      </c>
      <c r="AE368">
        <f>0</f>
        <v>0</v>
      </c>
    </row>
    <row r="369" spans="1:148" x14ac:dyDescent="0.25">
      <c r="A369" t="s">
        <v>1447</v>
      </c>
      <c r="B369" t="s">
        <v>268</v>
      </c>
      <c r="C369" s="1">
        <v>45720</v>
      </c>
      <c r="D369" t="s">
        <v>222</v>
      </c>
      <c r="E369" t="s">
        <v>223</v>
      </c>
      <c r="F369" t="s">
        <v>5426</v>
      </c>
      <c r="G369" t="s">
        <v>1448</v>
      </c>
      <c r="H369">
        <v>1284</v>
      </c>
      <c r="I369" t="s">
        <v>1448</v>
      </c>
      <c r="J369">
        <v>200</v>
      </c>
      <c r="K369" t="s">
        <v>5257</v>
      </c>
      <c r="L369" t="s">
        <v>4966</v>
      </c>
      <c r="M369" t="s">
        <v>5384</v>
      </c>
      <c r="N369" t="s">
        <v>1449</v>
      </c>
      <c r="O369" t="s">
        <v>1450</v>
      </c>
      <c r="Q369" t="s">
        <v>6297</v>
      </c>
      <c r="R369">
        <f>1</f>
        <v>1</v>
      </c>
      <c r="S369">
        <f>10.4</f>
        <v>10.4</v>
      </c>
      <c r="T369">
        <f>8.1</f>
        <v>8.1</v>
      </c>
      <c r="U369">
        <f>324</f>
        <v>324</v>
      </c>
      <c r="X369">
        <f>1</f>
        <v>1</v>
      </c>
      <c r="Y369">
        <f>0.25</f>
        <v>0.25</v>
      </c>
      <c r="Z369">
        <f>0</f>
        <v>0</v>
      </c>
      <c r="AA369">
        <f>8</f>
        <v>8</v>
      </c>
      <c r="AB369">
        <f>0</f>
        <v>0</v>
      </c>
      <c r="AC369">
        <f>1</f>
        <v>1</v>
      </c>
      <c r="AD369">
        <f>1</f>
        <v>1</v>
      </c>
      <c r="AE369">
        <f>11</f>
        <v>11</v>
      </c>
      <c r="AH369" t="s">
        <v>166</v>
      </c>
      <c r="BI369">
        <f>0.74</f>
        <v>0.74</v>
      </c>
    </row>
    <row r="370" spans="1:148" x14ac:dyDescent="0.25">
      <c r="A370" t="s">
        <v>1451</v>
      </c>
      <c r="B370" t="s">
        <v>148</v>
      </c>
      <c r="C370" s="1">
        <v>45772</v>
      </c>
      <c r="D370" t="s">
        <v>242</v>
      </c>
      <c r="E370" t="s">
        <v>243</v>
      </c>
      <c r="F370" t="s">
        <v>5284</v>
      </c>
      <c r="G370" t="s">
        <v>1452</v>
      </c>
      <c r="H370">
        <v>1344</v>
      </c>
      <c r="I370" t="s">
        <v>6630</v>
      </c>
      <c r="J370">
        <v>53</v>
      </c>
      <c r="K370" t="s">
        <v>5254</v>
      </c>
      <c r="L370" t="s">
        <v>431</v>
      </c>
      <c r="M370" t="s">
        <v>1453</v>
      </c>
      <c r="N370" t="s">
        <v>5427</v>
      </c>
      <c r="O370" t="s">
        <v>1454</v>
      </c>
      <c r="R370">
        <f>1</f>
        <v>1</v>
      </c>
      <c r="S370">
        <f>11.7</f>
        <v>11.7</v>
      </c>
      <c r="T370">
        <f>7.9</f>
        <v>7.9</v>
      </c>
      <c r="U370">
        <f>242</f>
        <v>242</v>
      </c>
      <c r="V370">
        <f>0.16</f>
        <v>0.16</v>
      </c>
      <c r="X370">
        <f>1</f>
        <v>1</v>
      </c>
      <c r="Y370" t="s">
        <v>157</v>
      </c>
      <c r="Z370">
        <f>0</f>
        <v>0</v>
      </c>
      <c r="AA370" t="s">
        <v>158</v>
      </c>
      <c r="AB370" t="s">
        <v>158</v>
      </c>
      <c r="AD370">
        <f>0</f>
        <v>0</v>
      </c>
      <c r="AE370">
        <f>0</f>
        <v>0</v>
      </c>
      <c r="AH370" t="s">
        <v>157</v>
      </c>
    </row>
    <row r="371" spans="1:148" x14ac:dyDescent="0.25">
      <c r="A371" t="s">
        <v>1455</v>
      </c>
      <c r="B371" t="s">
        <v>148</v>
      </c>
      <c r="C371" s="1">
        <v>45721</v>
      </c>
      <c r="D371" t="s">
        <v>311</v>
      </c>
      <c r="E371" t="s">
        <v>312</v>
      </c>
      <c r="F371" t="s">
        <v>349</v>
      </c>
      <c r="G371" t="s">
        <v>1456</v>
      </c>
      <c r="H371">
        <v>849</v>
      </c>
      <c r="I371" t="s">
        <v>1457</v>
      </c>
      <c r="J371">
        <v>1984</v>
      </c>
      <c r="K371" t="s">
        <v>5257</v>
      </c>
      <c r="L371" t="s">
        <v>387</v>
      </c>
      <c r="M371" t="s">
        <v>6631</v>
      </c>
      <c r="N371" t="s">
        <v>1458</v>
      </c>
      <c r="O371" t="s">
        <v>1459</v>
      </c>
      <c r="R371">
        <f>1</f>
        <v>1</v>
      </c>
      <c r="S371">
        <f>11.4</f>
        <v>11.4</v>
      </c>
      <c r="T371">
        <f>7.4</f>
        <v>7.4</v>
      </c>
      <c r="U371">
        <f>202</f>
        <v>202</v>
      </c>
      <c r="V371" t="s">
        <v>157</v>
      </c>
      <c r="X371">
        <f>0</f>
        <v>0</v>
      </c>
      <c r="Y371" t="s">
        <v>157</v>
      </c>
      <c r="Z371">
        <f>0</f>
        <v>0</v>
      </c>
      <c r="AA371" t="s">
        <v>158</v>
      </c>
      <c r="AB371" t="s">
        <v>158</v>
      </c>
      <c r="AC371">
        <f>0</f>
        <v>0</v>
      </c>
      <c r="AD371">
        <f>0</f>
        <v>0</v>
      </c>
      <c r="AE371">
        <f>0</f>
        <v>0</v>
      </c>
      <c r="AH371" t="s">
        <v>157</v>
      </c>
    </row>
    <row r="372" spans="1:148" x14ac:dyDescent="0.25">
      <c r="A372" t="s">
        <v>1460</v>
      </c>
      <c r="B372" t="s">
        <v>148</v>
      </c>
      <c r="C372" s="1">
        <v>45726</v>
      </c>
      <c r="D372" t="s">
        <v>311</v>
      </c>
      <c r="E372" t="s">
        <v>312</v>
      </c>
      <c r="F372" t="s">
        <v>424</v>
      </c>
      <c r="G372" t="s">
        <v>425</v>
      </c>
      <c r="H372">
        <v>804</v>
      </c>
      <c r="I372" t="s">
        <v>5946</v>
      </c>
      <c r="J372">
        <v>3329</v>
      </c>
      <c r="K372" t="s">
        <v>5254</v>
      </c>
      <c r="L372" t="s">
        <v>387</v>
      </c>
      <c r="M372" t="s">
        <v>1461</v>
      </c>
      <c r="N372" t="s">
        <v>1462</v>
      </c>
      <c r="O372" t="s">
        <v>1463</v>
      </c>
      <c r="R372">
        <f>1</f>
        <v>1</v>
      </c>
      <c r="S372">
        <f>8.7</f>
        <v>8.6999999999999993</v>
      </c>
      <c r="T372">
        <f>7.6</f>
        <v>7.6</v>
      </c>
      <c r="U372">
        <f>535</f>
        <v>535</v>
      </c>
      <c r="V372" t="s">
        <v>157</v>
      </c>
      <c r="X372">
        <f>0</f>
        <v>0</v>
      </c>
      <c r="Y372" t="s">
        <v>157</v>
      </c>
      <c r="Z372">
        <f>0</f>
        <v>0</v>
      </c>
      <c r="AA372" t="s">
        <v>158</v>
      </c>
      <c r="AB372" t="s">
        <v>158</v>
      </c>
      <c r="AD372">
        <f>0</f>
        <v>0</v>
      </c>
      <c r="AE372">
        <f>0</f>
        <v>0</v>
      </c>
      <c r="AH372" t="s">
        <v>157</v>
      </c>
    </row>
    <row r="373" spans="1:148" x14ac:dyDescent="0.25">
      <c r="A373" t="s">
        <v>1464</v>
      </c>
      <c r="B373" t="s">
        <v>268</v>
      </c>
      <c r="C373" s="1">
        <v>45803</v>
      </c>
      <c r="D373" t="s">
        <v>311</v>
      </c>
      <c r="E373" t="s">
        <v>312</v>
      </c>
      <c r="F373" t="s">
        <v>1465</v>
      </c>
      <c r="G373" t="s">
        <v>1466</v>
      </c>
      <c r="H373">
        <v>1250</v>
      </c>
      <c r="I373" t="s">
        <v>1466</v>
      </c>
      <c r="J373">
        <v>1189</v>
      </c>
      <c r="K373" t="s">
        <v>5257</v>
      </c>
      <c r="L373" t="s">
        <v>180</v>
      </c>
      <c r="M373" t="s">
        <v>1467</v>
      </c>
      <c r="N373" t="s">
        <v>1468</v>
      </c>
      <c r="O373" t="s">
        <v>1469</v>
      </c>
      <c r="R373">
        <f>1</f>
        <v>1</v>
      </c>
      <c r="S373">
        <f>12.6</f>
        <v>12.6</v>
      </c>
      <c r="T373">
        <f>6.3</f>
        <v>6.3</v>
      </c>
      <c r="U373">
        <f>77</f>
        <v>77</v>
      </c>
      <c r="X373">
        <f>0</f>
        <v>0</v>
      </c>
      <c r="Y373">
        <f>0.1</f>
        <v>0.1</v>
      </c>
      <c r="Z373">
        <f>0</f>
        <v>0</v>
      </c>
      <c r="AA373" t="s">
        <v>158</v>
      </c>
      <c r="AB373" t="s">
        <v>158</v>
      </c>
      <c r="AC373">
        <f>0</f>
        <v>0</v>
      </c>
      <c r="AD373">
        <f>0</f>
        <v>0</v>
      </c>
      <c r="AE373">
        <f>0</f>
        <v>0</v>
      </c>
      <c r="AH373" t="s">
        <v>157</v>
      </c>
      <c r="AI373" t="s">
        <v>238</v>
      </c>
      <c r="AL373" t="s">
        <v>164</v>
      </c>
      <c r="AM373" t="s">
        <v>165</v>
      </c>
      <c r="AN373">
        <f>5.3</f>
        <v>5.3</v>
      </c>
      <c r="AO373">
        <f>0.11</f>
        <v>0.11</v>
      </c>
      <c r="AP373">
        <f>7.9</f>
        <v>7.9</v>
      </c>
      <c r="AQ373">
        <f>2.3</f>
        <v>2.2999999999999998</v>
      </c>
      <c r="AR373" t="s">
        <v>157</v>
      </c>
      <c r="AS373">
        <f>5.3</f>
        <v>5.3</v>
      </c>
      <c r="AY373">
        <f>1.7</f>
        <v>1.7</v>
      </c>
      <c r="AZ373" t="s">
        <v>158</v>
      </c>
      <c r="BA373" t="s">
        <v>216</v>
      </c>
      <c r="BB373" t="s">
        <v>158</v>
      </c>
      <c r="BC373" t="s">
        <v>166</v>
      </c>
      <c r="BD373" t="s">
        <v>167</v>
      </c>
      <c r="BE373">
        <f>0.06</f>
        <v>0.06</v>
      </c>
      <c r="BF373" t="s">
        <v>168</v>
      </c>
      <c r="BG373" t="s">
        <v>167</v>
      </c>
      <c r="BH373" t="s">
        <v>167</v>
      </c>
      <c r="BK373">
        <f>0.29</f>
        <v>0.28999999999999998</v>
      </c>
    </row>
    <row r="374" spans="1:148" x14ac:dyDescent="0.25">
      <c r="A374" t="s">
        <v>1470</v>
      </c>
      <c r="B374" t="s">
        <v>148</v>
      </c>
      <c r="C374" s="1">
        <v>45720</v>
      </c>
      <c r="D374" t="s">
        <v>618</v>
      </c>
      <c r="E374" t="s">
        <v>619</v>
      </c>
      <c r="F374" t="s">
        <v>5317</v>
      </c>
      <c r="G374" t="s">
        <v>5859</v>
      </c>
      <c r="H374">
        <v>21</v>
      </c>
      <c r="I374" t="s">
        <v>5139</v>
      </c>
      <c r="J374">
        <v>3154</v>
      </c>
      <c r="K374" t="s">
        <v>5254</v>
      </c>
      <c r="L374" t="s">
        <v>387</v>
      </c>
      <c r="M374" t="s">
        <v>5140</v>
      </c>
      <c r="N374" t="s">
        <v>4988</v>
      </c>
      <c r="O374" t="s">
        <v>1471</v>
      </c>
      <c r="R374">
        <f>1</f>
        <v>1</v>
      </c>
      <c r="S374">
        <f>7.3</f>
        <v>7.3</v>
      </c>
      <c r="T374">
        <f>8</f>
        <v>8</v>
      </c>
      <c r="U374">
        <f>197</f>
        <v>197</v>
      </c>
      <c r="V374" t="s">
        <v>157</v>
      </c>
      <c r="X374">
        <f>0</f>
        <v>0</v>
      </c>
      <c r="Y374">
        <f>0.1</f>
        <v>0.1</v>
      </c>
      <c r="Z374">
        <f>0</f>
        <v>0</v>
      </c>
      <c r="AA374" t="s">
        <v>158</v>
      </c>
      <c r="AB374" t="s">
        <v>158</v>
      </c>
      <c r="AD374">
        <f>0</f>
        <v>0</v>
      </c>
      <c r="AE374">
        <f>0</f>
        <v>0</v>
      </c>
      <c r="AH374" t="s">
        <v>157</v>
      </c>
    </row>
    <row r="375" spans="1:148" x14ac:dyDescent="0.25">
      <c r="A375" t="s">
        <v>1472</v>
      </c>
      <c r="B375" t="s">
        <v>148</v>
      </c>
      <c r="C375" s="1">
        <v>45761</v>
      </c>
      <c r="D375" t="s">
        <v>222</v>
      </c>
      <c r="E375" t="s">
        <v>223</v>
      </c>
      <c r="F375" t="s">
        <v>4723</v>
      </c>
      <c r="G375" t="s">
        <v>1473</v>
      </c>
      <c r="H375">
        <v>1400</v>
      </c>
      <c r="I375" t="s">
        <v>1473</v>
      </c>
      <c r="J375">
        <v>279</v>
      </c>
      <c r="K375" t="s">
        <v>5257</v>
      </c>
      <c r="L375" t="s">
        <v>393</v>
      </c>
      <c r="M375" t="s">
        <v>5141</v>
      </c>
      <c r="N375" t="s">
        <v>1474</v>
      </c>
      <c r="O375" t="s">
        <v>1475</v>
      </c>
      <c r="R375">
        <f>1</f>
        <v>1</v>
      </c>
      <c r="S375">
        <f>11.7</f>
        <v>11.7</v>
      </c>
      <c r="T375">
        <f>8.2</f>
        <v>8.1999999999999993</v>
      </c>
      <c r="U375">
        <f>318</f>
        <v>318</v>
      </c>
      <c r="X375">
        <f>1</f>
        <v>1</v>
      </c>
      <c r="Y375">
        <f>0.07</f>
        <v>7.0000000000000007E-2</v>
      </c>
      <c r="Z375">
        <f>0</f>
        <v>0</v>
      </c>
      <c r="AA375">
        <f>0</f>
        <v>0</v>
      </c>
      <c r="AB375">
        <f>0</f>
        <v>0</v>
      </c>
      <c r="AC375">
        <f>0</f>
        <v>0</v>
      </c>
      <c r="AD375">
        <f>0</f>
        <v>0</v>
      </c>
      <c r="AE375">
        <f>0</f>
        <v>0</v>
      </c>
      <c r="AH375" t="s">
        <v>166</v>
      </c>
      <c r="BJ375" t="s">
        <v>249</v>
      </c>
    </row>
    <row r="376" spans="1:148" x14ac:dyDescent="0.25">
      <c r="A376" t="s">
        <v>1476</v>
      </c>
      <c r="B376" t="s">
        <v>148</v>
      </c>
      <c r="C376" s="1">
        <v>45818</v>
      </c>
      <c r="D376" t="s">
        <v>242</v>
      </c>
      <c r="E376" t="s">
        <v>243</v>
      </c>
      <c r="F376" t="s">
        <v>244</v>
      </c>
      <c r="G376" t="s">
        <v>245</v>
      </c>
      <c r="H376">
        <v>719</v>
      </c>
      <c r="I376" t="s">
        <v>1477</v>
      </c>
      <c r="J376">
        <v>659</v>
      </c>
      <c r="K376" t="s">
        <v>5254</v>
      </c>
      <c r="L376" t="s">
        <v>393</v>
      </c>
      <c r="M376" t="s">
        <v>5428</v>
      </c>
      <c r="N376" t="s">
        <v>1478</v>
      </c>
      <c r="O376" t="s">
        <v>1479</v>
      </c>
      <c r="R376">
        <f>1</f>
        <v>1</v>
      </c>
      <c r="S376">
        <f>17.6</f>
        <v>17.600000000000001</v>
      </c>
      <c r="T376">
        <f>8</f>
        <v>8</v>
      </c>
      <c r="U376">
        <f>281</f>
        <v>281</v>
      </c>
      <c r="X376">
        <f>1</f>
        <v>1</v>
      </c>
      <c r="Y376">
        <f>0.15</f>
        <v>0.15</v>
      </c>
      <c r="Z376">
        <f>0</f>
        <v>0</v>
      </c>
      <c r="AA376" t="s">
        <v>158</v>
      </c>
      <c r="AB376">
        <f>12</f>
        <v>12</v>
      </c>
      <c r="AD376">
        <f>0</f>
        <v>0</v>
      </c>
      <c r="AE376">
        <f>0</f>
        <v>0</v>
      </c>
      <c r="AH376" t="s">
        <v>157</v>
      </c>
      <c r="AI376" t="s">
        <v>238</v>
      </c>
      <c r="AL376" t="s">
        <v>164</v>
      </c>
      <c r="AM376" t="s">
        <v>165</v>
      </c>
      <c r="AN376">
        <f>3.3</f>
        <v>3.3</v>
      </c>
      <c r="AO376">
        <f>0.07</f>
        <v>7.0000000000000007E-2</v>
      </c>
      <c r="AP376">
        <f>15</f>
        <v>15</v>
      </c>
      <c r="AQ376">
        <f>2</f>
        <v>2</v>
      </c>
      <c r="AR376" t="s">
        <v>157</v>
      </c>
      <c r="AS376">
        <f>1.7</f>
        <v>1.7</v>
      </c>
      <c r="AY376" t="s">
        <v>167</v>
      </c>
      <c r="AZ376">
        <f>36</f>
        <v>36</v>
      </c>
      <c r="BA376" t="s">
        <v>216</v>
      </c>
      <c r="BB376" t="s">
        <v>158</v>
      </c>
      <c r="BC376" t="s">
        <v>166</v>
      </c>
      <c r="BD376" t="s">
        <v>167</v>
      </c>
      <c r="BE376">
        <f>0.0052</f>
        <v>5.1999999999999998E-3</v>
      </c>
      <c r="BF376" t="s">
        <v>168</v>
      </c>
      <c r="BG376" t="s">
        <v>167</v>
      </c>
      <c r="BH376" t="s">
        <v>167</v>
      </c>
      <c r="BK376">
        <f>0.14</f>
        <v>0.14000000000000001</v>
      </c>
      <c r="EL376">
        <f>0.4</f>
        <v>0.4</v>
      </c>
      <c r="EM376" t="s">
        <v>166</v>
      </c>
      <c r="EN376">
        <f>0.55</f>
        <v>0.55000000000000004</v>
      </c>
      <c r="EO376">
        <f>0.55</f>
        <v>0.55000000000000004</v>
      </c>
      <c r="ER376">
        <f>1.5</f>
        <v>1.5</v>
      </c>
    </row>
    <row r="377" spans="1:148" x14ac:dyDescent="0.25">
      <c r="A377" t="s">
        <v>1480</v>
      </c>
      <c r="B377" t="s">
        <v>148</v>
      </c>
      <c r="C377" s="1">
        <v>45888</v>
      </c>
      <c r="D377" t="s">
        <v>242</v>
      </c>
      <c r="E377" t="s">
        <v>295</v>
      </c>
      <c r="F377" t="s">
        <v>764</v>
      </c>
      <c r="G377" t="s">
        <v>6632</v>
      </c>
      <c r="H377">
        <v>1419</v>
      </c>
      <c r="I377" t="s">
        <v>6632</v>
      </c>
      <c r="J377">
        <v>480</v>
      </c>
      <c r="K377" t="s">
        <v>5257</v>
      </c>
      <c r="L377" t="s">
        <v>393</v>
      </c>
      <c r="M377" t="s">
        <v>1481</v>
      </c>
      <c r="N377" t="s">
        <v>1482</v>
      </c>
      <c r="O377" t="s">
        <v>1483</v>
      </c>
      <c r="R377">
        <f>1</f>
        <v>1</v>
      </c>
      <c r="S377">
        <f>19.6</f>
        <v>19.600000000000001</v>
      </c>
      <c r="T377">
        <f>7.5</f>
        <v>7.5</v>
      </c>
      <c r="U377">
        <f>456</f>
        <v>456</v>
      </c>
      <c r="V377">
        <f>0.23</f>
        <v>0.23</v>
      </c>
      <c r="X377">
        <f>1</f>
        <v>1</v>
      </c>
      <c r="Y377" t="s">
        <v>157</v>
      </c>
      <c r="Z377">
        <f>0</f>
        <v>0</v>
      </c>
      <c r="AA377" t="s">
        <v>158</v>
      </c>
      <c r="AB377" t="s">
        <v>158</v>
      </c>
      <c r="AC377">
        <f>0</f>
        <v>0</v>
      </c>
      <c r="AD377">
        <f>0</f>
        <v>0</v>
      </c>
      <c r="AE377">
        <f>0</f>
        <v>0</v>
      </c>
      <c r="AH377" t="s">
        <v>157</v>
      </c>
      <c r="AI377" t="s">
        <v>238</v>
      </c>
      <c r="AL377" t="s">
        <v>164</v>
      </c>
      <c r="AM377" t="s">
        <v>165</v>
      </c>
      <c r="AN377">
        <f>3.1</f>
        <v>3.1</v>
      </c>
      <c r="AO377">
        <f>0.06</f>
        <v>0.06</v>
      </c>
      <c r="AP377">
        <f>13</f>
        <v>13</v>
      </c>
      <c r="AQ377">
        <f>1.6</f>
        <v>1.6</v>
      </c>
      <c r="AR377" t="s">
        <v>157</v>
      </c>
    </row>
    <row r="378" spans="1:148" x14ac:dyDescent="0.25">
      <c r="A378" t="s">
        <v>1484</v>
      </c>
      <c r="B378" t="s">
        <v>148</v>
      </c>
      <c r="C378" s="1">
        <v>45723</v>
      </c>
      <c r="D378" t="s">
        <v>317</v>
      </c>
      <c r="E378" t="s">
        <v>318</v>
      </c>
      <c r="F378" t="s">
        <v>4766</v>
      </c>
      <c r="G378" t="s">
        <v>6633</v>
      </c>
      <c r="H378">
        <v>1060</v>
      </c>
      <c r="I378" t="s">
        <v>6633</v>
      </c>
      <c r="J378">
        <v>800</v>
      </c>
      <c r="K378" t="s">
        <v>5257</v>
      </c>
      <c r="L378" t="s">
        <v>180</v>
      </c>
      <c r="M378" t="s">
        <v>5947</v>
      </c>
      <c r="N378" t="s">
        <v>4767</v>
      </c>
      <c r="O378" t="s">
        <v>1485</v>
      </c>
      <c r="Q378" t="s">
        <v>347</v>
      </c>
      <c r="R378">
        <f>1</f>
        <v>1</v>
      </c>
      <c r="S378">
        <f>10.3</f>
        <v>10.3</v>
      </c>
      <c r="T378">
        <f>8</f>
        <v>8</v>
      </c>
      <c r="U378">
        <f>269</f>
        <v>269</v>
      </c>
      <c r="X378">
        <f>0</f>
        <v>0</v>
      </c>
      <c r="Y378">
        <f>0.63</f>
        <v>0.63</v>
      </c>
      <c r="Z378">
        <f>0</f>
        <v>0</v>
      </c>
      <c r="AA378">
        <f>0</f>
        <v>0</v>
      </c>
      <c r="AB378">
        <f>0</f>
        <v>0</v>
      </c>
      <c r="AC378">
        <f>0</f>
        <v>0</v>
      </c>
      <c r="AD378">
        <f>0</f>
        <v>0</v>
      </c>
      <c r="AE378">
        <f>0</f>
        <v>0</v>
      </c>
      <c r="AH378" t="s">
        <v>157</v>
      </c>
    </row>
    <row r="379" spans="1:148" x14ac:dyDescent="0.25">
      <c r="A379" t="s">
        <v>1486</v>
      </c>
      <c r="B379" t="s">
        <v>148</v>
      </c>
      <c r="C379" s="1">
        <v>45742</v>
      </c>
      <c r="D379" t="s">
        <v>317</v>
      </c>
      <c r="E379" t="s">
        <v>318</v>
      </c>
      <c r="F379" t="s">
        <v>338</v>
      </c>
      <c r="G379" t="s">
        <v>5948</v>
      </c>
      <c r="H379">
        <v>1463</v>
      </c>
      <c r="I379" t="s">
        <v>5948</v>
      </c>
      <c r="J379">
        <v>400</v>
      </c>
      <c r="K379" t="s">
        <v>5254</v>
      </c>
      <c r="L379" t="s">
        <v>4966</v>
      </c>
      <c r="M379" t="s">
        <v>5949</v>
      </c>
      <c r="N379" t="s">
        <v>5429</v>
      </c>
      <c r="O379" t="s">
        <v>1487</v>
      </c>
      <c r="Q379" t="s">
        <v>329</v>
      </c>
      <c r="R379">
        <f>1</f>
        <v>1</v>
      </c>
      <c r="S379">
        <f>7.3</f>
        <v>7.3</v>
      </c>
      <c r="T379">
        <f>8</f>
        <v>8</v>
      </c>
      <c r="U379">
        <f>194</f>
        <v>194</v>
      </c>
      <c r="X379">
        <f>0</f>
        <v>0</v>
      </c>
      <c r="Y379" t="s">
        <v>157</v>
      </c>
      <c r="Z379">
        <f>0</f>
        <v>0</v>
      </c>
      <c r="AA379">
        <f>2</f>
        <v>2</v>
      </c>
      <c r="AB379">
        <f>0</f>
        <v>0</v>
      </c>
      <c r="AD379">
        <f>0</f>
        <v>0</v>
      </c>
      <c r="AE379">
        <f>0</f>
        <v>0</v>
      </c>
      <c r="AH379" t="s">
        <v>157</v>
      </c>
    </row>
    <row r="380" spans="1:148" x14ac:dyDescent="0.25">
      <c r="A380" t="s">
        <v>1488</v>
      </c>
      <c r="B380" t="s">
        <v>148</v>
      </c>
      <c r="C380" s="1">
        <v>45726</v>
      </c>
      <c r="D380" t="s">
        <v>242</v>
      </c>
      <c r="E380" t="s">
        <v>243</v>
      </c>
      <c r="F380" t="s">
        <v>1265</v>
      </c>
      <c r="G380" t="s">
        <v>6634</v>
      </c>
      <c r="H380">
        <v>830</v>
      </c>
      <c r="I380" t="s">
        <v>6634</v>
      </c>
      <c r="J380">
        <v>650</v>
      </c>
      <c r="K380" t="s">
        <v>5254</v>
      </c>
      <c r="L380" t="s">
        <v>393</v>
      </c>
      <c r="M380" t="s">
        <v>1489</v>
      </c>
      <c r="N380" t="s">
        <v>4768</v>
      </c>
      <c r="O380" t="s">
        <v>1490</v>
      </c>
      <c r="Q380" t="s">
        <v>6351</v>
      </c>
      <c r="R380">
        <f>1</f>
        <v>1</v>
      </c>
      <c r="S380">
        <f>8.7</f>
        <v>8.6999999999999993</v>
      </c>
      <c r="T380">
        <f>7.8</f>
        <v>7.8</v>
      </c>
      <c r="U380">
        <f>278</f>
        <v>278</v>
      </c>
      <c r="V380">
        <f>0.15</f>
        <v>0.15</v>
      </c>
      <c r="X380">
        <f>0</f>
        <v>0</v>
      </c>
      <c r="Y380" t="s">
        <v>157</v>
      </c>
      <c r="Z380">
        <f>0</f>
        <v>0</v>
      </c>
      <c r="AA380" t="s">
        <v>158</v>
      </c>
      <c r="AB380" t="s">
        <v>158</v>
      </c>
      <c r="AD380">
        <f>0</f>
        <v>0</v>
      </c>
      <c r="AE380">
        <f>0</f>
        <v>0</v>
      </c>
      <c r="AH380" t="s">
        <v>157</v>
      </c>
    </row>
    <row r="381" spans="1:148" x14ac:dyDescent="0.25">
      <c r="A381" t="s">
        <v>1491</v>
      </c>
      <c r="B381" t="s">
        <v>148</v>
      </c>
      <c r="C381" s="1">
        <v>45897</v>
      </c>
      <c r="D381" t="s">
        <v>222</v>
      </c>
      <c r="E381" t="s">
        <v>223</v>
      </c>
      <c r="F381" t="s">
        <v>469</v>
      </c>
      <c r="G381" t="s">
        <v>1492</v>
      </c>
      <c r="H381">
        <v>400</v>
      </c>
      <c r="I381" t="s">
        <v>1492</v>
      </c>
      <c r="J381">
        <v>179</v>
      </c>
      <c r="K381" t="s">
        <v>5257</v>
      </c>
      <c r="L381" t="s">
        <v>431</v>
      </c>
      <c r="M381" t="s">
        <v>5428</v>
      </c>
      <c r="N381" t="s">
        <v>4769</v>
      </c>
      <c r="O381" t="s">
        <v>1493</v>
      </c>
      <c r="R381">
        <f>1</f>
        <v>1</v>
      </c>
      <c r="S381">
        <f>20</f>
        <v>20</v>
      </c>
      <c r="T381">
        <f>7.8</f>
        <v>7.8</v>
      </c>
      <c r="U381">
        <f>244</f>
        <v>244</v>
      </c>
      <c r="V381">
        <f>0.13</f>
        <v>0.13</v>
      </c>
      <c r="X381">
        <f>1</f>
        <v>1</v>
      </c>
      <c r="Y381">
        <f>0.12</f>
        <v>0.12</v>
      </c>
      <c r="Z381">
        <f>0</f>
        <v>0</v>
      </c>
      <c r="AA381">
        <f>0</f>
        <v>0</v>
      </c>
      <c r="AB381">
        <f>0</f>
        <v>0</v>
      </c>
      <c r="AC381">
        <f>0</f>
        <v>0</v>
      </c>
      <c r="AD381">
        <f>0</f>
        <v>0</v>
      </c>
      <c r="AE381">
        <f>0</f>
        <v>0</v>
      </c>
      <c r="AH381" t="s">
        <v>166</v>
      </c>
      <c r="AI381" t="s">
        <v>300</v>
      </c>
      <c r="AL381" t="s">
        <v>168</v>
      </c>
      <c r="AM381" t="s">
        <v>164</v>
      </c>
      <c r="AN381">
        <f>4.4</f>
        <v>4.4000000000000004</v>
      </c>
      <c r="AO381">
        <f>0.09</f>
        <v>0.09</v>
      </c>
      <c r="AP381">
        <f>7.2</f>
        <v>7.2</v>
      </c>
      <c r="AQ381">
        <f>1</f>
        <v>1</v>
      </c>
      <c r="AR381" t="s">
        <v>167</v>
      </c>
    </row>
    <row r="382" spans="1:148" x14ac:dyDescent="0.25">
      <c r="A382" t="s">
        <v>1494</v>
      </c>
      <c r="B382" t="s">
        <v>148</v>
      </c>
      <c r="C382" s="1">
        <v>45824</v>
      </c>
      <c r="D382" t="s">
        <v>242</v>
      </c>
      <c r="E382" t="s">
        <v>295</v>
      </c>
      <c r="F382" t="s">
        <v>764</v>
      </c>
      <c r="G382" t="s">
        <v>5142</v>
      </c>
      <c r="H382">
        <v>1423</v>
      </c>
      <c r="I382" t="s">
        <v>5142</v>
      </c>
      <c r="J382">
        <v>1090</v>
      </c>
      <c r="K382" t="s">
        <v>5254</v>
      </c>
      <c r="L382" t="s">
        <v>393</v>
      </c>
      <c r="M382" t="s">
        <v>1495</v>
      </c>
      <c r="N382" t="s">
        <v>1496</v>
      </c>
      <c r="O382" t="s">
        <v>1497</v>
      </c>
      <c r="Q382" t="s">
        <v>6352</v>
      </c>
      <c r="R382">
        <f>1</f>
        <v>1</v>
      </c>
      <c r="S382">
        <f>19.3</f>
        <v>19.3</v>
      </c>
      <c r="T382">
        <f>7.5</f>
        <v>7.5</v>
      </c>
      <c r="U382">
        <f>511</f>
        <v>511</v>
      </c>
      <c r="V382">
        <f>0.08</f>
        <v>0.08</v>
      </c>
      <c r="X382">
        <f>0</f>
        <v>0</v>
      </c>
      <c r="Y382" t="s">
        <v>157</v>
      </c>
      <c r="Z382">
        <f>0</f>
        <v>0</v>
      </c>
      <c r="AA382" t="s">
        <v>158</v>
      </c>
      <c r="AB382">
        <f>19</f>
        <v>19</v>
      </c>
      <c r="AD382">
        <f>0</f>
        <v>0</v>
      </c>
      <c r="AE382">
        <f>0</f>
        <v>0</v>
      </c>
      <c r="AH382" t="s">
        <v>157</v>
      </c>
      <c r="AI382" t="s">
        <v>238</v>
      </c>
      <c r="AL382" t="s">
        <v>164</v>
      </c>
      <c r="AM382" t="s">
        <v>165</v>
      </c>
      <c r="AN382">
        <f>2</f>
        <v>2</v>
      </c>
      <c r="AO382">
        <f>0.04</f>
        <v>0.04</v>
      </c>
      <c r="AP382">
        <f>45</f>
        <v>45</v>
      </c>
      <c r="AQ382">
        <f>4.7</f>
        <v>4.7</v>
      </c>
      <c r="AR382">
        <f>0.23</f>
        <v>0.23</v>
      </c>
      <c r="AS382">
        <f>4.5</f>
        <v>4.5</v>
      </c>
      <c r="AY382" t="s">
        <v>167</v>
      </c>
      <c r="AZ382" t="s">
        <v>158</v>
      </c>
      <c r="BA382">
        <f>0.047</f>
        <v>4.7E-2</v>
      </c>
      <c r="BB382" t="s">
        <v>158</v>
      </c>
      <c r="BC382" t="s">
        <v>166</v>
      </c>
      <c r="BD382" t="s">
        <v>167</v>
      </c>
      <c r="BE382">
        <f>0.0062</f>
        <v>6.1999999999999998E-3</v>
      </c>
      <c r="BF382">
        <f>0.038</f>
        <v>3.7999999999999999E-2</v>
      </c>
      <c r="BG382" t="s">
        <v>167</v>
      </c>
      <c r="BH382" t="s">
        <v>167</v>
      </c>
      <c r="BK382">
        <f>0.47</f>
        <v>0.47</v>
      </c>
      <c r="EL382" t="s">
        <v>157</v>
      </c>
      <c r="EM382" t="s">
        <v>166</v>
      </c>
      <c r="EN382" t="s">
        <v>166</v>
      </c>
      <c r="EO382">
        <f>0.25</f>
        <v>0.25</v>
      </c>
      <c r="ER382">
        <f>0.25</f>
        <v>0.25</v>
      </c>
    </row>
    <row r="383" spans="1:148" x14ac:dyDescent="0.25">
      <c r="A383" t="s">
        <v>1498</v>
      </c>
      <c r="B383" t="s">
        <v>148</v>
      </c>
      <c r="C383" s="1">
        <v>45715</v>
      </c>
      <c r="D383" t="s">
        <v>317</v>
      </c>
      <c r="E383" t="s">
        <v>318</v>
      </c>
      <c r="F383" t="s">
        <v>1499</v>
      </c>
      <c r="G383" t="s">
        <v>1500</v>
      </c>
      <c r="H383">
        <v>1479</v>
      </c>
      <c r="I383" t="s">
        <v>1501</v>
      </c>
      <c r="J383">
        <v>426</v>
      </c>
      <c r="K383" t="s">
        <v>5254</v>
      </c>
      <c r="M383" t="s">
        <v>1502</v>
      </c>
      <c r="N383" t="s">
        <v>1503</v>
      </c>
      <c r="O383" t="s">
        <v>1504</v>
      </c>
      <c r="Q383" t="s">
        <v>329</v>
      </c>
      <c r="R383">
        <f>1</f>
        <v>1</v>
      </c>
      <c r="S383">
        <f>7.9</f>
        <v>7.9</v>
      </c>
      <c r="T383">
        <f>7.9</f>
        <v>7.9</v>
      </c>
      <c r="U383">
        <f>226</f>
        <v>226</v>
      </c>
      <c r="X383">
        <f>0</f>
        <v>0</v>
      </c>
      <c r="Y383" t="s">
        <v>157</v>
      </c>
      <c r="Z383">
        <f>0</f>
        <v>0</v>
      </c>
      <c r="AA383">
        <f>0</f>
        <v>0</v>
      </c>
      <c r="AB383">
        <f>0</f>
        <v>0</v>
      </c>
      <c r="AD383">
        <f>0</f>
        <v>0</v>
      </c>
      <c r="AE383">
        <f>0</f>
        <v>0</v>
      </c>
      <c r="AH383" t="s">
        <v>157</v>
      </c>
    </row>
    <row r="384" spans="1:148" x14ac:dyDescent="0.25">
      <c r="A384" t="s">
        <v>1505</v>
      </c>
      <c r="B384" t="s">
        <v>148</v>
      </c>
      <c r="C384" s="1">
        <v>45721</v>
      </c>
      <c r="D384" t="s">
        <v>242</v>
      </c>
      <c r="E384" t="s">
        <v>243</v>
      </c>
      <c r="F384" t="s">
        <v>5802</v>
      </c>
      <c r="G384" t="s">
        <v>1506</v>
      </c>
      <c r="H384">
        <v>1120</v>
      </c>
      <c r="I384" t="s">
        <v>1506</v>
      </c>
      <c r="J384">
        <v>487</v>
      </c>
      <c r="K384" t="s">
        <v>5254</v>
      </c>
      <c r="L384" t="s">
        <v>393</v>
      </c>
      <c r="M384" t="s">
        <v>1507</v>
      </c>
      <c r="N384" t="s">
        <v>1508</v>
      </c>
      <c r="O384" t="s">
        <v>1509</v>
      </c>
      <c r="R384">
        <f>1</f>
        <v>1</v>
      </c>
      <c r="S384">
        <f>8.6</f>
        <v>8.6</v>
      </c>
      <c r="T384">
        <f>8</f>
        <v>8</v>
      </c>
      <c r="U384">
        <f>500</f>
        <v>500</v>
      </c>
      <c r="V384">
        <f>0.23</f>
        <v>0.23</v>
      </c>
      <c r="X384">
        <f>0</f>
        <v>0</v>
      </c>
      <c r="Y384" t="s">
        <v>157</v>
      </c>
      <c r="Z384">
        <f>0</f>
        <v>0</v>
      </c>
      <c r="AA384" t="s">
        <v>158</v>
      </c>
      <c r="AB384" t="s">
        <v>158</v>
      </c>
      <c r="AD384">
        <f>0</f>
        <v>0</v>
      </c>
      <c r="AE384">
        <f>0</f>
        <v>0</v>
      </c>
      <c r="AH384" t="s">
        <v>157</v>
      </c>
    </row>
    <row r="385" spans="1:148" x14ac:dyDescent="0.25">
      <c r="A385" t="s">
        <v>1510</v>
      </c>
      <c r="B385" t="s">
        <v>148</v>
      </c>
      <c r="C385" s="1">
        <v>45728</v>
      </c>
      <c r="D385" t="s">
        <v>242</v>
      </c>
      <c r="E385" t="s">
        <v>243</v>
      </c>
      <c r="F385" t="s">
        <v>1511</v>
      </c>
      <c r="G385" t="s">
        <v>6635</v>
      </c>
      <c r="H385">
        <v>870</v>
      </c>
      <c r="I385" t="s">
        <v>6635</v>
      </c>
      <c r="J385">
        <v>550</v>
      </c>
      <c r="K385" t="s">
        <v>5254</v>
      </c>
      <c r="L385" t="s">
        <v>393</v>
      </c>
      <c r="M385" t="s">
        <v>1512</v>
      </c>
      <c r="N385" t="s">
        <v>1513</v>
      </c>
      <c r="O385" t="s">
        <v>1514</v>
      </c>
      <c r="R385">
        <f>1</f>
        <v>1</v>
      </c>
      <c r="S385">
        <f>9.3</f>
        <v>9.3000000000000007</v>
      </c>
      <c r="T385">
        <f>7.3</f>
        <v>7.3</v>
      </c>
      <c r="U385">
        <f>499</f>
        <v>499</v>
      </c>
      <c r="X385">
        <f>1</f>
        <v>1</v>
      </c>
      <c r="Y385">
        <f>0.61</f>
        <v>0.61</v>
      </c>
      <c r="Z385">
        <f>0</f>
        <v>0</v>
      </c>
      <c r="AA385" t="s">
        <v>158</v>
      </c>
      <c r="AB385" t="s">
        <v>158</v>
      </c>
      <c r="AD385">
        <f>0</f>
        <v>0</v>
      </c>
      <c r="AE385">
        <f>0</f>
        <v>0</v>
      </c>
      <c r="AH385" t="s">
        <v>157</v>
      </c>
    </row>
    <row r="386" spans="1:148" x14ac:dyDescent="0.25">
      <c r="A386" t="s">
        <v>1515</v>
      </c>
      <c r="B386" t="s">
        <v>148</v>
      </c>
      <c r="C386" s="1">
        <v>45728</v>
      </c>
      <c r="D386" t="s">
        <v>149</v>
      </c>
      <c r="E386" t="s">
        <v>150</v>
      </c>
      <c r="F386" t="s">
        <v>151</v>
      </c>
      <c r="G386" t="s">
        <v>5950</v>
      </c>
      <c r="H386">
        <v>1499</v>
      </c>
      <c r="I386" t="s">
        <v>5951</v>
      </c>
      <c r="J386">
        <v>851</v>
      </c>
      <c r="K386" t="s">
        <v>5254</v>
      </c>
      <c r="L386" t="s">
        <v>180</v>
      </c>
      <c r="M386" t="s">
        <v>5952</v>
      </c>
      <c r="N386" t="s">
        <v>5953</v>
      </c>
      <c r="O386" t="s">
        <v>1516</v>
      </c>
      <c r="R386">
        <f>1</f>
        <v>1</v>
      </c>
      <c r="S386">
        <f>8.5</f>
        <v>8.5</v>
      </c>
      <c r="T386">
        <f>6.9</f>
        <v>6.9</v>
      </c>
      <c r="U386">
        <f>212</f>
        <v>212</v>
      </c>
      <c r="X386">
        <f>0</f>
        <v>0</v>
      </c>
      <c r="Y386">
        <f>0.1</f>
        <v>0.1</v>
      </c>
      <c r="Z386">
        <f>0</f>
        <v>0</v>
      </c>
      <c r="AA386" t="s">
        <v>158</v>
      </c>
      <c r="AB386" t="s">
        <v>158</v>
      </c>
      <c r="AD386">
        <f>0</f>
        <v>0</v>
      </c>
      <c r="AE386">
        <f>0</f>
        <v>0</v>
      </c>
      <c r="AH386" t="s">
        <v>157</v>
      </c>
      <c r="AI386" t="s">
        <v>238</v>
      </c>
      <c r="AL386" t="s">
        <v>164</v>
      </c>
      <c r="AM386" t="s">
        <v>165</v>
      </c>
      <c r="AN386">
        <f>2.1</f>
        <v>2.1</v>
      </c>
      <c r="AO386">
        <f>0.04</f>
        <v>0.04</v>
      </c>
      <c r="AP386" t="s">
        <v>167</v>
      </c>
      <c r="AQ386">
        <f>2</f>
        <v>2</v>
      </c>
      <c r="AR386">
        <f>0.12</f>
        <v>0.12</v>
      </c>
      <c r="AS386">
        <f>7.2</f>
        <v>7.2</v>
      </c>
      <c r="AY386">
        <f>1.7</f>
        <v>1.7</v>
      </c>
      <c r="AZ386" t="s">
        <v>158</v>
      </c>
      <c r="BA386" t="s">
        <v>216</v>
      </c>
      <c r="BB386" t="s">
        <v>158</v>
      </c>
      <c r="BC386" t="s">
        <v>166</v>
      </c>
      <c r="BD386" t="s">
        <v>167</v>
      </c>
      <c r="BE386">
        <f>0.0088</f>
        <v>8.8000000000000005E-3</v>
      </c>
      <c r="BF386" t="s">
        <v>168</v>
      </c>
      <c r="BG386" t="s">
        <v>167</v>
      </c>
      <c r="BH386" t="s">
        <v>167</v>
      </c>
      <c r="BK386">
        <f>0.39</f>
        <v>0.39</v>
      </c>
    </row>
    <row r="387" spans="1:148" x14ac:dyDescent="0.25">
      <c r="A387" t="s">
        <v>1517</v>
      </c>
      <c r="B387" t="s">
        <v>268</v>
      </c>
      <c r="C387" s="1">
        <v>45839</v>
      </c>
      <c r="D387" t="s">
        <v>175</v>
      </c>
      <c r="E387" t="s">
        <v>649</v>
      </c>
      <c r="F387" t="s">
        <v>1191</v>
      </c>
      <c r="G387" t="s">
        <v>1518</v>
      </c>
      <c r="H387">
        <v>715</v>
      </c>
      <c r="I387" t="s">
        <v>1518</v>
      </c>
      <c r="J387">
        <v>1066</v>
      </c>
      <c r="K387" t="s">
        <v>5254</v>
      </c>
      <c r="L387" t="s">
        <v>154</v>
      </c>
      <c r="M387" t="s">
        <v>1519</v>
      </c>
      <c r="N387" t="s">
        <v>1520</v>
      </c>
      <c r="O387" t="s">
        <v>1521</v>
      </c>
      <c r="R387">
        <f>1</f>
        <v>1</v>
      </c>
      <c r="S387">
        <f>12.3</f>
        <v>12.3</v>
      </c>
      <c r="T387">
        <f>7.6</f>
        <v>7.6</v>
      </c>
      <c r="U387">
        <f>349</f>
        <v>349</v>
      </c>
      <c r="X387">
        <f>0</f>
        <v>0</v>
      </c>
      <c r="Y387" t="s">
        <v>157</v>
      </c>
      <c r="Z387">
        <f>0</f>
        <v>0</v>
      </c>
      <c r="AA387">
        <f>238</f>
        <v>238</v>
      </c>
      <c r="AB387" t="s">
        <v>705</v>
      </c>
      <c r="AD387">
        <f>0</f>
        <v>0</v>
      </c>
      <c r="AE387">
        <f>0</f>
        <v>0</v>
      </c>
      <c r="AH387" t="s">
        <v>157</v>
      </c>
      <c r="AI387" t="s">
        <v>238</v>
      </c>
      <c r="AL387" t="s">
        <v>164</v>
      </c>
      <c r="AM387" t="s">
        <v>165</v>
      </c>
      <c r="AN387">
        <f>5.8</f>
        <v>5.8</v>
      </c>
      <c r="AO387">
        <f>0.12</f>
        <v>0.12</v>
      </c>
      <c r="AP387">
        <f>11</f>
        <v>11</v>
      </c>
      <c r="AQ387">
        <f>1.7</f>
        <v>1.7</v>
      </c>
      <c r="AR387" t="s">
        <v>157</v>
      </c>
      <c r="AS387">
        <f>0.81</f>
        <v>0.81</v>
      </c>
      <c r="AY387" t="s">
        <v>167</v>
      </c>
      <c r="AZ387" t="s">
        <v>158</v>
      </c>
      <c r="BA387" t="s">
        <v>216</v>
      </c>
      <c r="BB387" t="s">
        <v>158</v>
      </c>
      <c r="BC387" t="s">
        <v>166</v>
      </c>
      <c r="BD387" t="s">
        <v>167</v>
      </c>
      <c r="BE387">
        <f>0.0047</f>
        <v>4.7000000000000002E-3</v>
      </c>
      <c r="BF387" t="s">
        <v>168</v>
      </c>
      <c r="BG387" t="s">
        <v>167</v>
      </c>
      <c r="BH387">
        <f>1</f>
        <v>1</v>
      </c>
      <c r="BK387">
        <f>0.27</f>
        <v>0.27</v>
      </c>
    </row>
    <row r="388" spans="1:148" x14ac:dyDescent="0.25">
      <c r="A388" t="s">
        <v>1522</v>
      </c>
      <c r="B388" t="s">
        <v>148</v>
      </c>
      <c r="C388" s="1">
        <v>45741</v>
      </c>
      <c r="D388" t="s">
        <v>175</v>
      </c>
      <c r="E388" t="s">
        <v>649</v>
      </c>
      <c r="F388" t="s">
        <v>1191</v>
      </c>
      <c r="G388" t="s">
        <v>1523</v>
      </c>
      <c r="H388">
        <v>281</v>
      </c>
      <c r="I388" t="s">
        <v>1523</v>
      </c>
      <c r="J388">
        <v>5800</v>
      </c>
      <c r="K388" t="s">
        <v>5254</v>
      </c>
      <c r="L388" t="s">
        <v>1524</v>
      </c>
      <c r="M388" t="s">
        <v>4770</v>
      </c>
      <c r="N388" t="s">
        <v>1525</v>
      </c>
      <c r="O388" t="s">
        <v>1526</v>
      </c>
      <c r="R388">
        <f>1</f>
        <v>1</v>
      </c>
      <c r="S388">
        <f>12.6</f>
        <v>12.6</v>
      </c>
      <c r="T388">
        <f>8.1</f>
        <v>8.1</v>
      </c>
      <c r="U388">
        <f>373</f>
        <v>373</v>
      </c>
      <c r="X388">
        <f>0</f>
        <v>0</v>
      </c>
      <c r="Y388" t="s">
        <v>157</v>
      </c>
      <c r="Z388">
        <f>0</f>
        <v>0</v>
      </c>
      <c r="AA388" t="s">
        <v>158</v>
      </c>
      <c r="AB388" t="s">
        <v>158</v>
      </c>
      <c r="AD388">
        <f>0</f>
        <v>0</v>
      </c>
      <c r="AE388">
        <f>0</f>
        <v>0</v>
      </c>
      <c r="AH388" t="s">
        <v>157</v>
      </c>
    </row>
    <row r="389" spans="1:148" x14ac:dyDescent="0.25">
      <c r="A389" t="s">
        <v>1527</v>
      </c>
      <c r="B389" t="s">
        <v>148</v>
      </c>
      <c r="C389" s="1">
        <v>45721</v>
      </c>
      <c r="D389" t="s">
        <v>189</v>
      </c>
      <c r="E389" t="s">
        <v>284</v>
      </c>
      <c r="F389" t="s">
        <v>665</v>
      </c>
      <c r="G389" t="s">
        <v>5143</v>
      </c>
      <c r="H389">
        <v>326</v>
      </c>
      <c r="I389" t="s">
        <v>5143</v>
      </c>
      <c r="J389">
        <v>1042</v>
      </c>
      <c r="K389" t="s">
        <v>5257</v>
      </c>
      <c r="L389" t="s">
        <v>393</v>
      </c>
      <c r="M389" t="s">
        <v>5144</v>
      </c>
      <c r="N389" t="s">
        <v>5145</v>
      </c>
      <c r="O389" t="s">
        <v>1528</v>
      </c>
      <c r="R389">
        <f>1</f>
        <v>1</v>
      </c>
      <c r="S389">
        <f>8.9</f>
        <v>8.9</v>
      </c>
      <c r="T389">
        <f>8</f>
        <v>8</v>
      </c>
      <c r="U389">
        <f>328</f>
        <v>328</v>
      </c>
      <c r="V389">
        <f>0.2</f>
        <v>0.2</v>
      </c>
      <c r="X389">
        <f>0</f>
        <v>0</v>
      </c>
      <c r="Y389">
        <f>0.02</f>
        <v>0.02</v>
      </c>
      <c r="Z389">
        <f>0</f>
        <v>0</v>
      </c>
      <c r="AA389">
        <f>0</f>
        <v>0</v>
      </c>
      <c r="AB389">
        <f>4</f>
        <v>4</v>
      </c>
      <c r="AC389">
        <f>0</f>
        <v>0</v>
      </c>
      <c r="AD389">
        <f>0</f>
        <v>0</v>
      </c>
      <c r="AE389">
        <f>0</f>
        <v>0</v>
      </c>
      <c r="AH389" t="s">
        <v>157</v>
      </c>
    </row>
    <row r="390" spans="1:148" x14ac:dyDescent="0.25">
      <c r="A390" t="s">
        <v>1529</v>
      </c>
      <c r="B390" t="s">
        <v>148</v>
      </c>
      <c r="C390" s="1">
        <v>45800</v>
      </c>
      <c r="D390" t="s">
        <v>269</v>
      </c>
      <c r="E390" t="s">
        <v>270</v>
      </c>
      <c r="F390" t="s">
        <v>271</v>
      </c>
      <c r="G390" t="s">
        <v>1530</v>
      </c>
      <c r="H390">
        <v>595</v>
      </c>
      <c r="I390" t="s">
        <v>1530</v>
      </c>
      <c r="J390">
        <v>2058</v>
      </c>
      <c r="K390" t="s">
        <v>5254</v>
      </c>
      <c r="L390" t="s">
        <v>154</v>
      </c>
      <c r="M390" t="s">
        <v>5954</v>
      </c>
      <c r="N390" t="s">
        <v>5955</v>
      </c>
      <c r="O390" t="s">
        <v>1531</v>
      </c>
      <c r="Q390" t="s">
        <v>6353</v>
      </c>
      <c r="R390">
        <f>1</f>
        <v>1</v>
      </c>
      <c r="S390">
        <f>14.8</f>
        <v>14.8</v>
      </c>
      <c r="T390">
        <f>7.8</f>
        <v>7.8</v>
      </c>
      <c r="U390">
        <f>568</f>
        <v>568</v>
      </c>
      <c r="X390">
        <f>0</f>
        <v>0</v>
      </c>
      <c r="Y390">
        <f>0.05</f>
        <v>0.05</v>
      </c>
      <c r="Z390">
        <f>0</f>
        <v>0</v>
      </c>
      <c r="AA390" t="s">
        <v>158</v>
      </c>
      <c r="AB390" t="s">
        <v>158</v>
      </c>
      <c r="AD390">
        <f>0</f>
        <v>0</v>
      </c>
      <c r="AE390">
        <f>0</f>
        <v>0</v>
      </c>
      <c r="AH390" t="s">
        <v>166</v>
      </c>
      <c r="AI390">
        <f>0.51</f>
        <v>0.51</v>
      </c>
      <c r="AL390" t="s">
        <v>216</v>
      </c>
      <c r="AM390">
        <f>0.0056</f>
        <v>5.5999999999999999E-3</v>
      </c>
      <c r="AN390">
        <f>5.65</f>
        <v>5.65</v>
      </c>
      <c r="AO390">
        <f>0.115</f>
        <v>0.115</v>
      </c>
      <c r="AP390">
        <f>4.4</f>
        <v>4.4000000000000004</v>
      </c>
      <c r="AQ390">
        <f>0.87</f>
        <v>0.87</v>
      </c>
      <c r="AR390" t="s">
        <v>209</v>
      </c>
      <c r="AS390">
        <f>0.7</f>
        <v>0.7</v>
      </c>
      <c r="AY390" t="s">
        <v>157</v>
      </c>
      <c r="AZ390" t="s">
        <v>208</v>
      </c>
      <c r="BA390">
        <f>0.0014</f>
        <v>1.4E-3</v>
      </c>
      <c r="BB390" t="s">
        <v>1417</v>
      </c>
      <c r="BC390" t="s">
        <v>209</v>
      </c>
      <c r="BD390" t="s">
        <v>157</v>
      </c>
      <c r="BE390">
        <f>0.0022</f>
        <v>2.2000000000000001E-3</v>
      </c>
      <c r="BF390" t="s">
        <v>168</v>
      </c>
      <c r="BG390" t="s">
        <v>237</v>
      </c>
      <c r="BH390" t="s">
        <v>157</v>
      </c>
      <c r="BK390">
        <f>0.18</f>
        <v>0.18</v>
      </c>
      <c r="EL390">
        <f>1.4</f>
        <v>1.4</v>
      </c>
      <c r="EM390" t="s">
        <v>238</v>
      </c>
      <c r="EN390">
        <f>1</f>
        <v>1</v>
      </c>
      <c r="EO390">
        <f>0.5</f>
        <v>0.5</v>
      </c>
      <c r="ER390">
        <f>2.9</f>
        <v>2.9</v>
      </c>
    </row>
    <row r="391" spans="1:148" x14ac:dyDescent="0.25">
      <c r="A391" t="s">
        <v>1532</v>
      </c>
      <c r="B391" t="s">
        <v>148</v>
      </c>
      <c r="C391" s="1">
        <v>45772</v>
      </c>
      <c r="D391" t="s">
        <v>269</v>
      </c>
      <c r="E391" t="s">
        <v>270</v>
      </c>
      <c r="F391" t="s">
        <v>754</v>
      </c>
      <c r="G391" t="s">
        <v>6636</v>
      </c>
      <c r="H391">
        <v>136</v>
      </c>
      <c r="I391" t="s">
        <v>6636</v>
      </c>
      <c r="J391">
        <v>870</v>
      </c>
      <c r="K391" t="s">
        <v>5254</v>
      </c>
      <c r="L391" t="s">
        <v>431</v>
      </c>
      <c r="M391" t="s">
        <v>5956</v>
      </c>
      <c r="N391" t="s">
        <v>6637</v>
      </c>
      <c r="O391" t="s">
        <v>1533</v>
      </c>
      <c r="R391">
        <f>1</f>
        <v>1</v>
      </c>
      <c r="S391">
        <f>11.3</f>
        <v>11.3</v>
      </c>
      <c r="T391">
        <f>7.5</f>
        <v>7.5</v>
      </c>
      <c r="U391">
        <f>579</f>
        <v>579</v>
      </c>
      <c r="V391">
        <f>0.34</f>
        <v>0.34</v>
      </c>
      <c r="X391">
        <f>0</f>
        <v>0</v>
      </c>
      <c r="Y391" t="s">
        <v>207</v>
      </c>
      <c r="Z391">
        <f>0</f>
        <v>0</v>
      </c>
      <c r="AA391" t="s">
        <v>158</v>
      </c>
      <c r="AB391" t="s">
        <v>158</v>
      </c>
      <c r="AD391">
        <f>0</f>
        <v>0</v>
      </c>
      <c r="AE391">
        <f>0</f>
        <v>0</v>
      </c>
    </row>
    <row r="392" spans="1:148" x14ac:dyDescent="0.25">
      <c r="A392" t="s">
        <v>1534</v>
      </c>
      <c r="B392" t="s">
        <v>148</v>
      </c>
      <c r="C392" s="1">
        <v>45728</v>
      </c>
      <c r="D392" t="s">
        <v>149</v>
      </c>
      <c r="E392" t="s">
        <v>150</v>
      </c>
      <c r="F392" t="s">
        <v>613</v>
      </c>
      <c r="G392" t="s">
        <v>614</v>
      </c>
      <c r="H392">
        <v>1825</v>
      </c>
      <c r="I392" t="s">
        <v>6638</v>
      </c>
      <c r="J392">
        <v>10500</v>
      </c>
      <c r="K392" t="s">
        <v>5254</v>
      </c>
      <c r="M392" t="s">
        <v>5430</v>
      </c>
      <c r="N392" t="s">
        <v>4771</v>
      </c>
      <c r="O392" t="s">
        <v>1535</v>
      </c>
      <c r="Q392" t="s">
        <v>6354</v>
      </c>
      <c r="R392">
        <f>1</f>
        <v>1</v>
      </c>
      <c r="S392">
        <f>15.1</f>
        <v>15.1</v>
      </c>
      <c r="T392">
        <f>7</f>
        <v>7</v>
      </c>
      <c r="U392">
        <f>399</f>
        <v>399</v>
      </c>
      <c r="V392">
        <f>0.14</f>
        <v>0.14000000000000001</v>
      </c>
      <c r="X392">
        <f>0</f>
        <v>0</v>
      </c>
      <c r="Y392">
        <f>0.1</f>
        <v>0.1</v>
      </c>
      <c r="Z392">
        <f>0</f>
        <v>0</v>
      </c>
      <c r="AA392" t="s">
        <v>158</v>
      </c>
      <c r="AB392" t="s">
        <v>158</v>
      </c>
      <c r="AD392">
        <f>0</f>
        <v>0</v>
      </c>
      <c r="AE392">
        <f>0</f>
        <v>0</v>
      </c>
      <c r="AH392" t="s">
        <v>157</v>
      </c>
    </row>
    <row r="393" spans="1:148" x14ac:dyDescent="0.25">
      <c r="A393" t="s">
        <v>1536</v>
      </c>
      <c r="B393" t="s">
        <v>268</v>
      </c>
      <c r="C393" s="1">
        <v>45726</v>
      </c>
      <c r="D393" t="s">
        <v>149</v>
      </c>
      <c r="E393" t="s">
        <v>150</v>
      </c>
      <c r="F393" t="s">
        <v>151</v>
      </c>
      <c r="G393" t="s">
        <v>6639</v>
      </c>
      <c r="H393">
        <v>1442</v>
      </c>
      <c r="I393" t="s">
        <v>6640</v>
      </c>
      <c r="J393">
        <v>437</v>
      </c>
      <c r="K393" t="s">
        <v>5254</v>
      </c>
      <c r="L393" t="s">
        <v>180</v>
      </c>
      <c r="M393" t="s">
        <v>1537</v>
      </c>
      <c r="N393" t="s">
        <v>6641</v>
      </c>
      <c r="O393" t="s">
        <v>1538</v>
      </c>
      <c r="R393">
        <f>1</f>
        <v>1</v>
      </c>
      <c r="S393">
        <f>6.9</f>
        <v>6.9</v>
      </c>
      <c r="T393">
        <f>7</f>
        <v>7</v>
      </c>
      <c r="U393">
        <f>134</f>
        <v>134</v>
      </c>
      <c r="X393">
        <f>0</f>
        <v>0</v>
      </c>
      <c r="Y393">
        <f>0.1</f>
        <v>0.1</v>
      </c>
      <c r="Z393">
        <f>0</f>
        <v>0</v>
      </c>
      <c r="AA393" t="s">
        <v>158</v>
      </c>
      <c r="AB393" t="s">
        <v>158</v>
      </c>
      <c r="AD393">
        <f>0</f>
        <v>0</v>
      </c>
      <c r="AE393">
        <f>0</f>
        <v>0</v>
      </c>
      <c r="AH393" t="s">
        <v>157</v>
      </c>
      <c r="BL393" t="s">
        <v>168</v>
      </c>
      <c r="BM393" t="s">
        <v>168</v>
      </c>
      <c r="BN393" t="s">
        <v>168</v>
      </c>
      <c r="BO393" t="s">
        <v>168</v>
      </c>
      <c r="BP393" t="s">
        <v>168</v>
      </c>
      <c r="BQ393" t="s">
        <v>168</v>
      </c>
      <c r="BR393" t="s">
        <v>168</v>
      </c>
      <c r="BS393" t="s">
        <v>168</v>
      </c>
      <c r="BU393" t="s">
        <v>168</v>
      </c>
      <c r="BZ393" t="s">
        <v>216</v>
      </c>
      <c r="CA393" t="s">
        <v>216</v>
      </c>
      <c r="CB393" t="s">
        <v>168</v>
      </c>
      <c r="CC393" t="s">
        <v>168</v>
      </c>
      <c r="CD393" t="s">
        <v>216</v>
      </c>
      <c r="CF393">
        <f>0.81</f>
        <v>0.81</v>
      </c>
      <c r="CG393" t="s">
        <v>168</v>
      </c>
      <c r="CI393" t="s">
        <v>216</v>
      </c>
      <c r="CJ393" t="s">
        <v>216</v>
      </c>
      <c r="CK393" t="s">
        <v>216</v>
      </c>
      <c r="CL393" t="s">
        <v>216</v>
      </c>
      <c r="CM393" t="s">
        <v>216</v>
      </c>
      <c r="CN393" t="s">
        <v>216</v>
      </c>
      <c r="CP393" t="s">
        <v>216</v>
      </c>
      <c r="CQ393" t="s">
        <v>216</v>
      </c>
      <c r="CR393">
        <f>0.016</f>
        <v>1.6E-2</v>
      </c>
      <c r="CS393" t="s">
        <v>216</v>
      </c>
      <c r="CT393" t="s">
        <v>216</v>
      </c>
      <c r="CU393" t="s">
        <v>216</v>
      </c>
      <c r="CV393" t="s">
        <v>216</v>
      </c>
      <c r="CW393" t="s">
        <v>216</v>
      </c>
      <c r="CX393" t="s">
        <v>216</v>
      </c>
      <c r="CY393" t="s">
        <v>216</v>
      </c>
      <c r="CZ393" t="s">
        <v>216</v>
      </c>
      <c r="DA393" t="s">
        <v>168</v>
      </c>
      <c r="DB393" t="s">
        <v>216</v>
      </c>
      <c r="DC393" t="s">
        <v>216</v>
      </c>
      <c r="DD393" t="s">
        <v>216</v>
      </c>
      <c r="DE393" t="s">
        <v>168</v>
      </c>
      <c r="DF393" t="s">
        <v>168</v>
      </c>
      <c r="DG393" t="s">
        <v>216</v>
      </c>
      <c r="DH393" t="s">
        <v>216</v>
      </c>
      <c r="DI393" t="s">
        <v>216</v>
      </c>
      <c r="DJ393" t="s">
        <v>216</v>
      </c>
      <c r="DK393" t="s">
        <v>168</v>
      </c>
      <c r="DL393" t="s">
        <v>216</v>
      </c>
      <c r="DM393" t="s">
        <v>216</v>
      </c>
      <c r="DN393" t="s">
        <v>216</v>
      </c>
      <c r="DO393" t="s">
        <v>216</v>
      </c>
      <c r="DP393" t="s">
        <v>168</v>
      </c>
      <c r="DQ393" t="s">
        <v>216</v>
      </c>
      <c r="DR393" t="s">
        <v>168</v>
      </c>
      <c r="DS393" t="s">
        <v>168</v>
      </c>
      <c r="DT393" t="s">
        <v>168</v>
      </c>
      <c r="DU393" t="s">
        <v>168</v>
      </c>
      <c r="DV393" t="s">
        <v>168</v>
      </c>
      <c r="DW393" t="s">
        <v>168</v>
      </c>
      <c r="DX393" t="s">
        <v>168</v>
      </c>
      <c r="DY393" t="s">
        <v>168</v>
      </c>
      <c r="DZ393" t="s">
        <v>209</v>
      </c>
      <c r="EA393" t="s">
        <v>216</v>
      </c>
      <c r="EB393" t="s">
        <v>168</v>
      </c>
      <c r="ED393" t="s">
        <v>209</v>
      </c>
      <c r="EE393" t="s">
        <v>168</v>
      </c>
    </row>
    <row r="394" spans="1:148" x14ac:dyDescent="0.25">
      <c r="A394" t="s">
        <v>1539</v>
      </c>
      <c r="B394" t="s">
        <v>148</v>
      </c>
      <c r="C394" s="1">
        <v>45888</v>
      </c>
      <c r="D394" t="s">
        <v>222</v>
      </c>
      <c r="E394" t="s">
        <v>223</v>
      </c>
      <c r="F394" t="s">
        <v>469</v>
      </c>
      <c r="G394" t="s">
        <v>1540</v>
      </c>
      <c r="H394">
        <v>424</v>
      </c>
      <c r="I394" t="s">
        <v>1540</v>
      </c>
      <c r="J394">
        <v>306</v>
      </c>
      <c r="K394" t="s">
        <v>5257</v>
      </c>
      <c r="L394" t="s">
        <v>431</v>
      </c>
      <c r="M394" t="s">
        <v>5431</v>
      </c>
      <c r="N394" t="s">
        <v>1541</v>
      </c>
      <c r="O394" t="s">
        <v>1542</v>
      </c>
      <c r="R394">
        <f>1</f>
        <v>1</v>
      </c>
      <c r="S394">
        <f>23.3</f>
        <v>23.3</v>
      </c>
      <c r="T394">
        <f>8.1</f>
        <v>8.1</v>
      </c>
      <c r="U394">
        <f>332</f>
        <v>332</v>
      </c>
      <c r="V394" t="s">
        <v>209</v>
      </c>
      <c r="X394">
        <f>1</f>
        <v>1</v>
      </c>
      <c r="Y394">
        <f>0.16</f>
        <v>0.16</v>
      </c>
      <c r="Z394">
        <f>0</f>
        <v>0</v>
      </c>
      <c r="AA394">
        <f>0</f>
        <v>0</v>
      </c>
      <c r="AB394">
        <f>0</f>
        <v>0</v>
      </c>
      <c r="AC394">
        <f>0</f>
        <v>0</v>
      </c>
      <c r="AD394">
        <f>0</f>
        <v>0</v>
      </c>
      <c r="AE394">
        <f>0</f>
        <v>0</v>
      </c>
      <c r="AH394" t="s">
        <v>166</v>
      </c>
    </row>
    <row r="395" spans="1:148" x14ac:dyDescent="0.25">
      <c r="A395" t="s">
        <v>1543</v>
      </c>
      <c r="B395" t="s">
        <v>148</v>
      </c>
      <c r="C395" s="1">
        <v>45862</v>
      </c>
      <c r="D395" t="s">
        <v>222</v>
      </c>
      <c r="E395" t="s">
        <v>223</v>
      </c>
      <c r="F395" t="s">
        <v>469</v>
      </c>
      <c r="G395" t="s">
        <v>5146</v>
      </c>
      <c r="H395">
        <v>257</v>
      </c>
      <c r="I395" t="s">
        <v>5146</v>
      </c>
      <c r="J395">
        <v>213</v>
      </c>
      <c r="K395" t="s">
        <v>5257</v>
      </c>
      <c r="L395" t="s">
        <v>431</v>
      </c>
      <c r="M395" t="s">
        <v>5432</v>
      </c>
      <c r="N395" t="s">
        <v>4989</v>
      </c>
      <c r="O395" t="s">
        <v>1544</v>
      </c>
      <c r="R395">
        <f>1</f>
        <v>1</v>
      </c>
      <c r="S395">
        <f>22.2</f>
        <v>22.2</v>
      </c>
      <c r="T395">
        <f>8.1</f>
        <v>8.1</v>
      </c>
      <c r="U395">
        <f>289</f>
        <v>289</v>
      </c>
      <c r="V395">
        <f>0.06</f>
        <v>0.06</v>
      </c>
      <c r="X395">
        <f>1</f>
        <v>1</v>
      </c>
      <c r="Y395">
        <f>0.09</f>
        <v>0.09</v>
      </c>
      <c r="Z395">
        <f>0</f>
        <v>0</v>
      </c>
      <c r="AA395">
        <f>0</f>
        <v>0</v>
      </c>
      <c r="AB395">
        <f>0</f>
        <v>0</v>
      </c>
      <c r="AC395">
        <f>0</f>
        <v>0</v>
      </c>
      <c r="AD395">
        <f>0</f>
        <v>0</v>
      </c>
      <c r="AE395">
        <f>0</f>
        <v>0</v>
      </c>
      <c r="AH395" t="s">
        <v>166</v>
      </c>
    </row>
    <row r="396" spans="1:148" x14ac:dyDescent="0.25">
      <c r="A396" t="s">
        <v>1545</v>
      </c>
      <c r="B396" t="s">
        <v>148</v>
      </c>
      <c r="C396" s="1">
        <v>45785</v>
      </c>
      <c r="D396" t="s">
        <v>242</v>
      </c>
      <c r="E396" t="s">
        <v>243</v>
      </c>
      <c r="F396" t="s">
        <v>5284</v>
      </c>
      <c r="G396" t="s">
        <v>5957</v>
      </c>
      <c r="H396">
        <v>1537</v>
      </c>
      <c r="I396" t="s">
        <v>5957</v>
      </c>
      <c r="J396">
        <v>575</v>
      </c>
      <c r="K396" t="s">
        <v>5254</v>
      </c>
      <c r="L396" t="s">
        <v>393</v>
      </c>
      <c r="M396" t="s">
        <v>5958</v>
      </c>
      <c r="N396" t="s">
        <v>5959</v>
      </c>
      <c r="O396" t="s">
        <v>1546</v>
      </c>
      <c r="Q396" t="s">
        <v>6355</v>
      </c>
      <c r="R396">
        <f>1</f>
        <v>1</v>
      </c>
      <c r="S396">
        <f>15</f>
        <v>15</v>
      </c>
      <c r="T396">
        <f>7.5</f>
        <v>7.5</v>
      </c>
      <c r="U396">
        <f>461</f>
        <v>461</v>
      </c>
      <c r="V396">
        <f>0.19</f>
        <v>0.19</v>
      </c>
      <c r="X396">
        <f>1</f>
        <v>1</v>
      </c>
      <c r="Y396" t="s">
        <v>157</v>
      </c>
      <c r="Z396">
        <f>0</f>
        <v>0</v>
      </c>
      <c r="AA396" t="s">
        <v>158</v>
      </c>
      <c r="AB396" t="s">
        <v>158</v>
      </c>
      <c r="AD396">
        <f>0</f>
        <v>0</v>
      </c>
      <c r="AE396">
        <f>0</f>
        <v>0</v>
      </c>
      <c r="AH396" t="s">
        <v>157</v>
      </c>
      <c r="AI396" t="s">
        <v>238</v>
      </c>
      <c r="AL396" t="s">
        <v>164</v>
      </c>
      <c r="AM396" t="s">
        <v>165</v>
      </c>
      <c r="AN396">
        <f>9.3</f>
        <v>9.3000000000000007</v>
      </c>
      <c r="AO396">
        <f>0.19</f>
        <v>0.19</v>
      </c>
      <c r="AP396">
        <f>22</f>
        <v>22</v>
      </c>
      <c r="AQ396">
        <f>5</f>
        <v>5</v>
      </c>
      <c r="AR396" t="s">
        <v>157</v>
      </c>
      <c r="AS396">
        <f>3.2</f>
        <v>3.2</v>
      </c>
      <c r="AY396" t="s">
        <v>167</v>
      </c>
      <c r="AZ396" t="s">
        <v>158</v>
      </c>
      <c r="BA396" t="s">
        <v>216</v>
      </c>
      <c r="BB396" t="s">
        <v>158</v>
      </c>
      <c r="BC396" t="s">
        <v>166</v>
      </c>
      <c r="BD396" t="s">
        <v>167</v>
      </c>
      <c r="BE396">
        <f>0.006</f>
        <v>6.0000000000000001E-3</v>
      </c>
      <c r="BF396" t="s">
        <v>168</v>
      </c>
      <c r="BG396" t="s">
        <v>167</v>
      </c>
      <c r="BH396" t="s">
        <v>167</v>
      </c>
      <c r="BK396">
        <f>0.32</f>
        <v>0.32</v>
      </c>
      <c r="EL396">
        <f>0.26</f>
        <v>0.26</v>
      </c>
      <c r="EM396">
        <f>0.29</f>
        <v>0.28999999999999998</v>
      </c>
      <c r="EN396">
        <f>0.37</f>
        <v>0.37</v>
      </c>
      <c r="EO396">
        <f>0.52</f>
        <v>0.52</v>
      </c>
      <c r="ER396">
        <f>1.4</f>
        <v>1.4</v>
      </c>
    </row>
    <row r="397" spans="1:148" x14ac:dyDescent="0.25">
      <c r="A397" t="s">
        <v>1547</v>
      </c>
      <c r="B397" t="s">
        <v>148</v>
      </c>
      <c r="C397" s="1">
        <v>45803</v>
      </c>
      <c r="D397" t="s">
        <v>311</v>
      </c>
      <c r="E397" t="s">
        <v>312</v>
      </c>
      <c r="F397" t="s">
        <v>349</v>
      </c>
      <c r="G397" t="s">
        <v>5960</v>
      </c>
      <c r="H397">
        <v>851</v>
      </c>
      <c r="I397" t="s">
        <v>5961</v>
      </c>
      <c r="J397">
        <v>458</v>
      </c>
      <c r="K397" t="s">
        <v>5257</v>
      </c>
      <c r="L397" t="s">
        <v>431</v>
      </c>
      <c r="M397" t="s">
        <v>1548</v>
      </c>
      <c r="N397" t="s">
        <v>5962</v>
      </c>
      <c r="O397" t="s">
        <v>1549</v>
      </c>
      <c r="R397">
        <f>1</f>
        <v>1</v>
      </c>
      <c r="S397">
        <f>12.9</f>
        <v>12.9</v>
      </c>
      <c r="T397">
        <f>7.5</f>
        <v>7.5</v>
      </c>
      <c r="U397">
        <f>67</f>
        <v>67</v>
      </c>
      <c r="X397">
        <f>0</f>
        <v>0</v>
      </c>
      <c r="Y397">
        <f>0.1</f>
        <v>0.1</v>
      </c>
      <c r="Z397">
        <f>0</f>
        <v>0</v>
      </c>
      <c r="AA397" t="s">
        <v>158</v>
      </c>
      <c r="AB397" t="s">
        <v>158</v>
      </c>
      <c r="AC397">
        <f>0</f>
        <v>0</v>
      </c>
      <c r="AD397">
        <f>0</f>
        <v>0</v>
      </c>
      <c r="AE397">
        <f>0</f>
        <v>0</v>
      </c>
      <c r="AH397" t="s">
        <v>157</v>
      </c>
    </row>
    <row r="398" spans="1:148" x14ac:dyDescent="0.25">
      <c r="A398" t="s">
        <v>1550</v>
      </c>
      <c r="B398" t="s">
        <v>148</v>
      </c>
      <c r="C398" s="1">
        <v>45800</v>
      </c>
      <c r="D398" t="s">
        <v>317</v>
      </c>
      <c r="E398" t="s">
        <v>318</v>
      </c>
      <c r="F398" t="s">
        <v>1551</v>
      </c>
      <c r="G398" t="s">
        <v>1552</v>
      </c>
      <c r="H398">
        <v>632</v>
      </c>
      <c r="I398" t="s">
        <v>1552</v>
      </c>
      <c r="J398">
        <v>700</v>
      </c>
      <c r="K398" t="s">
        <v>5254</v>
      </c>
      <c r="L398" t="s">
        <v>180</v>
      </c>
      <c r="M398" t="s">
        <v>5433</v>
      </c>
      <c r="N398" t="s">
        <v>1553</v>
      </c>
      <c r="O398" t="s">
        <v>1554</v>
      </c>
      <c r="Q398" t="s">
        <v>329</v>
      </c>
      <c r="R398">
        <f>1</f>
        <v>1</v>
      </c>
      <c r="S398">
        <f>13.3</f>
        <v>13.3</v>
      </c>
      <c r="T398">
        <f>8.1</f>
        <v>8.1</v>
      </c>
      <c r="U398">
        <f>94</f>
        <v>94</v>
      </c>
      <c r="X398">
        <f>0</f>
        <v>0</v>
      </c>
      <c r="Y398" t="s">
        <v>157</v>
      </c>
      <c r="Z398">
        <f>0</f>
        <v>0</v>
      </c>
      <c r="AA398">
        <f>0</f>
        <v>0</v>
      </c>
      <c r="AB398">
        <f>0</f>
        <v>0</v>
      </c>
      <c r="AD398">
        <f>0</f>
        <v>0</v>
      </c>
      <c r="AE398">
        <f>0</f>
        <v>0</v>
      </c>
      <c r="AH398" t="s">
        <v>157</v>
      </c>
      <c r="AI398" t="s">
        <v>167</v>
      </c>
      <c r="AL398" t="s">
        <v>168</v>
      </c>
      <c r="AM398" t="s">
        <v>216</v>
      </c>
      <c r="AN398">
        <f>2.1</f>
        <v>2.1</v>
      </c>
      <c r="AO398">
        <f>0.042</f>
        <v>4.2000000000000003E-2</v>
      </c>
      <c r="AP398">
        <f>4.9</f>
        <v>4.9000000000000004</v>
      </c>
      <c r="AQ398" t="s">
        <v>167</v>
      </c>
      <c r="AR398" t="s">
        <v>167</v>
      </c>
      <c r="AS398">
        <f>2.6</f>
        <v>2.6</v>
      </c>
      <c r="AY398" t="s">
        <v>158</v>
      </c>
      <c r="AZ398" t="s">
        <v>158</v>
      </c>
      <c r="BA398" t="s">
        <v>216</v>
      </c>
      <c r="BB398" t="s">
        <v>158</v>
      </c>
      <c r="BC398" t="s">
        <v>167</v>
      </c>
      <c r="BD398" t="s">
        <v>167</v>
      </c>
      <c r="BE398" t="s">
        <v>216</v>
      </c>
      <c r="BF398" t="s">
        <v>167</v>
      </c>
      <c r="BG398" t="s">
        <v>158</v>
      </c>
      <c r="BH398" t="s">
        <v>167</v>
      </c>
      <c r="BI398" t="s">
        <v>167</v>
      </c>
      <c r="BK398" t="s">
        <v>158</v>
      </c>
    </row>
    <row r="399" spans="1:148" x14ac:dyDescent="0.25">
      <c r="A399" t="s">
        <v>1555</v>
      </c>
      <c r="B399" t="s">
        <v>148</v>
      </c>
      <c r="C399" s="1">
        <v>45784</v>
      </c>
      <c r="D399" t="s">
        <v>269</v>
      </c>
      <c r="E399" t="s">
        <v>295</v>
      </c>
      <c r="F399" t="s">
        <v>331</v>
      </c>
      <c r="G399" t="s">
        <v>1556</v>
      </c>
      <c r="H399">
        <v>305</v>
      </c>
      <c r="I399" t="s">
        <v>1556</v>
      </c>
      <c r="J399">
        <v>1959</v>
      </c>
      <c r="K399" t="s">
        <v>5254</v>
      </c>
      <c r="L399" t="s">
        <v>431</v>
      </c>
      <c r="M399" t="s">
        <v>5963</v>
      </c>
      <c r="N399" t="s">
        <v>1557</v>
      </c>
      <c r="O399" t="s">
        <v>1558</v>
      </c>
      <c r="R399">
        <f>1</f>
        <v>1</v>
      </c>
      <c r="S399">
        <f>14.4</f>
        <v>14.4</v>
      </c>
      <c r="T399">
        <f>7.6</f>
        <v>7.6</v>
      </c>
      <c r="U399">
        <f>511</f>
        <v>511</v>
      </c>
      <c r="X399">
        <f>0</f>
        <v>0</v>
      </c>
      <c r="Y399">
        <f>0.45</f>
        <v>0.45</v>
      </c>
      <c r="Z399">
        <f>0</f>
        <v>0</v>
      </c>
      <c r="AA399" t="s">
        <v>158</v>
      </c>
      <c r="AB399" t="s">
        <v>158</v>
      </c>
      <c r="AD399">
        <f>0</f>
        <v>0</v>
      </c>
      <c r="AE399">
        <f>0</f>
        <v>0</v>
      </c>
      <c r="AH399" t="s">
        <v>166</v>
      </c>
      <c r="AI399" t="s">
        <v>300</v>
      </c>
      <c r="AL399" t="s">
        <v>216</v>
      </c>
      <c r="AM399" t="s">
        <v>266</v>
      </c>
      <c r="AN399">
        <f>4.77</f>
        <v>4.7699999999999996</v>
      </c>
      <c r="AO399">
        <f>0.095</f>
        <v>9.5000000000000001E-2</v>
      </c>
      <c r="AP399">
        <f>5.02</f>
        <v>5.0199999999999996</v>
      </c>
      <c r="AQ399">
        <f>3.06</f>
        <v>3.06</v>
      </c>
      <c r="AR399">
        <f>0.079</f>
        <v>7.9000000000000001E-2</v>
      </c>
      <c r="AS399">
        <f>2.4</f>
        <v>2.4</v>
      </c>
      <c r="AY399" t="s">
        <v>157</v>
      </c>
      <c r="AZ399" t="s">
        <v>208</v>
      </c>
      <c r="BA399">
        <f>0.0055</f>
        <v>5.4999999999999997E-3</v>
      </c>
      <c r="BB399" t="s">
        <v>1417</v>
      </c>
      <c r="BC399" t="s">
        <v>209</v>
      </c>
      <c r="BD399">
        <f>0.19</f>
        <v>0.19</v>
      </c>
      <c r="BE399">
        <f>0.0033</f>
        <v>3.3E-3</v>
      </c>
      <c r="BF399" t="s">
        <v>168</v>
      </c>
      <c r="BG399" t="s">
        <v>237</v>
      </c>
      <c r="BH399">
        <f>0.13</f>
        <v>0.13</v>
      </c>
      <c r="BK399">
        <f>0.37</f>
        <v>0.37</v>
      </c>
      <c r="EL399" t="s">
        <v>237</v>
      </c>
      <c r="EM399" t="s">
        <v>238</v>
      </c>
      <c r="EN399" t="s">
        <v>300</v>
      </c>
      <c r="EO399" t="s">
        <v>300</v>
      </c>
      <c r="ER399" t="s">
        <v>238</v>
      </c>
    </row>
    <row r="400" spans="1:148" x14ac:dyDescent="0.25">
      <c r="A400" t="s">
        <v>1559</v>
      </c>
      <c r="B400" t="s">
        <v>148</v>
      </c>
      <c r="C400" s="1">
        <v>45719</v>
      </c>
      <c r="D400" t="s">
        <v>618</v>
      </c>
      <c r="E400" t="s">
        <v>619</v>
      </c>
      <c r="F400" t="s">
        <v>730</v>
      </c>
      <c r="G400" t="s">
        <v>1560</v>
      </c>
      <c r="H400">
        <v>50</v>
      </c>
      <c r="I400" t="s">
        <v>5964</v>
      </c>
      <c r="J400">
        <v>700</v>
      </c>
      <c r="K400" t="s">
        <v>5257</v>
      </c>
      <c r="L400" t="s">
        <v>393</v>
      </c>
      <c r="M400" t="s">
        <v>1561</v>
      </c>
      <c r="N400" t="s">
        <v>5965</v>
      </c>
      <c r="O400" t="s">
        <v>1562</v>
      </c>
      <c r="R400">
        <f>1</f>
        <v>1</v>
      </c>
      <c r="S400">
        <f>6.5</f>
        <v>6.5</v>
      </c>
      <c r="T400">
        <f>7.7</f>
        <v>7.7</v>
      </c>
      <c r="U400">
        <f>354</f>
        <v>354</v>
      </c>
      <c r="V400">
        <f>0.11</f>
        <v>0.11</v>
      </c>
      <c r="X400">
        <f>0</f>
        <v>0</v>
      </c>
      <c r="Y400">
        <f>0.1</f>
        <v>0.1</v>
      </c>
      <c r="Z400">
        <f>0</f>
        <v>0</v>
      </c>
      <c r="AA400" t="s">
        <v>158</v>
      </c>
      <c r="AB400" t="s">
        <v>158</v>
      </c>
      <c r="AC400">
        <f>0</f>
        <v>0</v>
      </c>
      <c r="AD400">
        <f>0</f>
        <v>0</v>
      </c>
      <c r="AE400">
        <f>0</f>
        <v>0</v>
      </c>
      <c r="AH400" t="s">
        <v>157</v>
      </c>
    </row>
    <row r="401" spans="1:148" x14ac:dyDescent="0.25">
      <c r="A401" t="s">
        <v>1563</v>
      </c>
      <c r="B401" t="s">
        <v>148</v>
      </c>
      <c r="C401" s="1">
        <v>45847</v>
      </c>
      <c r="D401" t="s">
        <v>222</v>
      </c>
      <c r="E401" t="s">
        <v>223</v>
      </c>
      <c r="F401" t="s">
        <v>429</v>
      </c>
      <c r="G401" t="s">
        <v>1564</v>
      </c>
      <c r="H401">
        <v>1275</v>
      </c>
      <c r="I401" t="s">
        <v>1564</v>
      </c>
      <c r="J401">
        <v>379</v>
      </c>
      <c r="K401" t="s">
        <v>5254</v>
      </c>
      <c r="L401" t="s">
        <v>4963</v>
      </c>
      <c r="M401" t="s">
        <v>5966</v>
      </c>
      <c r="N401" t="s">
        <v>1565</v>
      </c>
      <c r="O401" t="s">
        <v>1566</v>
      </c>
      <c r="Q401" t="s">
        <v>6332</v>
      </c>
      <c r="R401">
        <f>1</f>
        <v>1</v>
      </c>
      <c r="S401">
        <f>18.7</f>
        <v>18.7</v>
      </c>
      <c r="T401">
        <f>7.6</f>
        <v>7.6</v>
      </c>
      <c r="U401">
        <f>354</f>
        <v>354</v>
      </c>
      <c r="X401">
        <f>0</f>
        <v>0</v>
      </c>
      <c r="Y401">
        <f>0</f>
        <v>0</v>
      </c>
      <c r="Z401">
        <f>0</f>
        <v>0</v>
      </c>
      <c r="AA401">
        <f>0</f>
        <v>0</v>
      </c>
      <c r="AB401">
        <f>6</f>
        <v>6</v>
      </c>
      <c r="AD401">
        <f>0</f>
        <v>0</v>
      </c>
      <c r="AE401">
        <f>0</f>
        <v>0</v>
      </c>
      <c r="AH401" t="s">
        <v>166</v>
      </c>
    </row>
    <row r="402" spans="1:148" x14ac:dyDescent="0.25">
      <c r="A402" t="s">
        <v>1567</v>
      </c>
      <c r="B402" t="s">
        <v>148</v>
      </c>
      <c r="C402" s="1">
        <v>45729</v>
      </c>
      <c r="D402" t="s">
        <v>189</v>
      </c>
      <c r="E402" t="s">
        <v>284</v>
      </c>
      <c r="F402" t="s">
        <v>5849</v>
      </c>
      <c r="G402" t="s">
        <v>1568</v>
      </c>
      <c r="H402">
        <v>1604</v>
      </c>
      <c r="I402" t="s">
        <v>1568</v>
      </c>
      <c r="J402">
        <v>350</v>
      </c>
      <c r="K402" t="s">
        <v>5257</v>
      </c>
      <c r="L402" t="s">
        <v>154</v>
      </c>
      <c r="M402" t="s">
        <v>5434</v>
      </c>
      <c r="N402" t="s">
        <v>1569</v>
      </c>
      <c r="O402" t="s">
        <v>1570</v>
      </c>
      <c r="R402">
        <f>1</f>
        <v>1</v>
      </c>
      <c r="S402">
        <f>10.1</f>
        <v>10.1</v>
      </c>
      <c r="T402">
        <f>8.1</f>
        <v>8.1</v>
      </c>
      <c r="U402">
        <f>356</f>
        <v>356</v>
      </c>
      <c r="V402">
        <f>0.09</f>
        <v>0.09</v>
      </c>
      <c r="X402">
        <f>0</f>
        <v>0</v>
      </c>
      <c r="Y402">
        <f>0.12</f>
        <v>0.12</v>
      </c>
      <c r="Z402">
        <f>0</f>
        <v>0</v>
      </c>
      <c r="AA402">
        <f>2</f>
        <v>2</v>
      </c>
      <c r="AB402">
        <f>0</f>
        <v>0</v>
      </c>
      <c r="AC402">
        <f>0</f>
        <v>0</v>
      </c>
      <c r="AD402">
        <f>0</f>
        <v>0</v>
      </c>
      <c r="AE402">
        <f>0</f>
        <v>0</v>
      </c>
      <c r="AH402" t="s">
        <v>157</v>
      </c>
    </row>
    <row r="403" spans="1:148" x14ac:dyDescent="0.25">
      <c r="A403" t="s">
        <v>1571</v>
      </c>
      <c r="B403" t="s">
        <v>148</v>
      </c>
      <c r="C403" s="1">
        <v>45727</v>
      </c>
      <c r="D403" t="s">
        <v>269</v>
      </c>
      <c r="E403" t="s">
        <v>270</v>
      </c>
      <c r="F403" t="s">
        <v>271</v>
      </c>
      <c r="G403" t="s">
        <v>5967</v>
      </c>
      <c r="H403">
        <v>187</v>
      </c>
      <c r="I403" t="s">
        <v>5968</v>
      </c>
      <c r="J403">
        <v>2014</v>
      </c>
      <c r="K403" t="s">
        <v>5257</v>
      </c>
      <c r="L403" t="s">
        <v>154</v>
      </c>
      <c r="M403" t="s">
        <v>1572</v>
      </c>
      <c r="N403" t="s">
        <v>5969</v>
      </c>
      <c r="O403" t="s">
        <v>1573</v>
      </c>
      <c r="R403">
        <f>1</f>
        <v>1</v>
      </c>
      <c r="S403">
        <f>11.2</f>
        <v>11.2</v>
      </c>
      <c r="T403">
        <f>7.6</f>
        <v>7.6</v>
      </c>
      <c r="U403">
        <f>502</f>
        <v>502</v>
      </c>
      <c r="V403">
        <f>0.12</f>
        <v>0.12</v>
      </c>
      <c r="X403">
        <f>0</f>
        <v>0</v>
      </c>
      <c r="Y403">
        <f>0.22</f>
        <v>0.22</v>
      </c>
      <c r="Z403">
        <f>0</f>
        <v>0</v>
      </c>
      <c r="AA403" t="s">
        <v>158</v>
      </c>
      <c r="AB403" t="s">
        <v>158</v>
      </c>
      <c r="AC403">
        <f>0</f>
        <v>0</v>
      </c>
      <c r="AD403">
        <f>0</f>
        <v>0</v>
      </c>
      <c r="AE403">
        <f>0</f>
        <v>0</v>
      </c>
    </row>
    <row r="404" spans="1:148" x14ac:dyDescent="0.25">
      <c r="A404" t="s">
        <v>1574</v>
      </c>
      <c r="B404" t="s">
        <v>148</v>
      </c>
      <c r="C404" s="1">
        <v>45723</v>
      </c>
      <c r="D404" t="s">
        <v>269</v>
      </c>
      <c r="E404" t="s">
        <v>270</v>
      </c>
      <c r="F404" t="s">
        <v>754</v>
      </c>
      <c r="G404" t="s">
        <v>1575</v>
      </c>
      <c r="H404">
        <v>227</v>
      </c>
      <c r="I404" t="s">
        <v>1576</v>
      </c>
      <c r="J404">
        <v>1865</v>
      </c>
      <c r="K404" t="s">
        <v>5254</v>
      </c>
      <c r="L404" t="s">
        <v>431</v>
      </c>
      <c r="M404" t="s">
        <v>1577</v>
      </c>
      <c r="N404" t="s">
        <v>4772</v>
      </c>
      <c r="O404" t="s">
        <v>1578</v>
      </c>
      <c r="R404">
        <f>1</f>
        <v>1</v>
      </c>
      <c r="S404">
        <f>10.9</f>
        <v>10.9</v>
      </c>
      <c r="T404">
        <f>7.7</f>
        <v>7.7</v>
      </c>
      <c r="U404">
        <f>563</f>
        <v>563</v>
      </c>
      <c r="V404">
        <f>0.15</f>
        <v>0.15</v>
      </c>
      <c r="X404">
        <f>0</f>
        <v>0</v>
      </c>
      <c r="Y404" t="s">
        <v>207</v>
      </c>
      <c r="Z404">
        <f>0</f>
        <v>0</v>
      </c>
      <c r="AA404" t="s">
        <v>158</v>
      </c>
      <c r="AB404" t="s">
        <v>158</v>
      </c>
      <c r="AD404">
        <f>0</f>
        <v>0</v>
      </c>
      <c r="AE404">
        <f>0</f>
        <v>0</v>
      </c>
    </row>
    <row r="405" spans="1:148" x14ac:dyDescent="0.25">
      <c r="A405" t="s">
        <v>1579</v>
      </c>
      <c r="B405" t="s">
        <v>148</v>
      </c>
      <c r="C405" s="1">
        <v>45813</v>
      </c>
      <c r="D405" t="s">
        <v>149</v>
      </c>
      <c r="E405" t="s">
        <v>150</v>
      </c>
      <c r="F405" t="s">
        <v>1580</v>
      </c>
      <c r="G405" t="s">
        <v>1581</v>
      </c>
      <c r="H405">
        <v>1606</v>
      </c>
      <c r="I405" t="s">
        <v>1582</v>
      </c>
      <c r="J405">
        <v>580</v>
      </c>
      <c r="K405" t="s">
        <v>5254</v>
      </c>
      <c r="M405" t="s">
        <v>1582</v>
      </c>
      <c r="N405" t="s">
        <v>1583</v>
      </c>
      <c r="O405" t="s">
        <v>1584</v>
      </c>
      <c r="R405">
        <f>1</f>
        <v>1</v>
      </c>
      <c r="S405">
        <f>16.7</f>
        <v>16.7</v>
      </c>
      <c r="T405">
        <f>7.5</f>
        <v>7.5</v>
      </c>
      <c r="U405">
        <f>408</f>
        <v>408</v>
      </c>
      <c r="X405">
        <f>0</f>
        <v>0</v>
      </c>
      <c r="Y405">
        <f>0.1</f>
        <v>0.1</v>
      </c>
      <c r="Z405">
        <f>0</f>
        <v>0</v>
      </c>
      <c r="AA405" t="s">
        <v>158</v>
      </c>
      <c r="AB405" t="s">
        <v>158</v>
      </c>
      <c r="AD405">
        <f>0</f>
        <v>0</v>
      </c>
      <c r="AE405">
        <f>0</f>
        <v>0</v>
      </c>
      <c r="AH405" t="s">
        <v>157</v>
      </c>
      <c r="BI405" t="s">
        <v>836</v>
      </c>
    </row>
    <row r="406" spans="1:148" x14ac:dyDescent="0.25">
      <c r="A406" t="s">
        <v>1585</v>
      </c>
      <c r="B406" t="s">
        <v>148</v>
      </c>
      <c r="C406" s="1">
        <v>45720</v>
      </c>
      <c r="D406" t="s">
        <v>242</v>
      </c>
      <c r="E406" t="s">
        <v>243</v>
      </c>
      <c r="F406" t="s">
        <v>244</v>
      </c>
      <c r="G406" t="s">
        <v>245</v>
      </c>
      <c r="H406">
        <v>156</v>
      </c>
      <c r="I406" t="s">
        <v>5435</v>
      </c>
      <c r="J406">
        <v>456</v>
      </c>
      <c r="K406" t="s">
        <v>5257</v>
      </c>
      <c r="L406" t="s">
        <v>1586</v>
      </c>
      <c r="M406" t="s">
        <v>5436</v>
      </c>
      <c r="N406" t="s">
        <v>5970</v>
      </c>
      <c r="O406" t="s">
        <v>1587</v>
      </c>
      <c r="R406">
        <f>1</f>
        <v>1</v>
      </c>
      <c r="S406">
        <f>7.9</f>
        <v>7.9</v>
      </c>
      <c r="T406">
        <f>8.2</f>
        <v>8.1999999999999993</v>
      </c>
      <c r="U406">
        <f>397</f>
        <v>397</v>
      </c>
      <c r="V406">
        <f>0.22</f>
        <v>0.22</v>
      </c>
      <c r="X406">
        <f>0</f>
        <v>0</v>
      </c>
      <c r="Y406" t="s">
        <v>157</v>
      </c>
      <c r="Z406">
        <f>0</f>
        <v>0</v>
      </c>
      <c r="AA406" t="s">
        <v>158</v>
      </c>
      <c r="AB406">
        <f>17</f>
        <v>17</v>
      </c>
      <c r="AC406">
        <f>0</f>
        <v>0</v>
      </c>
      <c r="AD406">
        <f>0</f>
        <v>0</v>
      </c>
      <c r="AE406">
        <f>0</f>
        <v>0</v>
      </c>
      <c r="AH406" t="s">
        <v>157</v>
      </c>
      <c r="BB406" t="s">
        <v>158</v>
      </c>
    </row>
    <row r="407" spans="1:148" x14ac:dyDescent="0.25">
      <c r="A407" t="s">
        <v>1588</v>
      </c>
      <c r="B407" t="s">
        <v>268</v>
      </c>
      <c r="C407" s="1">
        <v>45722</v>
      </c>
      <c r="D407" t="s">
        <v>311</v>
      </c>
      <c r="E407" t="s">
        <v>312</v>
      </c>
      <c r="F407" t="s">
        <v>5147</v>
      </c>
      <c r="G407" t="s">
        <v>1589</v>
      </c>
      <c r="H407">
        <v>1198</v>
      </c>
      <c r="I407" t="s">
        <v>1589</v>
      </c>
      <c r="J407">
        <v>481</v>
      </c>
      <c r="K407" t="s">
        <v>5254</v>
      </c>
      <c r="L407" t="s">
        <v>180</v>
      </c>
      <c r="M407" t="s">
        <v>4990</v>
      </c>
      <c r="N407" t="s">
        <v>4991</v>
      </c>
      <c r="O407" t="s">
        <v>1590</v>
      </c>
      <c r="R407">
        <f>1</f>
        <v>1</v>
      </c>
      <c r="S407">
        <f>7.3</f>
        <v>7.3</v>
      </c>
      <c r="T407">
        <f>7</f>
        <v>7</v>
      </c>
      <c r="U407">
        <f>148</f>
        <v>148</v>
      </c>
      <c r="X407">
        <f>0</f>
        <v>0</v>
      </c>
      <c r="Y407" t="s">
        <v>157</v>
      </c>
      <c r="Z407">
        <f>1</f>
        <v>1</v>
      </c>
      <c r="AA407">
        <f>22</f>
        <v>22</v>
      </c>
      <c r="AB407" t="s">
        <v>158</v>
      </c>
      <c r="AD407">
        <f>0</f>
        <v>0</v>
      </c>
      <c r="AE407">
        <f>46</f>
        <v>46</v>
      </c>
      <c r="AH407" t="s">
        <v>157</v>
      </c>
      <c r="BI407">
        <f>0.25</f>
        <v>0.25</v>
      </c>
    </row>
    <row r="408" spans="1:148" x14ac:dyDescent="0.25">
      <c r="A408" t="s">
        <v>1591</v>
      </c>
      <c r="B408" t="s">
        <v>148</v>
      </c>
      <c r="C408" s="1">
        <v>45715</v>
      </c>
      <c r="D408" t="s">
        <v>317</v>
      </c>
      <c r="E408" t="s">
        <v>318</v>
      </c>
      <c r="F408" t="s">
        <v>6564</v>
      </c>
      <c r="G408" t="s">
        <v>6642</v>
      </c>
      <c r="H408">
        <v>1620</v>
      </c>
      <c r="I408" t="s">
        <v>6643</v>
      </c>
      <c r="J408">
        <v>410</v>
      </c>
      <c r="K408" t="s">
        <v>5254</v>
      </c>
      <c r="L408" t="s">
        <v>4966</v>
      </c>
      <c r="M408" t="s">
        <v>6644</v>
      </c>
      <c r="N408" t="s">
        <v>6645</v>
      </c>
      <c r="O408" t="s">
        <v>1592</v>
      </c>
      <c r="Q408" t="s">
        <v>6340</v>
      </c>
      <c r="R408">
        <f>1</f>
        <v>1</v>
      </c>
      <c r="S408">
        <f>6.7</f>
        <v>6.7</v>
      </c>
      <c r="T408">
        <f>7.8</f>
        <v>7.8</v>
      </c>
      <c r="U408">
        <f>283</f>
        <v>283</v>
      </c>
      <c r="X408">
        <f>0</f>
        <v>0</v>
      </c>
      <c r="Y408" t="s">
        <v>157</v>
      </c>
      <c r="Z408">
        <f>0</f>
        <v>0</v>
      </c>
      <c r="AA408">
        <f>1</f>
        <v>1</v>
      </c>
      <c r="AB408">
        <f>0</f>
        <v>0</v>
      </c>
      <c r="AD408">
        <f>0</f>
        <v>0</v>
      </c>
      <c r="AE408">
        <f>0</f>
        <v>0</v>
      </c>
      <c r="AH408" t="s">
        <v>157</v>
      </c>
    </row>
    <row r="409" spans="1:148" x14ac:dyDescent="0.25">
      <c r="A409" t="s">
        <v>1593</v>
      </c>
      <c r="B409" t="s">
        <v>148</v>
      </c>
      <c r="C409" s="1">
        <v>45804</v>
      </c>
      <c r="D409" t="s">
        <v>149</v>
      </c>
      <c r="E409" t="s">
        <v>150</v>
      </c>
      <c r="F409" t="s">
        <v>625</v>
      </c>
      <c r="G409" t="s">
        <v>626</v>
      </c>
      <c r="H409">
        <v>32</v>
      </c>
      <c r="I409" t="s">
        <v>6595</v>
      </c>
      <c r="J409">
        <v>3240</v>
      </c>
      <c r="K409" t="s">
        <v>5254</v>
      </c>
      <c r="L409" t="s">
        <v>431</v>
      </c>
      <c r="M409" t="s">
        <v>5437</v>
      </c>
      <c r="N409" t="s">
        <v>5971</v>
      </c>
      <c r="O409" t="s">
        <v>1594</v>
      </c>
      <c r="R409">
        <f>1</f>
        <v>1</v>
      </c>
      <c r="S409">
        <f>17.8</f>
        <v>17.8</v>
      </c>
      <c r="T409">
        <f>6.6</f>
        <v>6.6</v>
      </c>
      <c r="U409">
        <f>340</f>
        <v>340</v>
      </c>
      <c r="X409">
        <f>0</f>
        <v>0</v>
      </c>
      <c r="Y409">
        <f>0.1</f>
        <v>0.1</v>
      </c>
      <c r="Z409">
        <f>0</f>
        <v>0</v>
      </c>
      <c r="AA409" t="s">
        <v>158</v>
      </c>
      <c r="AB409" t="s">
        <v>158</v>
      </c>
      <c r="AD409">
        <f>0</f>
        <v>0</v>
      </c>
      <c r="AE409">
        <f>0</f>
        <v>0</v>
      </c>
      <c r="AH409" t="s">
        <v>157</v>
      </c>
      <c r="AI409">
        <f>0.5</f>
        <v>0.5</v>
      </c>
      <c r="AL409" t="s">
        <v>164</v>
      </c>
      <c r="AM409" t="s">
        <v>165</v>
      </c>
      <c r="AN409">
        <f>32</f>
        <v>32</v>
      </c>
      <c r="AO409">
        <f>0.64</f>
        <v>0.64</v>
      </c>
      <c r="AP409">
        <f>27</f>
        <v>27</v>
      </c>
      <c r="AQ409">
        <f>28</f>
        <v>28</v>
      </c>
      <c r="AR409" t="s">
        <v>157</v>
      </c>
      <c r="AS409">
        <f>14</f>
        <v>14</v>
      </c>
      <c r="AY409">
        <f>1.5</f>
        <v>1.5</v>
      </c>
      <c r="AZ409" t="s">
        <v>158</v>
      </c>
      <c r="BA409">
        <f>0.018</f>
        <v>1.7999999999999999E-2</v>
      </c>
      <c r="BB409" t="s">
        <v>158</v>
      </c>
      <c r="BC409" t="s">
        <v>166</v>
      </c>
      <c r="BD409" t="s">
        <v>167</v>
      </c>
      <c r="BE409">
        <f>0.002</f>
        <v>2E-3</v>
      </c>
      <c r="BF409" t="s">
        <v>168</v>
      </c>
      <c r="BG409" t="s">
        <v>167</v>
      </c>
      <c r="BH409" t="s">
        <v>167</v>
      </c>
      <c r="BK409">
        <f>0.053</f>
        <v>5.2999999999999999E-2</v>
      </c>
      <c r="EL409">
        <f>0.17</f>
        <v>0.17</v>
      </c>
      <c r="EM409">
        <f>0.6</f>
        <v>0.6</v>
      </c>
      <c r="EN409">
        <f>0.28</f>
        <v>0.28000000000000003</v>
      </c>
      <c r="EO409">
        <f>0.57</f>
        <v>0.56999999999999995</v>
      </c>
      <c r="ER409">
        <f>1.6</f>
        <v>1.6</v>
      </c>
    </row>
    <row r="410" spans="1:148" x14ac:dyDescent="0.25">
      <c r="A410" t="s">
        <v>1595</v>
      </c>
      <c r="B410" t="s">
        <v>148</v>
      </c>
      <c r="C410" s="1">
        <v>45716</v>
      </c>
      <c r="D410" t="s">
        <v>175</v>
      </c>
      <c r="E410" t="s">
        <v>176</v>
      </c>
      <c r="F410" t="s">
        <v>370</v>
      </c>
      <c r="G410" t="s">
        <v>5792</v>
      </c>
      <c r="H410">
        <v>334</v>
      </c>
      <c r="I410" t="s">
        <v>5793</v>
      </c>
      <c r="J410">
        <v>36614</v>
      </c>
      <c r="K410" t="s">
        <v>5254</v>
      </c>
      <c r="L410" t="s">
        <v>4697</v>
      </c>
      <c r="M410" t="s">
        <v>6646</v>
      </c>
      <c r="N410" t="s">
        <v>5438</v>
      </c>
      <c r="O410" t="s">
        <v>1596</v>
      </c>
      <c r="Q410" t="s">
        <v>329</v>
      </c>
      <c r="R410">
        <f>1</f>
        <v>1</v>
      </c>
      <c r="S410">
        <f>8.6</f>
        <v>8.6</v>
      </c>
      <c r="T410">
        <f>7.5</f>
        <v>7.5</v>
      </c>
      <c r="U410">
        <f>494</f>
        <v>494</v>
      </c>
      <c r="X410">
        <f>0</f>
        <v>0</v>
      </c>
      <c r="Y410" t="s">
        <v>157</v>
      </c>
      <c r="Z410">
        <f>0</f>
        <v>0</v>
      </c>
      <c r="AA410">
        <f>2</f>
        <v>2</v>
      </c>
      <c r="AB410">
        <f>1</f>
        <v>1</v>
      </c>
      <c r="AD410">
        <f>0</f>
        <v>0</v>
      </c>
      <c r="AE410">
        <f>0</f>
        <v>0</v>
      </c>
      <c r="AH410" t="s">
        <v>157</v>
      </c>
      <c r="AI410" t="s">
        <v>167</v>
      </c>
      <c r="AL410" t="s">
        <v>168</v>
      </c>
      <c r="AM410" t="s">
        <v>216</v>
      </c>
      <c r="AN410">
        <f>19</f>
        <v>19</v>
      </c>
      <c r="AO410">
        <f>0.38</f>
        <v>0.38</v>
      </c>
      <c r="AP410">
        <f>7.7</f>
        <v>7.7</v>
      </c>
      <c r="AQ410">
        <f>8.5</f>
        <v>8.5</v>
      </c>
      <c r="AR410" t="s">
        <v>167</v>
      </c>
      <c r="AS410">
        <f>4.3</f>
        <v>4.3</v>
      </c>
      <c r="AY410" t="s">
        <v>158</v>
      </c>
      <c r="AZ410" t="s">
        <v>158</v>
      </c>
      <c r="BA410">
        <f>0.015</f>
        <v>1.4999999999999999E-2</v>
      </c>
      <c r="BB410" t="s">
        <v>158</v>
      </c>
      <c r="BC410" t="s">
        <v>167</v>
      </c>
      <c r="BD410" t="s">
        <v>167</v>
      </c>
      <c r="BE410" t="s">
        <v>216</v>
      </c>
      <c r="BF410" t="s">
        <v>167</v>
      </c>
      <c r="BG410" t="s">
        <v>158</v>
      </c>
      <c r="BH410" t="s">
        <v>167</v>
      </c>
      <c r="BK410" t="s">
        <v>158</v>
      </c>
    </row>
    <row r="411" spans="1:148" x14ac:dyDescent="0.25">
      <c r="A411" t="s">
        <v>1597</v>
      </c>
      <c r="B411" t="s">
        <v>148</v>
      </c>
      <c r="C411" s="1">
        <v>45720</v>
      </c>
      <c r="D411" t="s">
        <v>175</v>
      </c>
      <c r="E411" t="s">
        <v>176</v>
      </c>
      <c r="F411" t="s">
        <v>4773</v>
      </c>
      <c r="G411" t="s">
        <v>1598</v>
      </c>
      <c r="H411">
        <v>1506</v>
      </c>
      <c r="I411" t="s">
        <v>1598</v>
      </c>
      <c r="J411">
        <v>4640</v>
      </c>
      <c r="K411" t="s">
        <v>5254</v>
      </c>
      <c r="L411" t="s">
        <v>4992</v>
      </c>
      <c r="M411" t="s">
        <v>5972</v>
      </c>
      <c r="N411" t="s">
        <v>5439</v>
      </c>
      <c r="O411" t="s">
        <v>1599</v>
      </c>
      <c r="R411">
        <f>1</f>
        <v>1</v>
      </c>
      <c r="S411">
        <f>9.3</f>
        <v>9.3000000000000007</v>
      </c>
      <c r="T411">
        <f>7.3</f>
        <v>7.3</v>
      </c>
      <c r="U411">
        <f>549</f>
        <v>549</v>
      </c>
      <c r="W411">
        <f>0.15</f>
        <v>0.15</v>
      </c>
      <c r="X411">
        <f>0</f>
        <v>0</v>
      </c>
      <c r="Y411" t="s">
        <v>157</v>
      </c>
      <c r="Z411">
        <f>0</f>
        <v>0</v>
      </c>
      <c r="AA411" t="s">
        <v>158</v>
      </c>
      <c r="AB411" t="s">
        <v>158</v>
      </c>
      <c r="AD411">
        <f>0</f>
        <v>0</v>
      </c>
      <c r="AE411">
        <f>0</f>
        <v>0</v>
      </c>
    </row>
    <row r="412" spans="1:148" x14ac:dyDescent="0.25">
      <c r="A412" t="s">
        <v>1600</v>
      </c>
      <c r="B412" t="s">
        <v>148</v>
      </c>
      <c r="C412" s="1">
        <v>45838</v>
      </c>
      <c r="D412" t="s">
        <v>175</v>
      </c>
      <c r="E412" t="s">
        <v>284</v>
      </c>
      <c r="F412" t="s">
        <v>4774</v>
      </c>
      <c r="G412" t="s">
        <v>5973</v>
      </c>
      <c r="H412">
        <v>1071</v>
      </c>
      <c r="I412" t="s">
        <v>5973</v>
      </c>
      <c r="J412">
        <v>1678</v>
      </c>
      <c r="K412" t="s">
        <v>5254</v>
      </c>
      <c r="L412" t="s">
        <v>431</v>
      </c>
      <c r="M412" t="s">
        <v>1601</v>
      </c>
      <c r="N412" t="s">
        <v>1602</v>
      </c>
      <c r="O412" t="s">
        <v>1603</v>
      </c>
      <c r="R412">
        <f>1</f>
        <v>1</v>
      </c>
      <c r="S412">
        <f>20.9</f>
        <v>20.9</v>
      </c>
      <c r="T412">
        <f>7.5</f>
        <v>7.5</v>
      </c>
      <c r="U412">
        <f>482</f>
        <v>482</v>
      </c>
      <c r="V412">
        <f>0.1</f>
        <v>0.1</v>
      </c>
      <c r="X412">
        <f>0</f>
        <v>0</v>
      </c>
      <c r="Y412">
        <f>0.11</f>
        <v>0.11</v>
      </c>
      <c r="Z412">
        <f>0</f>
        <v>0</v>
      </c>
      <c r="AA412" t="s">
        <v>158</v>
      </c>
      <c r="AB412">
        <f>22</f>
        <v>22</v>
      </c>
      <c r="AD412">
        <f>0</f>
        <v>0</v>
      </c>
      <c r="AE412">
        <f>0</f>
        <v>0</v>
      </c>
      <c r="AH412" t="s">
        <v>166</v>
      </c>
      <c r="AI412">
        <f>0.72</f>
        <v>0.72</v>
      </c>
      <c r="AL412" t="s">
        <v>216</v>
      </c>
      <c r="AM412" t="s">
        <v>266</v>
      </c>
      <c r="AN412">
        <f>4.22</f>
        <v>4.22</v>
      </c>
      <c r="AO412">
        <f>0.084</f>
        <v>8.4000000000000005E-2</v>
      </c>
      <c r="AP412">
        <f>4.13</f>
        <v>4.13</v>
      </c>
      <c r="AQ412">
        <f>1.1</f>
        <v>1.1000000000000001</v>
      </c>
      <c r="AR412" t="s">
        <v>209</v>
      </c>
      <c r="AS412">
        <f>0.76</f>
        <v>0.76</v>
      </c>
      <c r="AY412">
        <f>0.51</f>
        <v>0.51</v>
      </c>
      <c r="AZ412" t="s">
        <v>208</v>
      </c>
      <c r="BA412">
        <f>0.0011</f>
        <v>1.1000000000000001E-3</v>
      </c>
      <c r="BB412">
        <f>2.9</f>
        <v>2.9</v>
      </c>
      <c r="BC412" t="s">
        <v>209</v>
      </c>
      <c r="BD412" t="s">
        <v>157</v>
      </c>
      <c r="BE412">
        <f>0.0022</f>
        <v>2.2000000000000001E-3</v>
      </c>
      <c r="BF412" t="s">
        <v>168</v>
      </c>
      <c r="BG412" t="s">
        <v>237</v>
      </c>
      <c r="BH412" t="s">
        <v>157</v>
      </c>
      <c r="BK412" t="s">
        <v>157</v>
      </c>
      <c r="EL412">
        <f>2.4</f>
        <v>2.4</v>
      </c>
      <c r="EM412" t="s">
        <v>238</v>
      </c>
      <c r="EN412">
        <f>1.2</f>
        <v>1.2</v>
      </c>
      <c r="EO412">
        <f>0.4</f>
        <v>0.4</v>
      </c>
      <c r="ER412">
        <f>4</f>
        <v>4</v>
      </c>
    </row>
    <row r="413" spans="1:148" x14ac:dyDescent="0.25">
      <c r="A413" t="s">
        <v>1604</v>
      </c>
      <c r="B413" t="s">
        <v>148</v>
      </c>
      <c r="C413" s="1">
        <v>45821</v>
      </c>
      <c r="D413" t="s">
        <v>242</v>
      </c>
      <c r="E413" t="s">
        <v>243</v>
      </c>
      <c r="F413" t="s">
        <v>244</v>
      </c>
      <c r="G413" t="s">
        <v>245</v>
      </c>
      <c r="H413">
        <v>218</v>
      </c>
      <c r="I413" t="s">
        <v>5974</v>
      </c>
      <c r="J413">
        <v>969</v>
      </c>
      <c r="K413" t="s">
        <v>5257</v>
      </c>
      <c r="L413" t="s">
        <v>431</v>
      </c>
      <c r="M413" t="s">
        <v>5440</v>
      </c>
      <c r="N413" t="s">
        <v>5441</v>
      </c>
      <c r="O413" t="s">
        <v>1605</v>
      </c>
      <c r="R413">
        <f>1</f>
        <v>1</v>
      </c>
      <c r="S413">
        <f>17.2</f>
        <v>17.2</v>
      </c>
      <c r="T413">
        <f>7.7</f>
        <v>7.7</v>
      </c>
      <c r="U413">
        <f>318</f>
        <v>318</v>
      </c>
      <c r="X413">
        <f>0</f>
        <v>0</v>
      </c>
      <c r="Y413" t="s">
        <v>157</v>
      </c>
      <c r="Z413">
        <f>0</f>
        <v>0</v>
      </c>
      <c r="AA413" t="s">
        <v>158</v>
      </c>
      <c r="AB413" t="s">
        <v>158</v>
      </c>
      <c r="AD413">
        <f>0</f>
        <v>0</v>
      </c>
      <c r="AE413">
        <f>0</f>
        <v>0</v>
      </c>
      <c r="AH413" t="s">
        <v>157</v>
      </c>
      <c r="AI413" t="s">
        <v>238</v>
      </c>
      <c r="AL413" t="s">
        <v>164</v>
      </c>
      <c r="AM413" t="s">
        <v>165</v>
      </c>
      <c r="AN413">
        <f>3.2</f>
        <v>3.2</v>
      </c>
      <c r="AO413">
        <f>0.06</f>
        <v>0.06</v>
      </c>
      <c r="AP413">
        <f>9.9</f>
        <v>9.9</v>
      </c>
      <c r="AQ413">
        <f>1.9</f>
        <v>1.9</v>
      </c>
      <c r="AR413" t="s">
        <v>157</v>
      </c>
      <c r="AS413">
        <f>3.1</f>
        <v>3.1</v>
      </c>
      <c r="AY413" t="s">
        <v>167</v>
      </c>
      <c r="AZ413" t="s">
        <v>158</v>
      </c>
      <c r="BA413">
        <f>0.013</f>
        <v>1.2999999999999999E-2</v>
      </c>
      <c r="BB413" t="s">
        <v>158</v>
      </c>
      <c r="BC413" t="s">
        <v>166</v>
      </c>
      <c r="BD413">
        <f>1.1</f>
        <v>1.1000000000000001</v>
      </c>
      <c r="BE413">
        <f>0.0075</f>
        <v>7.4999999999999997E-3</v>
      </c>
      <c r="BF413" t="s">
        <v>168</v>
      </c>
      <c r="BG413" t="s">
        <v>167</v>
      </c>
      <c r="BH413" t="s">
        <v>167</v>
      </c>
      <c r="BK413">
        <f>0.44</f>
        <v>0.44</v>
      </c>
    </row>
    <row r="414" spans="1:148" x14ac:dyDescent="0.25">
      <c r="A414" t="s">
        <v>1606</v>
      </c>
      <c r="B414" t="s">
        <v>148</v>
      </c>
      <c r="C414" s="1">
        <v>45716</v>
      </c>
      <c r="D414" t="s">
        <v>175</v>
      </c>
      <c r="E414" t="s">
        <v>176</v>
      </c>
      <c r="F414" t="s">
        <v>1209</v>
      </c>
      <c r="G414" t="s">
        <v>1210</v>
      </c>
      <c r="H414">
        <v>175</v>
      </c>
      <c r="I414" t="s">
        <v>1210</v>
      </c>
      <c r="J414">
        <v>4798</v>
      </c>
      <c r="K414" t="s">
        <v>5254</v>
      </c>
      <c r="L414" t="s">
        <v>431</v>
      </c>
      <c r="M414" t="s">
        <v>5442</v>
      </c>
      <c r="N414" t="s">
        <v>5975</v>
      </c>
      <c r="O414" t="s">
        <v>1607</v>
      </c>
      <c r="Q414" t="s">
        <v>329</v>
      </c>
      <c r="R414">
        <f>1</f>
        <v>1</v>
      </c>
      <c r="S414">
        <f>8.5</f>
        <v>8.5</v>
      </c>
      <c r="T414">
        <f>7.8</f>
        <v>7.8</v>
      </c>
      <c r="U414">
        <f>266</f>
        <v>266</v>
      </c>
      <c r="V414">
        <f>0.05</f>
        <v>0.05</v>
      </c>
      <c r="X414">
        <f>0</f>
        <v>0</v>
      </c>
      <c r="Y414" t="s">
        <v>157</v>
      </c>
      <c r="Z414">
        <f>0</f>
        <v>0</v>
      </c>
      <c r="AA414">
        <f>0</f>
        <v>0</v>
      </c>
      <c r="AB414">
        <f>0</f>
        <v>0</v>
      </c>
      <c r="AD414">
        <f>0</f>
        <v>0</v>
      </c>
      <c r="AE414">
        <f>0</f>
        <v>0</v>
      </c>
      <c r="AH414" t="s">
        <v>157</v>
      </c>
    </row>
    <row r="415" spans="1:148" x14ac:dyDescent="0.25">
      <c r="A415" t="s">
        <v>1608</v>
      </c>
      <c r="B415" t="s">
        <v>148</v>
      </c>
      <c r="C415" s="1">
        <v>45741</v>
      </c>
      <c r="D415" t="s">
        <v>175</v>
      </c>
      <c r="E415" t="s">
        <v>649</v>
      </c>
      <c r="F415" t="s">
        <v>918</v>
      </c>
      <c r="G415" t="s">
        <v>919</v>
      </c>
      <c r="H415">
        <v>128</v>
      </c>
      <c r="I415" t="s">
        <v>1424</v>
      </c>
      <c r="J415">
        <v>2430</v>
      </c>
      <c r="K415" t="s">
        <v>5254</v>
      </c>
      <c r="L415" t="s">
        <v>431</v>
      </c>
      <c r="M415" t="s">
        <v>1609</v>
      </c>
      <c r="N415" t="s">
        <v>1610</v>
      </c>
      <c r="O415" t="s">
        <v>1611</v>
      </c>
      <c r="Q415" t="s">
        <v>6356</v>
      </c>
      <c r="R415">
        <f>1</f>
        <v>1</v>
      </c>
      <c r="S415">
        <f>10.1</f>
        <v>10.1</v>
      </c>
      <c r="T415">
        <f>7.9</f>
        <v>7.9</v>
      </c>
      <c r="U415">
        <f>404</f>
        <v>404</v>
      </c>
      <c r="V415">
        <f>0.18</f>
        <v>0.18</v>
      </c>
      <c r="X415">
        <f>0</f>
        <v>0</v>
      </c>
      <c r="Y415" t="s">
        <v>157</v>
      </c>
      <c r="Z415">
        <f>0</f>
        <v>0</v>
      </c>
      <c r="AA415" t="s">
        <v>158</v>
      </c>
      <c r="AB415" t="s">
        <v>158</v>
      </c>
      <c r="AD415">
        <f>0</f>
        <v>0</v>
      </c>
      <c r="AE415">
        <f>0</f>
        <v>0</v>
      </c>
      <c r="AH415" t="s">
        <v>157</v>
      </c>
    </row>
    <row r="416" spans="1:148" x14ac:dyDescent="0.25">
      <c r="A416" t="s">
        <v>1612</v>
      </c>
      <c r="B416" t="s">
        <v>148</v>
      </c>
      <c r="C416" s="1">
        <v>45793</v>
      </c>
      <c r="D416" t="s">
        <v>175</v>
      </c>
      <c r="E416" t="s">
        <v>176</v>
      </c>
      <c r="F416" t="s">
        <v>343</v>
      </c>
      <c r="G416" t="s">
        <v>6647</v>
      </c>
      <c r="H416">
        <v>1097</v>
      </c>
      <c r="I416" t="s">
        <v>6647</v>
      </c>
      <c r="J416">
        <v>2700</v>
      </c>
      <c r="K416" t="s">
        <v>5257</v>
      </c>
      <c r="L416" t="s">
        <v>4966</v>
      </c>
      <c r="M416" t="s">
        <v>5443</v>
      </c>
      <c r="N416" t="s">
        <v>1613</v>
      </c>
      <c r="O416" t="s">
        <v>1614</v>
      </c>
      <c r="Q416" t="s">
        <v>6357</v>
      </c>
      <c r="R416">
        <f>1</f>
        <v>1</v>
      </c>
      <c r="S416">
        <f>11.8</f>
        <v>11.8</v>
      </c>
      <c r="T416">
        <f>7.8</f>
        <v>7.8</v>
      </c>
      <c r="U416">
        <f>285</f>
        <v>285</v>
      </c>
      <c r="X416">
        <f>0</f>
        <v>0</v>
      </c>
      <c r="Y416" t="s">
        <v>157</v>
      </c>
      <c r="Z416">
        <f>0</f>
        <v>0</v>
      </c>
      <c r="AA416">
        <f>0</f>
        <v>0</v>
      </c>
      <c r="AB416">
        <f>0</f>
        <v>0</v>
      </c>
      <c r="AC416">
        <f>0</f>
        <v>0</v>
      </c>
      <c r="AD416">
        <f>0</f>
        <v>0</v>
      </c>
      <c r="AE416">
        <f>0</f>
        <v>0</v>
      </c>
      <c r="AH416" t="s">
        <v>157</v>
      </c>
      <c r="AI416" t="s">
        <v>167</v>
      </c>
      <c r="AL416" t="s">
        <v>168</v>
      </c>
      <c r="AM416" t="s">
        <v>216</v>
      </c>
      <c r="AN416">
        <f>5</f>
        <v>5</v>
      </c>
      <c r="AO416">
        <f>0.1</f>
        <v>0.1</v>
      </c>
      <c r="AP416">
        <f>3.7</f>
        <v>3.7</v>
      </c>
      <c r="AQ416" t="s">
        <v>167</v>
      </c>
      <c r="AR416" t="s">
        <v>167</v>
      </c>
      <c r="AS416">
        <f>0.98</f>
        <v>0.98</v>
      </c>
      <c r="AY416" t="s">
        <v>158</v>
      </c>
      <c r="AZ416" t="s">
        <v>158</v>
      </c>
      <c r="BA416" t="s">
        <v>216</v>
      </c>
      <c r="BB416" t="s">
        <v>158</v>
      </c>
      <c r="BC416" t="s">
        <v>167</v>
      </c>
      <c r="BD416" t="s">
        <v>167</v>
      </c>
      <c r="BE416" t="s">
        <v>216</v>
      </c>
      <c r="BF416" t="s">
        <v>167</v>
      </c>
      <c r="BG416" t="s">
        <v>158</v>
      </c>
      <c r="BH416" t="s">
        <v>167</v>
      </c>
      <c r="BK416" t="s">
        <v>158</v>
      </c>
    </row>
    <row r="417" spans="1:148" x14ac:dyDescent="0.25">
      <c r="A417" t="s">
        <v>1615</v>
      </c>
      <c r="B417" t="s">
        <v>148</v>
      </c>
      <c r="C417" s="1">
        <v>45726</v>
      </c>
      <c r="D417" t="s">
        <v>618</v>
      </c>
      <c r="E417" t="s">
        <v>619</v>
      </c>
      <c r="F417" t="s">
        <v>6648</v>
      </c>
      <c r="G417" t="s">
        <v>6649</v>
      </c>
      <c r="H417">
        <v>38</v>
      </c>
      <c r="I417" t="s">
        <v>1616</v>
      </c>
      <c r="J417">
        <v>1850</v>
      </c>
      <c r="K417" t="s">
        <v>5257</v>
      </c>
      <c r="L417" t="s">
        <v>4724</v>
      </c>
      <c r="M417" t="s">
        <v>6650</v>
      </c>
      <c r="N417" t="s">
        <v>6651</v>
      </c>
      <c r="O417" t="s">
        <v>1617</v>
      </c>
      <c r="R417">
        <f>1</f>
        <v>1</v>
      </c>
      <c r="S417">
        <f>5.9</f>
        <v>5.9</v>
      </c>
      <c r="T417">
        <f>7.8</f>
        <v>7.8</v>
      </c>
      <c r="U417">
        <f>309</f>
        <v>309</v>
      </c>
      <c r="V417" t="s">
        <v>157</v>
      </c>
      <c r="X417">
        <f>0</f>
        <v>0</v>
      </c>
      <c r="Y417">
        <f>0.1</f>
        <v>0.1</v>
      </c>
      <c r="Z417">
        <f>0</f>
        <v>0</v>
      </c>
      <c r="AA417" t="s">
        <v>158</v>
      </c>
      <c r="AB417" t="s">
        <v>158</v>
      </c>
      <c r="AC417">
        <f>0</f>
        <v>0</v>
      </c>
      <c r="AD417">
        <f>0</f>
        <v>0</v>
      </c>
      <c r="AE417">
        <f>0</f>
        <v>0</v>
      </c>
      <c r="AH417" t="s">
        <v>157</v>
      </c>
    </row>
    <row r="418" spans="1:148" x14ac:dyDescent="0.25">
      <c r="A418" t="s">
        <v>1618</v>
      </c>
      <c r="B418" t="s">
        <v>268</v>
      </c>
      <c r="C418" s="1">
        <v>45722</v>
      </c>
      <c r="D418" t="s">
        <v>311</v>
      </c>
      <c r="E418" t="s">
        <v>312</v>
      </c>
      <c r="F418" t="s">
        <v>1619</v>
      </c>
      <c r="G418" t="s">
        <v>1620</v>
      </c>
      <c r="H418">
        <v>906</v>
      </c>
      <c r="I418" t="s">
        <v>1621</v>
      </c>
      <c r="J418">
        <v>1234</v>
      </c>
      <c r="K418" t="s">
        <v>5254</v>
      </c>
      <c r="L418" t="s">
        <v>4775</v>
      </c>
      <c r="M418" t="s">
        <v>1622</v>
      </c>
      <c r="N418" t="s">
        <v>4776</v>
      </c>
      <c r="O418" t="s">
        <v>1623</v>
      </c>
      <c r="R418">
        <f>1</f>
        <v>1</v>
      </c>
      <c r="S418">
        <f>9.2</f>
        <v>9.1999999999999993</v>
      </c>
      <c r="T418">
        <f>7.6</f>
        <v>7.6</v>
      </c>
      <c r="U418">
        <f>270</f>
        <v>270</v>
      </c>
      <c r="X418">
        <f>0</f>
        <v>0</v>
      </c>
      <c r="Y418" t="s">
        <v>157</v>
      </c>
      <c r="Z418">
        <f>0</f>
        <v>0</v>
      </c>
      <c r="AA418">
        <f>21</f>
        <v>21</v>
      </c>
      <c r="AB418" t="s">
        <v>158</v>
      </c>
      <c r="AD418">
        <f>7</f>
        <v>7</v>
      </c>
      <c r="AE418">
        <f>15</f>
        <v>15</v>
      </c>
      <c r="AH418" t="s">
        <v>157</v>
      </c>
    </row>
    <row r="419" spans="1:148" x14ac:dyDescent="0.25">
      <c r="A419" t="s">
        <v>1624</v>
      </c>
      <c r="B419" t="s">
        <v>148</v>
      </c>
      <c r="C419" s="1">
        <v>45723</v>
      </c>
      <c r="D419" t="s">
        <v>317</v>
      </c>
      <c r="E419" t="s">
        <v>318</v>
      </c>
      <c r="F419" t="s">
        <v>360</v>
      </c>
      <c r="G419" t="s">
        <v>5976</v>
      </c>
      <c r="H419">
        <v>61</v>
      </c>
      <c r="I419" t="s">
        <v>5976</v>
      </c>
      <c r="J419">
        <v>436</v>
      </c>
      <c r="K419" t="s">
        <v>5331</v>
      </c>
      <c r="L419" t="s">
        <v>393</v>
      </c>
      <c r="M419" t="s">
        <v>4777</v>
      </c>
      <c r="N419" t="s">
        <v>5977</v>
      </c>
      <c r="O419" t="s">
        <v>1625</v>
      </c>
      <c r="Q419" t="s">
        <v>6301</v>
      </c>
      <c r="R419">
        <f>1</f>
        <v>1</v>
      </c>
      <c r="S419">
        <f>7.9</f>
        <v>7.9</v>
      </c>
      <c r="T419">
        <f>8</f>
        <v>8</v>
      </c>
      <c r="U419">
        <f>270</f>
        <v>270</v>
      </c>
      <c r="X419">
        <f>0</f>
        <v>0</v>
      </c>
      <c r="Y419" t="s">
        <v>157</v>
      </c>
      <c r="Z419">
        <f>0</f>
        <v>0</v>
      </c>
      <c r="AA419">
        <f>0</f>
        <v>0</v>
      </c>
      <c r="AB419">
        <f>0</f>
        <v>0</v>
      </c>
      <c r="AD419">
        <f>0</f>
        <v>0</v>
      </c>
      <c r="AE419">
        <f>0</f>
        <v>0</v>
      </c>
      <c r="AH419" t="s">
        <v>157</v>
      </c>
    </row>
    <row r="420" spans="1:148" x14ac:dyDescent="0.25">
      <c r="A420" t="s">
        <v>1626</v>
      </c>
      <c r="B420" t="s">
        <v>148</v>
      </c>
      <c r="C420" s="1">
        <v>45709</v>
      </c>
      <c r="D420" t="s">
        <v>317</v>
      </c>
      <c r="E420" t="s">
        <v>176</v>
      </c>
      <c r="F420" t="s">
        <v>1627</v>
      </c>
      <c r="G420" t="s">
        <v>1628</v>
      </c>
      <c r="H420">
        <v>1663</v>
      </c>
      <c r="I420" t="s">
        <v>1629</v>
      </c>
      <c r="J420">
        <v>430</v>
      </c>
      <c r="K420" t="s">
        <v>4778</v>
      </c>
      <c r="L420" t="s">
        <v>4966</v>
      </c>
      <c r="M420" t="s">
        <v>6652</v>
      </c>
      <c r="N420" t="s">
        <v>1630</v>
      </c>
      <c r="O420" t="s">
        <v>1631</v>
      </c>
      <c r="Q420" t="s">
        <v>6301</v>
      </c>
      <c r="R420">
        <f>1</f>
        <v>1</v>
      </c>
      <c r="S420">
        <f>5.7</f>
        <v>5.7</v>
      </c>
      <c r="T420">
        <f>7.9</f>
        <v>7.9</v>
      </c>
      <c r="U420">
        <f>251</f>
        <v>251</v>
      </c>
      <c r="V420" t="s">
        <v>207</v>
      </c>
      <c r="X420">
        <f>0</f>
        <v>0</v>
      </c>
      <c r="Y420" t="s">
        <v>157</v>
      </c>
      <c r="Z420">
        <f>0</f>
        <v>0</v>
      </c>
      <c r="AA420">
        <f>0</f>
        <v>0</v>
      </c>
      <c r="AB420">
        <f>0</f>
        <v>0</v>
      </c>
      <c r="AC420">
        <f>0</f>
        <v>0</v>
      </c>
      <c r="AD420">
        <f>0</f>
        <v>0</v>
      </c>
      <c r="AE420">
        <f>0</f>
        <v>0</v>
      </c>
      <c r="AH420" t="s">
        <v>157</v>
      </c>
      <c r="BI420" t="s">
        <v>167</v>
      </c>
    </row>
    <row r="421" spans="1:148" x14ac:dyDescent="0.25">
      <c r="A421" t="s">
        <v>1632</v>
      </c>
      <c r="B421" t="s">
        <v>148</v>
      </c>
      <c r="C421" s="1">
        <v>45709</v>
      </c>
      <c r="D421" t="s">
        <v>317</v>
      </c>
      <c r="E421" t="s">
        <v>176</v>
      </c>
      <c r="F421" t="s">
        <v>5444</v>
      </c>
      <c r="G421" t="s">
        <v>5978</v>
      </c>
      <c r="H421">
        <v>1668</v>
      </c>
      <c r="I421" t="s">
        <v>5979</v>
      </c>
      <c r="J421">
        <v>570</v>
      </c>
      <c r="K421" t="s">
        <v>4778</v>
      </c>
      <c r="M421" t="s">
        <v>1633</v>
      </c>
      <c r="N421" t="s">
        <v>1634</v>
      </c>
      <c r="O421" t="s">
        <v>1635</v>
      </c>
      <c r="Q421" t="s">
        <v>6358</v>
      </c>
      <c r="R421">
        <f>1</f>
        <v>1</v>
      </c>
      <c r="S421">
        <f>5.1</f>
        <v>5.0999999999999996</v>
      </c>
      <c r="T421">
        <f>7.5</f>
        <v>7.5</v>
      </c>
      <c r="U421">
        <f>309</f>
        <v>309</v>
      </c>
      <c r="X421">
        <f>0</f>
        <v>0</v>
      </c>
      <c r="Y421">
        <f>0.15</f>
        <v>0.15</v>
      </c>
      <c r="Z421">
        <f>0</f>
        <v>0</v>
      </c>
      <c r="AA421">
        <f>0</f>
        <v>0</v>
      </c>
      <c r="AB421">
        <f>0</f>
        <v>0</v>
      </c>
      <c r="AC421">
        <f>0</f>
        <v>0</v>
      </c>
      <c r="AD421">
        <f>0</f>
        <v>0</v>
      </c>
      <c r="AE421">
        <f>0</f>
        <v>0</v>
      </c>
      <c r="AH421" t="s">
        <v>157</v>
      </c>
    </row>
    <row r="422" spans="1:148" x14ac:dyDescent="0.25">
      <c r="A422" t="s">
        <v>1636</v>
      </c>
      <c r="B422" t="s">
        <v>148</v>
      </c>
      <c r="C422" s="1">
        <v>45720</v>
      </c>
      <c r="D422" t="s">
        <v>175</v>
      </c>
      <c r="E422" t="s">
        <v>176</v>
      </c>
      <c r="F422" t="s">
        <v>1637</v>
      </c>
      <c r="G422" t="s">
        <v>6653</v>
      </c>
      <c r="H422">
        <v>1688</v>
      </c>
      <c r="I422" t="s">
        <v>6653</v>
      </c>
      <c r="J422">
        <v>2568</v>
      </c>
      <c r="K422" t="s">
        <v>5254</v>
      </c>
      <c r="L422" t="s">
        <v>387</v>
      </c>
      <c r="M422" t="s">
        <v>5445</v>
      </c>
      <c r="N422" t="s">
        <v>5980</v>
      </c>
      <c r="O422" t="s">
        <v>1638</v>
      </c>
      <c r="R422">
        <f>1</f>
        <v>1</v>
      </c>
      <c r="S422">
        <f>10.3</f>
        <v>10.3</v>
      </c>
      <c r="T422">
        <f>7.4</f>
        <v>7.4</v>
      </c>
      <c r="U422">
        <f>545</f>
        <v>545</v>
      </c>
      <c r="V422">
        <f>0.12</f>
        <v>0.12</v>
      </c>
      <c r="X422">
        <f>1</f>
        <v>1</v>
      </c>
      <c r="Y422" t="s">
        <v>157</v>
      </c>
      <c r="Z422">
        <f>0</f>
        <v>0</v>
      </c>
      <c r="AA422" t="s">
        <v>158</v>
      </c>
      <c r="AB422" t="s">
        <v>158</v>
      </c>
      <c r="AD422">
        <f>0</f>
        <v>0</v>
      </c>
      <c r="AE422">
        <f>0</f>
        <v>0</v>
      </c>
    </row>
    <row r="423" spans="1:148" x14ac:dyDescent="0.25">
      <c r="A423" t="s">
        <v>1639</v>
      </c>
      <c r="B423" t="s">
        <v>148</v>
      </c>
      <c r="C423" s="1">
        <v>45730</v>
      </c>
      <c r="D423" t="s">
        <v>242</v>
      </c>
      <c r="E423" t="s">
        <v>295</v>
      </c>
      <c r="F423" t="s">
        <v>4944</v>
      </c>
      <c r="G423" t="s">
        <v>1640</v>
      </c>
      <c r="H423">
        <v>838</v>
      </c>
      <c r="I423" t="s">
        <v>1640</v>
      </c>
      <c r="J423">
        <v>544</v>
      </c>
      <c r="K423" t="s">
        <v>5254</v>
      </c>
      <c r="L423" t="s">
        <v>4724</v>
      </c>
      <c r="M423" t="s">
        <v>1641</v>
      </c>
      <c r="N423" t="s">
        <v>4779</v>
      </c>
      <c r="O423" t="s">
        <v>1642</v>
      </c>
      <c r="Q423" t="s">
        <v>1643</v>
      </c>
      <c r="R423">
        <f>1</f>
        <v>1</v>
      </c>
      <c r="S423">
        <f>8.7</f>
        <v>8.6999999999999993</v>
      </c>
      <c r="T423">
        <f>7.8</f>
        <v>7.8</v>
      </c>
      <c r="U423">
        <f>529</f>
        <v>529</v>
      </c>
      <c r="X423">
        <f>0</f>
        <v>0</v>
      </c>
      <c r="Y423">
        <f>0.17</f>
        <v>0.17</v>
      </c>
      <c r="Z423">
        <f>0</f>
        <v>0</v>
      </c>
      <c r="AA423">
        <f>27</f>
        <v>27</v>
      </c>
      <c r="AB423" t="s">
        <v>158</v>
      </c>
      <c r="AD423">
        <f>0</f>
        <v>0</v>
      </c>
      <c r="AE423">
        <f>0</f>
        <v>0</v>
      </c>
    </row>
    <row r="424" spans="1:148" x14ac:dyDescent="0.25">
      <c r="A424" t="s">
        <v>1644</v>
      </c>
      <c r="B424" t="s">
        <v>148</v>
      </c>
      <c r="C424" s="1">
        <v>45726</v>
      </c>
      <c r="D424" t="s">
        <v>317</v>
      </c>
      <c r="E424" t="s">
        <v>318</v>
      </c>
      <c r="F424" t="s">
        <v>847</v>
      </c>
      <c r="G424" t="s">
        <v>1645</v>
      </c>
      <c r="H424">
        <v>75</v>
      </c>
      <c r="I424" t="s">
        <v>1645</v>
      </c>
      <c r="J424">
        <v>622</v>
      </c>
      <c r="K424" t="s">
        <v>5254</v>
      </c>
      <c r="L424" t="s">
        <v>4966</v>
      </c>
      <c r="M424" t="s">
        <v>4993</v>
      </c>
      <c r="N424" t="s">
        <v>1646</v>
      </c>
      <c r="O424" t="s">
        <v>1647</v>
      </c>
      <c r="Q424" t="s">
        <v>6301</v>
      </c>
      <c r="R424">
        <f>1</f>
        <v>1</v>
      </c>
      <c r="S424">
        <f>7.6</f>
        <v>7.6</v>
      </c>
      <c r="T424">
        <f>8</f>
        <v>8</v>
      </c>
      <c r="U424">
        <f>317</f>
        <v>317</v>
      </c>
      <c r="X424">
        <f>0</f>
        <v>0</v>
      </c>
      <c r="Y424" t="s">
        <v>157</v>
      </c>
      <c r="Z424">
        <f>0</f>
        <v>0</v>
      </c>
      <c r="AA424">
        <f>3</f>
        <v>3</v>
      </c>
      <c r="AB424">
        <f>0</f>
        <v>0</v>
      </c>
      <c r="AD424">
        <f>0</f>
        <v>0</v>
      </c>
      <c r="AE424">
        <f>0</f>
        <v>0</v>
      </c>
      <c r="AH424" t="s">
        <v>157</v>
      </c>
    </row>
    <row r="425" spans="1:148" x14ac:dyDescent="0.25">
      <c r="A425" t="s">
        <v>1648</v>
      </c>
      <c r="B425" t="s">
        <v>148</v>
      </c>
      <c r="C425" s="1">
        <v>45723</v>
      </c>
      <c r="D425" t="s">
        <v>317</v>
      </c>
      <c r="E425" t="s">
        <v>318</v>
      </c>
      <c r="F425" t="s">
        <v>5981</v>
      </c>
      <c r="G425" t="s">
        <v>1649</v>
      </c>
      <c r="H425">
        <v>1084</v>
      </c>
      <c r="I425" t="s">
        <v>1649</v>
      </c>
      <c r="J425">
        <v>380</v>
      </c>
      <c r="K425" t="s">
        <v>5254</v>
      </c>
      <c r="L425" t="s">
        <v>180</v>
      </c>
      <c r="M425" t="s">
        <v>5446</v>
      </c>
      <c r="N425" t="s">
        <v>5982</v>
      </c>
      <c r="O425" t="s">
        <v>1650</v>
      </c>
      <c r="Q425" t="s">
        <v>6323</v>
      </c>
      <c r="R425">
        <f>1</f>
        <v>1</v>
      </c>
      <c r="S425">
        <f>8.9</f>
        <v>8.9</v>
      </c>
      <c r="T425">
        <f>8</f>
        <v>8</v>
      </c>
      <c r="U425">
        <f>262</f>
        <v>262</v>
      </c>
      <c r="X425">
        <f>0</f>
        <v>0</v>
      </c>
      <c r="Y425" t="s">
        <v>157</v>
      </c>
      <c r="Z425">
        <f>0</f>
        <v>0</v>
      </c>
      <c r="AA425">
        <f>0</f>
        <v>0</v>
      </c>
      <c r="AB425">
        <f>0</f>
        <v>0</v>
      </c>
      <c r="AD425">
        <f>0</f>
        <v>0</v>
      </c>
      <c r="AE425">
        <f>0</f>
        <v>0</v>
      </c>
      <c r="AH425" t="s">
        <v>157</v>
      </c>
      <c r="BI425" t="s">
        <v>167</v>
      </c>
    </row>
    <row r="426" spans="1:148" x14ac:dyDescent="0.25">
      <c r="A426" t="s">
        <v>1651</v>
      </c>
      <c r="B426" t="s">
        <v>148</v>
      </c>
      <c r="C426" s="1">
        <v>45720</v>
      </c>
      <c r="D426" t="s">
        <v>175</v>
      </c>
      <c r="E426" t="s">
        <v>649</v>
      </c>
      <c r="F426" t="s">
        <v>1652</v>
      </c>
      <c r="G426" t="s">
        <v>1653</v>
      </c>
      <c r="H426">
        <v>1355</v>
      </c>
      <c r="I426" t="s">
        <v>1653</v>
      </c>
      <c r="J426">
        <v>921</v>
      </c>
      <c r="K426" t="s">
        <v>5257</v>
      </c>
      <c r="L426" t="s">
        <v>431</v>
      </c>
      <c r="M426" t="s">
        <v>5447</v>
      </c>
      <c r="N426" t="s">
        <v>1654</v>
      </c>
      <c r="O426" t="s">
        <v>1655</v>
      </c>
      <c r="R426">
        <f>1</f>
        <v>1</v>
      </c>
      <c r="S426">
        <f>10.9</f>
        <v>10.9</v>
      </c>
      <c r="T426">
        <f>7.2</f>
        <v>7.2</v>
      </c>
      <c r="U426">
        <f>72</f>
        <v>72</v>
      </c>
      <c r="V426">
        <f>0.17</f>
        <v>0.17</v>
      </c>
      <c r="X426">
        <f>1</f>
        <v>1</v>
      </c>
      <c r="Y426" t="s">
        <v>157</v>
      </c>
      <c r="Z426">
        <f>0</f>
        <v>0</v>
      </c>
      <c r="AA426" t="s">
        <v>158</v>
      </c>
      <c r="AB426" t="s">
        <v>158</v>
      </c>
      <c r="AC426">
        <f>0</f>
        <v>0</v>
      </c>
      <c r="AD426">
        <f>0</f>
        <v>0</v>
      </c>
      <c r="AE426">
        <f>0</f>
        <v>0</v>
      </c>
    </row>
    <row r="427" spans="1:148" x14ac:dyDescent="0.25">
      <c r="A427" t="s">
        <v>1656</v>
      </c>
      <c r="B427" t="s">
        <v>148</v>
      </c>
      <c r="C427" s="1">
        <v>45820</v>
      </c>
      <c r="D427" t="s">
        <v>269</v>
      </c>
      <c r="E427" t="s">
        <v>270</v>
      </c>
      <c r="F427" t="s">
        <v>271</v>
      </c>
      <c r="G427" t="s">
        <v>5148</v>
      </c>
      <c r="H427">
        <v>1698</v>
      </c>
      <c r="I427" t="s">
        <v>5149</v>
      </c>
      <c r="J427">
        <v>1440</v>
      </c>
      <c r="K427" t="s">
        <v>5257</v>
      </c>
      <c r="L427" t="s">
        <v>393</v>
      </c>
      <c r="M427" t="s">
        <v>5983</v>
      </c>
      <c r="N427" t="s">
        <v>1657</v>
      </c>
      <c r="O427" t="s">
        <v>1658</v>
      </c>
      <c r="R427">
        <f>1</f>
        <v>1</v>
      </c>
      <c r="S427">
        <f>18.8</f>
        <v>18.8</v>
      </c>
      <c r="T427">
        <f>7.7</f>
        <v>7.7</v>
      </c>
      <c r="U427">
        <f>327</f>
        <v>327</v>
      </c>
      <c r="X427">
        <f>1</f>
        <v>1</v>
      </c>
      <c r="Y427" t="s">
        <v>207</v>
      </c>
      <c r="Z427">
        <f>0</f>
        <v>0</v>
      </c>
      <c r="AA427" t="s">
        <v>158</v>
      </c>
      <c r="AB427" t="s">
        <v>158</v>
      </c>
      <c r="AC427">
        <f>0</f>
        <v>0</v>
      </c>
      <c r="AD427">
        <f>0</f>
        <v>0</v>
      </c>
      <c r="AE427">
        <f>0</f>
        <v>0</v>
      </c>
      <c r="AH427" t="s">
        <v>166</v>
      </c>
      <c r="AI427">
        <f>1.42</f>
        <v>1.42</v>
      </c>
      <c r="AL427" t="s">
        <v>216</v>
      </c>
      <c r="AM427" t="s">
        <v>266</v>
      </c>
      <c r="AN427">
        <f>3.52</f>
        <v>3.52</v>
      </c>
      <c r="AO427">
        <f>0.07</f>
        <v>7.0000000000000007E-2</v>
      </c>
      <c r="AP427">
        <f>2.4</f>
        <v>2.4</v>
      </c>
      <c r="AQ427">
        <f>3.59</f>
        <v>3.59</v>
      </c>
      <c r="AR427" t="s">
        <v>209</v>
      </c>
      <c r="AS427">
        <f>2.6</f>
        <v>2.6</v>
      </c>
      <c r="AY427" t="s">
        <v>157</v>
      </c>
      <c r="AZ427" t="s">
        <v>208</v>
      </c>
      <c r="BA427">
        <f>0.0019</f>
        <v>1.9E-3</v>
      </c>
      <c r="BB427">
        <f>16</f>
        <v>16</v>
      </c>
      <c r="BC427" t="s">
        <v>209</v>
      </c>
      <c r="BD427">
        <f>0.1</f>
        <v>0.1</v>
      </c>
      <c r="BE427">
        <f>0.0088</f>
        <v>8.8000000000000005E-3</v>
      </c>
      <c r="BF427" t="s">
        <v>168</v>
      </c>
      <c r="BG427" t="s">
        <v>237</v>
      </c>
      <c r="BH427" t="s">
        <v>157</v>
      </c>
      <c r="BK427">
        <f>0.42</f>
        <v>0.42</v>
      </c>
      <c r="EL427">
        <f>57</f>
        <v>57</v>
      </c>
      <c r="EM427" t="s">
        <v>238</v>
      </c>
      <c r="EN427">
        <f>3.2</f>
        <v>3.2</v>
      </c>
      <c r="EO427" t="s">
        <v>300</v>
      </c>
      <c r="ER427">
        <f>60</f>
        <v>60</v>
      </c>
    </row>
    <row r="428" spans="1:148" x14ac:dyDescent="0.25">
      <c r="A428" t="s">
        <v>1659</v>
      </c>
      <c r="B428" t="s">
        <v>148</v>
      </c>
      <c r="C428" s="1">
        <v>45728</v>
      </c>
      <c r="D428" t="s">
        <v>618</v>
      </c>
      <c r="E428" t="s">
        <v>619</v>
      </c>
      <c r="F428" t="s">
        <v>620</v>
      </c>
      <c r="G428" t="s">
        <v>1149</v>
      </c>
      <c r="H428">
        <v>29</v>
      </c>
      <c r="I428" t="s">
        <v>1660</v>
      </c>
      <c r="J428">
        <v>2164</v>
      </c>
      <c r="K428" t="s">
        <v>5257</v>
      </c>
      <c r="L428" t="s">
        <v>393</v>
      </c>
      <c r="M428" t="s">
        <v>5984</v>
      </c>
      <c r="N428" t="s">
        <v>5985</v>
      </c>
      <c r="O428" t="s">
        <v>1661</v>
      </c>
      <c r="R428">
        <f>1</f>
        <v>1</v>
      </c>
      <c r="S428">
        <f>10.8</f>
        <v>10.8</v>
      </c>
      <c r="T428">
        <f>7.9</f>
        <v>7.9</v>
      </c>
      <c r="U428">
        <f>151</f>
        <v>151</v>
      </c>
      <c r="X428">
        <f>0</f>
        <v>0</v>
      </c>
      <c r="Y428">
        <f>0.1</f>
        <v>0.1</v>
      </c>
      <c r="Z428">
        <f>0</f>
        <v>0</v>
      </c>
      <c r="AA428" t="s">
        <v>158</v>
      </c>
      <c r="AB428" t="s">
        <v>158</v>
      </c>
      <c r="AC428">
        <f>0</f>
        <v>0</v>
      </c>
      <c r="AD428">
        <f>0</f>
        <v>0</v>
      </c>
      <c r="AE428">
        <f>0</f>
        <v>0</v>
      </c>
      <c r="AH428" t="s">
        <v>157</v>
      </c>
    </row>
    <row r="429" spans="1:148" x14ac:dyDescent="0.25">
      <c r="A429" t="s">
        <v>1662</v>
      </c>
      <c r="B429" t="s">
        <v>148</v>
      </c>
      <c r="C429" s="1">
        <v>45720</v>
      </c>
      <c r="D429" t="s">
        <v>618</v>
      </c>
      <c r="E429" t="s">
        <v>619</v>
      </c>
      <c r="F429" t="s">
        <v>1663</v>
      </c>
      <c r="G429" t="s">
        <v>5986</v>
      </c>
      <c r="H429">
        <v>790</v>
      </c>
      <c r="I429" t="s">
        <v>5986</v>
      </c>
      <c r="J429">
        <v>430</v>
      </c>
      <c r="K429" t="s">
        <v>5257</v>
      </c>
      <c r="L429" t="s">
        <v>387</v>
      </c>
      <c r="M429" t="s">
        <v>5448</v>
      </c>
      <c r="N429" t="s">
        <v>5449</v>
      </c>
      <c r="O429" t="s">
        <v>1664</v>
      </c>
      <c r="R429">
        <f>1</f>
        <v>1</v>
      </c>
      <c r="S429">
        <f>10.8</f>
        <v>10.8</v>
      </c>
      <c r="T429">
        <f>7.7</f>
        <v>7.7</v>
      </c>
      <c r="U429">
        <f>364</f>
        <v>364</v>
      </c>
      <c r="V429" t="s">
        <v>157</v>
      </c>
      <c r="X429">
        <f>0</f>
        <v>0</v>
      </c>
      <c r="Y429">
        <f>0.1</f>
        <v>0.1</v>
      </c>
      <c r="Z429">
        <f>0</f>
        <v>0</v>
      </c>
      <c r="AA429" t="s">
        <v>158</v>
      </c>
      <c r="AB429" t="s">
        <v>158</v>
      </c>
      <c r="AC429">
        <f>0</f>
        <v>0</v>
      </c>
      <c r="AD429">
        <f>0</f>
        <v>0</v>
      </c>
      <c r="AE429">
        <f>0</f>
        <v>0</v>
      </c>
      <c r="AH429" t="s">
        <v>157</v>
      </c>
      <c r="BI429">
        <f>0.65</f>
        <v>0.65</v>
      </c>
    </row>
    <row r="430" spans="1:148" x14ac:dyDescent="0.25">
      <c r="A430" t="s">
        <v>1665</v>
      </c>
      <c r="B430" t="s">
        <v>148</v>
      </c>
      <c r="C430" s="1">
        <v>45785</v>
      </c>
      <c r="D430" t="s">
        <v>311</v>
      </c>
      <c r="E430" t="s">
        <v>312</v>
      </c>
      <c r="F430" t="s">
        <v>4780</v>
      </c>
      <c r="G430" t="s">
        <v>6654</v>
      </c>
      <c r="H430">
        <v>1033</v>
      </c>
      <c r="I430" t="s">
        <v>1666</v>
      </c>
      <c r="J430">
        <v>1550</v>
      </c>
      <c r="K430" t="s">
        <v>5257</v>
      </c>
      <c r="L430" t="s">
        <v>4775</v>
      </c>
      <c r="M430" t="s">
        <v>1667</v>
      </c>
      <c r="N430" t="s">
        <v>1668</v>
      </c>
      <c r="O430" t="s">
        <v>1669</v>
      </c>
      <c r="R430">
        <f>1</f>
        <v>1</v>
      </c>
      <c r="S430">
        <f>15</f>
        <v>15</v>
      </c>
      <c r="T430">
        <f>7.7</f>
        <v>7.7</v>
      </c>
      <c r="U430">
        <f>247</f>
        <v>247</v>
      </c>
      <c r="X430">
        <f>0</f>
        <v>0</v>
      </c>
      <c r="Y430" t="s">
        <v>157</v>
      </c>
      <c r="Z430">
        <f>0</f>
        <v>0</v>
      </c>
      <c r="AA430" t="s">
        <v>158</v>
      </c>
      <c r="AB430" t="s">
        <v>158</v>
      </c>
      <c r="AC430">
        <f>0</f>
        <v>0</v>
      </c>
      <c r="AD430">
        <f>0</f>
        <v>0</v>
      </c>
      <c r="AE430">
        <f>0</f>
        <v>0</v>
      </c>
      <c r="AH430" t="s">
        <v>157</v>
      </c>
      <c r="AI430" t="s">
        <v>238</v>
      </c>
      <c r="AL430" t="s">
        <v>164</v>
      </c>
      <c r="AM430" t="s">
        <v>165</v>
      </c>
      <c r="AN430">
        <f>8.4</f>
        <v>8.4</v>
      </c>
      <c r="AO430">
        <f>0.17</f>
        <v>0.17</v>
      </c>
      <c r="AP430">
        <f>5.7</f>
        <v>5.7</v>
      </c>
      <c r="AQ430">
        <f>8</f>
        <v>8</v>
      </c>
      <c r="AR430" t="s">
        <v>157</v>
      </c>
      <c r="AS430">
        <f>3.6</f>
        <v>3.6</v>
      </c>
      <c r="AY430" t="s">
        <v>167</v>
      </c>
      <c r="AZ430" t="s">
        <v>158</v>
      </c>
      <c r="BA430" t="s">
        <v>216</v>
      </c>
      <c r="BB430" t="s">
        <v>158</v>
      </c>
      <c r="BC430" t="s">
        <v>166</v>
      </c>
      <c r="BD430" t="s">
        <v>167</v>
      </c>
      <c r="BE430">
        <f>0.0061</f>
        <v>6.1000000000000004E-3</v>
      </c>
      <c r="BF430" t="s">
        <v>168</v>
      </c>
      <c r="BG430" t="s">
        <v>167</v>
      </c>
      <c r="BH430">
        <f>1.1</f>
        <v>1.1000000000000001</v>
      </c>
      <c r="BK430">
        <f>0.27</f>
        <v>0.27</v>
      </c>
      <c r="BL430" t="s">
        <v>168</v>
      </c>
      <c r="BM430" t="s">
        <v>168</v>
      </c>
      <c r="BN430" t="s">
        <v>168</v>
      </c>
      <c r="BO430" t="s">
        <v>168</v>
      </c>
      <c r="BP430" t="s">
        <v>168</v>
      </c>
      <c r="BQ430" t="s">
        <v>168</v>
      </c>
      <c r="BR430" t="s">
        <v>168</v>
      </c>
      <c r="BS430" t="s">
        <v>168</v>
      </c>
      <c r="BT430" t="s">
        <v>209</v>
      </c>
      <c r="BU430" t="s">
        <v>168</v>
      </c>
      <c r="BV430" t="s">
        <v>209</v>
      </c>
      <c r="BW430" t="s">
        <v>209</v>
      </c>
      <c r="BX430" t="s">
        <v>209</v>
      </c>
      <c r="BY430" t="s">
        <v>209</v>
      </c>
      <c r="BZ430" t="s">
        <v>216</v>
      </c>
      <c r="CA430" t="s">
        <v>216</v>
      </c>
      <c r="CB430" t="s">
        <v>168</v>
      </c>
      <c r="CC430" t="s">
        <v>168</v>
      </c>
      <c r="CD430" t="s">
        <v>216</v>
      </c>
      <c r="CE430" t="s">
        <v>209</v>
      </c>
      <c r="CF430">
        <f>0.034</f>
        <v>3.4000000000000002E-2</v>
      </c>
      <c r="CG430" t="s">
        <v>168</v>
      </c>
      <c r="CH430" t="s">
        <v>165</v>
      </c>
      <c r="CI430" t="s">
        <v>216</v>
      </c>
      <c r="CJ430" t="s">
        <v>216</v>
      </c>
      <c r="CK430" t="s">
        <v>216</v>
      </c>
      <c r="CL430" t="s">
        <v>216</v>
      </c>
      <c r="CM430" t="s">
        <v>216</v>
      </c>
      <c r="CN430" t="s">
        <v>216</v>
      </c>
      <c r="CO430" t="s">
        <v>216</v>
      </c>
      <c r="CP430" t="s">
        <v>216</v>
      </c>
      <c r="CQ430" t="s">
        <v>216</v>
      </c>
      <c r="CR430">
        <f>0.01</f>
        <v>0.01</v>
      </c>
      <c r="CS430" t="s">
        <v>216</v>
      </c>
      <c r="CT430" t="s">
        <v>216</v>
      </c>
      <c r="CU430" t="s">
        <v>216</v>
      </c>
      <c r="CV430" t="s">
        <v>216</v>
      </c>
      <c r="CW430" t="s">
        <v>216</v>
      </c>
      <c r="CX430" t="s">
        <v>216</v>
      </c>
      <c r="CY430" t="s">
        <v>216</v>
      </c>
      <c r="CZ430" t="s">
        <v>216</v>
      </c>
      <c r="DA430" t="s">
        <v>168</v>
      </c>
      <c r="DB430" t="s">
        <v>216</v>
      </c>
      <c r="DC430" t="s">
        <v>216</v>
      </c>
      <c r="DD430" t="s">
        <v>216</v>
      </c>
      <c r="DE430" t="s">
        <v>168</v>
      </c>
      <c r="DF430" t="s">
        <v>168</v>
      </c>
      <c r="DG430" t="s">
        <v>216</v>
      </c>
      <c r="DH430" t="s">
        <v>216</v>
      </c>
      <c r="DI430" t="s">
        <v>216</v>
      </c>
      <c r="DJ430" t="s">
        <v>216</v>
      </c>
      <c r="DK430" t="s">
        <v>168</v>
      </c>
      <c r="DL430" t="s">
        <v>216</v>
      </c>
      <c r="DM430" t="s">
        <v>216</v>
      </c>
      <c r="DN430" t="s">
        <v>216</v>
      </c>
      <c r="DO430" t="s">
        <v>216</v>
      </c>
      <c r="DP430" t="s">
        <v>168</v>
      </c>
      <c r="DQ430" t="s">
        <v>216</v>
      </c>
      <c r="DR430" t="s">
        <v>168</v>
      </c>
      <c r="DS430" t="s">
        <v>168</v>
      </c>
      <c r="DT430" t="s">
        <v>168</v>
      </c>
      <c r="DU430" t="s">
        <v>168</v>
      </c>
      <c r="DV430" t="s">
        <v>168</v>
      </c>
      <c r="DW430" t="s">
        <v>168</v>
      </c>
      <c r="DX430" t="s">
        <v>168</v>
      </c>
      <c r="DY430" t="s">
        <v>168</v>
      </c>
      <c r="DZ430" t="s">
        <v>209</v>
      </c>
      <c r="EA430" t="s">
        <v>216</v>
      </c>
      <c r="EB430" t="s">
        <v>168</v>
      </c>
      <c r="EC430" t="s">
        <v>168</v>
      </c>
      <c r="ED430" t="s">
        <v>209</v>
      </c>
      <c r="EE430" t="s">
        <v>168</v>
      </c>
    </row>
    <row r="431" spans="1:148" x14ac:dyDescent="0.25">
      <c r="A431" t="s">
        <v>1670</v>
      </c>
      <c r="B431" t="s">
        <v>148</v>
      </c>
      <c r="C431" s="1">
        <v>45733</v>
      </c>
      <c r="D431" t="s">
        <v>269</v>
      </c>
      <c r="E431" t="s">
        <v>270</v>
      </c>
      <c r="F431" t="s">
        <v>271</v>
      </c>
      <c r="G431" t="s">
        <v>1671</v>
      </c>
      <c r="H431">
        <v>185</v>
      </c>
      <c r="I431" t="s">
        <v>1671</v>
      </c>
      <c r="J431">
        <v>1204</v>
      </c>
      <c r="K431" t="s">
        <v>5257</v>
      </c>
      <c r="L431" t="s">
        <v>726</v>
      </c>
      <c r="M431" t="s">
        <v>5450</v>
      </c>
      <c r="N431" t="s">
        <v>5987</v>
      </c>
      <c r="O431" t="s">
        <v>1672</v>
      </c>
      <c r="R431">
        <f>1</f>
        <v>1</v>
      </c>
      <c r="S431">
        <f>8.2</f>
        <v>8.1999999999999993</v>
      </c>
      <c r="T431">
        <f>8.2</f>
        <v>8.1999999999999993</v>
      </c>
      <c r="U431">
        <f>411</f>
        <v>411</v>
      </c>
      <c r="X431">
        <f>0</f>
        <v>0</v>
      </c>
      <c r="Y431" t="s">
        <v>207</v>
      </c>
      <c r="Z431">
        <f>0</f>
        <v>0</v>
      </c>
      <c r="AA431" t="s">
        <v>158</v>
      </c>
      <c r="AB431" t="s">
        <v>158</v>
      </c>
      <c r="AD431">
        <f>0</f>
        <v>0</v>
      </c>
      <c r="AE431">
        <f>0</f>
        <v>0</v>
      </c>
    </row>
    <row r="432" spans="1:148" x14ac:dyDescent="0.25">
      <c r="A432" t="s">
        <v>1673</v>
      </c>
      <c r="B432" t="s">
        <v>148</v>
      </c>
      <c r="C432" s="1">
        <v>45733</v>
      </c>
      <c r="D432" t="s">
        <v>175</v>
      </c>
      <c r="E432" t="s">
        <v>176</v>
      </c>
      <c r="F432" t="s">
        <v>556</v>
      </c>
      <c r="G432" t="s">
        <v>557</v>
      </c>
      <c r="H432">
        <v>1707</v>
      </c>
      <c r="I432" t="s">
        <v>6655</v>
      </c>
      <c r="J432">
        <v>4171</v>
      </c>
      <c r="K432" t="s">
        <v>5254</v>
      </c>
      <c r="M432" t="s">
        <v>4781</v>
      </c>
      <c r="N432" t="s">
        <v>4782</v>
      </c>
      <c r="O432" t="s">
        <v>1674</v>
      </c>
      <c r="Q432" t="s">
        <v>6313</v>
      </c>
      <c r="R432">
        <f>1</f>
        <v>1</v>
      </c>
      <c r="S432">
        <f>12.7</f>
        <v>12.7</v>
      </c>
      <c r="T432">
        <f>7.5</f>
        <v>7.5</v>
      </c>
      <c r="U432">
        <f>551</f>
        <v>551</v>
      </c>
      <c r="X432">
        <f>0</f>
        <v>0</v>
      </c>
      <c r="Y432">
        <f>0.1</f>
        <v>0.1</v>
      </c>
      <c r="Z432">
        <f>0</f>
        <v>0</v>
      </c>
      <c r="AA432" t="s">
        <v>158</v>
      </c>
      <c r="AB432" t="s">
        <v>158</v>
      </c>
      <c r="AD432">
        <f>0</f>
        <v>0</v>
      </c>
      <c r="AE432">
        <f>0</f>
        <v>0</v>
      </c>
    </row>
    <row r="433" spans="1:135" x14ac:dyDescent="0.25">
      <c r="A433" t="s">
        <v>1675</v>
      </c>
      <c r="B433" t="s">
        <v>148</v>
      </c>
      <c r="C433" s="1">
        <v>45721</v>
      </c>
      <c r="D433" t="s">
        <v>311</v>
      </c>
      <c r="E433" t="s">
        <v>312</v>
      </c>
      <c r="F433" t="s">
        <v>349</v>
      </c>
      <c r="G433" t="s">
        <v>6656</v>
      </c>
      <c r="H433">
        <v>848</v>
      </c>
      <c r="I433" t="s">
        <v>4783</v>
      </c>
      <c r="J433">
        <v>870</v>
      </c>
      <c r="K433" t="s">
        <v>5257</v>
      </c>
      <c r="L433" t="s">
        <v>431</v>
      </c>
      <c r="M433" t="s">
        <v>6657</v>
      </c>
      <c r="N433" t="s">
        <v>4784</v>
      </c>
      <c r="O433" t="s">
        <v>1676</v>
      </c>
      <c r="R433">
        <f>1</f>
        <v>1</v>
      </c>
      <c r="S433">
        <f>5.4</f>
        <v>5.4</v>
      </c>
      <c r="T433">
        <f>6.8</f>
        <v>6.8</v>
      </c>
      <c r="U433">
        <f>120</f>
        <v>120</v>
      </c>
      <c r="V433">
        <f>0.16</f>
        <v>0.16</v>
      </c>
      <c r="X433">
        <f>0</f>
        <v>0</v>
      </c>
      <c r="Y433" t="s">
        <v>157</v>
      </c>
      <c r="Z433">
        <f>0</f>
        <v>0</v>
      </c>
      <c r="AA433" t="s">
        <v>158</v>
      </c>
      <c r="AB433" t="s">
        <v>158</v>
      </c>
      <c r="AC433">
        <f>0</f>
        <v>0</v>
      </c>
      <c r="AD433">
        <f>0</f>
        <v>0</v>
      </c>
      <c r="AE433">
        <f>0</f>
        <v>0</v>
      </c>
      <c r="AH433" t="s">
        <v>157</v>
      </c>
    </row>
    <row r="434" spans="1:135" x14ac:dyDescent="0.25">
      <c r="A434" t="s">
        <v>1677</v>
      </c>
      <c r="B434" t="s">
        <v>148</v>
      </c>
      <c r="C434" s="1">
        <v>45722</v>
      </c>
      <c r="D434" t="s">
        <v>311</v>
      </c>
      <c r="E434" t="s">
        <v>312</v>
      </c>
      <c r="F434" t="s">
        <v>424</v>
      </c>
      <c r="G434" t="s">
        <v>425</v>
      </c>
      <c r="H434">
        <v>1800</v>
      </c>
      <c r="I434" t="s">
        <v>6658</v>
      </c>
      <c r="J434">
        <v>427</v>
      </c>
      <c r="K434" t="s">
        <v>5257</v>
      </c>
      <c r="L434" t="s">
        <v>1678</v>
      </c>
      <c r="M434" t="s">
        <v>5988</v>
      </c>
      <c r="N434" t="s">
        <v>4785</v>
      </c>
      <c r="O434" t="s">
        <v>1679</v>
      </c>
      <c r="R434">
        <f>1</f>
        <v>1</v>
      </c>
      <c r="S434">
        <f>8.8</f>
        <v>8.8000000000000007</v>
      </c>
      <c r="T434">
        <f>7.6</f>
        <v>7.6</v>
      </c>
      <c r="U434">
        <f>584</f>
        <v>584</v>
      </c>
      <c r="X434">
        <f>0</f>
        <v>0</v>
      </c>
      <c r="Y434" t="s">
        <v>157</v>
      </c>
      <c r="Z434">
        <f>0</f>
        <v>0</v>
      </c>
      <c r="AA434" t="s">
        <v>158</v>
      </c>
      <c r="AB434" t="s">
        <v>158</v>
      </c>
      <c r="AD434">
        <f>0</f>
        <v>0</v>
      </c>
      <c r="AE434">
        <f>0</f>
        <v>0</v>
      </c>
      <c r="AH434" t="s">
        <v>157</v>
      </c>
    </row>
    <row r="435" spans="1:135" x14ac:dyDescent="0.25">
      <c r="A435" t="s">
        <v>1680</v>
      </c>
      <c r="B435" t="s">
        <v>268</v>
      </c>
      <c r="C435" s="1">
        <v>45723</v>
      </c>
      <c r="D435" t="s">
        <v>175</v>
      </c>
      <c r="E435" t="s">
        <v>176</v>
      </c>
      <c r="F435" t="s">
        <v>1681</v>
      </c>
      <c r="G435" t="s">
        <v>1682</v>
      </c>
      <c r="H435">
        <v>2</v>
      </c>
      <c r="I435" t="s">
        <v>1682</v>
      </c>
      <c r="J435">
        <v>450</v>
      </c>
      <c r="K435" t="s">
        <v>5254</v>
      </c>
      <c r="L435" t="s">
        <v>180</v>
      </c>
      <c r="M435" t="s">
        <v>1683</v>
      </c>
      <c r="N435" t="s">
        <v>1684</v>
      </c>
      <c r="O435" t="s">
        <v>1685</v>
      </c>
      <c r="Q435" t="s">
        <v>6359</v>
      </c>
      <c r="R435">
        <f>1</f>
        <v>1</v>
      </c>
      <c r="S435">
        <f>8</f>
        <v>8</v>
      </c>
      <c r="T435">
        <f>7.4</f>
        <v>7.4</v>
      </c>
      <c r="U435">
        <f>553</f>
        <v>553</v>
      </c>
      <c r="X435">
        <f>0</f>
        <v>0</v>
      </c>
      <c r="Y435">
        <f>0.2</f>
        <v>0.2</v>
      </c>
      <c r="Z435">
        <f>0</f>
        <v>0</v>
      </c>
      <c r="AA435" t="s">
        <v>158</v>
      </c>
      <c r="AB435" t="s">
        <v>158</v>
      </c>
      <c r="AD435">
        <f>0</f>
        <v>0</v>
      </c>
      <c r="AE435">
        <f>3</f>
        <v>3</v>
      </c>
    </row>
    <row r="436" spans="1:135" x14ac:dyDescent="0.25">
      <c r="A436" t="s">
        <v>1686</v>
      </c>
      <c r="B436" t="s">
        <v>148</v>
      </c>
      <c r="C436" s="1">
        <v>45785</v>
      </c>
      <c r="D436" t="s">
        <v>175</v>
      </c>
      <c r="E436" t="s">
        <v>176</v>
      </c>
      <c r="F436" t="s">
        <v>556</v>
      </c>
      <c r="G436" t="s">
        <v>5150</v>
      </c>
      <c r="H436">
        <v>318</v>
      </c>
      <c r="I436" t="s">
        <v>5150</v>
      </c>
      <c r="J436">
        <v>721</v>
      </c>
      <c r="K436" t="s">
        <v>5254</v>
      </c>
      <c r="L436" t="s">
        <v>431</v>
      </c>
      <c r="M436" t="s">
        <v>5384</v>
      </c>
      <c r="N436" t="s">
        <v>5989</v>
      </c>
      <c r="O436" t="s">
        <v>1687</v>
      </c>
      <c r="Q436" t="s">
        <v>6360</v>
      </c>
      <c r="R436">
        <f>1</f>
        <v>1</v>
      </c>
      <c r="S436">
        <f>15.6</f>
        <v>15.6</v>
      </c>
      <c r="T436">
        <f>7.5</f>
        <v>7.5</v>
      </c>
      <c r="U436">
        <f>512</f>
        <v>512</v>
      </c>
      <c r="X436">
        <f>0</f>
        <v>0</v>
      </c>
      <c r="Y436" t="s">
        <v>157</v>
      </c>
      <c r="Z436">
        <f>0</f>
        <v>0</v>
      </c>
      <c r="AA436">
        <f>45</f>
        <v>45</v>
      </c>
      <c r="AB436" t="s">
        <v>158</v>
      </c>
      <c r="AD436">
        <f>0</f>
        <v>0</v>
      </c>
      <c r="AE436">
        <f>0</f>
        <v>0</v>
      </c>
      <c r="AH436" t="s">
        <v>157</v>
      </c>
      <c r="AI436" t="s">
        <v>238</v>
      </c>
      <c r="AL436" t="s">
        <v>164</v>
      </c>
      <c r="AM436" t="s">
        <v>165</v>
      </c>
      <c r="AN436">
        <f>4</f>
        <v>4</v>
      </c>
      <c r="AO436">
        <f>0.08</f>
        <v>0.08</v>
      </c>
      <c r="AP436">
        <f>9.5</f>
        <v>9.5</v>
      </c>
      <c r="AQ436">
        <f>1.5</f>
        <v>1.5</v>
      </c>
      <c r="AR436" t="s">
        <v>157</v>
      </c>
      <c r="AS436">
        <f>0.86</f>
        <v>0.86</v>
      </c>
      <c r="AY436" t="s">
        <v>167</v>
      </c>
      <c r="AZ436" t="s">
        <v>158</v>
      </c>
      <c r="BA436" t="s">
        <v>216</v>
      </c>
      <c r="BB436" t="s">
        <v>158</v>
      </c>
      <c r="BC436" t="s">
        <v>166</v>
      </c>
      <c r="BD436" t="s">
        <v>167</v>
      </c>
      <c r="BE436">
        <f>0.0062</f>
        <v>6.1999999999999998E-3</v>
      </c>
      <c r="BF436" t="s">
        <v>168</v>
      </c>
      <c r="BG436" t="s">
        <v>167</v>
      </c>
      <c r="BH436">
        <f>1</f>
        <v>1</v>
      </c>
      <c r="BK436">
        <f>0.41</f>
        <v>0.41</v>
      </c>
    </row>
    <row r="437" spans="1:135" x14ac:dyDescent="0.25">
      <c r="A437" t="s">
        <v>1688</v>
      </c>
      <c r="B437" t="s">
        <v>268</v>
      </c>
      <c r="C437" s="1">
        <v>45897</v>
      </c>
      <c r="D437" t="s">
        <v>149</v>
      </c>
      <c r="E437" t="s">
        <v>150</v>
      </c>
      <c r="F437" t="s">
        <v>613</v>
      </c>
      <c r="G437" t="s">
        <v>1689</v>
      </c>
      <c r="H437">
        <v>323</v>
      </c>
      <c r="I437" t="s">
        <v>1689</v>
      </c>
      <c r="J437">
        <v>254</v>
      </c>
      <c r="K437" t="s">
        <v>5254</v>
      </c>
      <c r="L437" t="s">
        <v>431</v>
      </c>
      <c r="M437" t="s">
        <v>1690</v>
      </c>
      <c r="N437" t="s">
        <v>1691</v>
      </c>
      <c r="O437" t="s">
        <v>1692</v>
      </c>
      <c r="R437">
        <f>1</f>
        <v>1</v>
      </c>
      <c r="S437">
        <f>21.7</f>
        <v>21.7</v>
      </c>
      <c r="T437">
        <f>6.8</f>
        <v>6.8</v>
      </c>
      <c r="U437">
        <f>398</f>
        <v>398</v>
      </c>
      <c r="V437" t="s">
        <v>209</v>
      </c>
      <c r="X437">
        <f>0</f>
        <v>0</v>
      </c>
      <c r="Y437">
        <f>0.1</f>
        <v>0.1</v>
      </c>
      <c r="Z437">
        <f>0</f>
        <v>0</v>
      </c>
      <c r="AA437" t="s">
        <v>158</v>
      </c>
      <c r="AB437" t="s">
        <v>158</v>
      </c>
      <c r="AD437">
        <f>0</f>
        <v>0</v>
      </c>
      <c r="AE437">
        <f>13</f>
        <v>13</v>
      </c>
      <c r="AH437" t="s">
        <v>157</v>
      </c>
      <c r="BI437">
        <f>0.2</f>
        <v>0.2</v>
      </c>
      <c r="BL437" t="s">
        <v>168</v>
      </c>
      <c r="BM437" t="s">
        <v>168</v>
      </c>
      <c r="BN437" t="s">
        <v>168</v>
      </c>
      <c r="BO437" t="s">
        <v>168</v>
      </c>
      <c r="BP437" t="s">
        <v>168</v>
      </c>
      <c r="BQ437" t="s">
        <v>168</v>
      </c>
      <c r="BR437" t="s">
        <v>168</v>
      </c>
      <c r="BS437" t="s">
        <v>168</v>
      </c>
      <c r="BT437" t="s">
        <v>216</v>
      </c>
      <c r="BU437" t="s">
        <v>168</v>
      </c>
      <c r="BV437" t="s">
        <v>209</v>
      </c>
      <c r="BW437" t="s">
        <v>209</v>
      </c>
      <c r="BX437" t="s">
        <v>209</v>
      </c>
      <c r="BY437" t="s">
        <v>209</v>
      </c>
      <c r="BZ437" t="s">
        <v>216</v>
      </c>
      <c r="CA437" t="s">
        <v>216</v>
      </c>
      <c r="CB437" t="s">
        <v>168</v>
      </c>
      <c r="CC437" t="s">
        <v>168</v>
      </c>
      <c r="CD437" t="s">
        <v>216</v>
      </c>
      <c r="CE437" t="s">
        <v>209</v>
      </c>
      <c r="CF437">
        <f>0.44</f>
        <v>0.44</v>
      </c>
      <c r="CG437" t="s">
        <v>168</v>
      </c>
      <c r="CH437" t="s">
        <v>165</v>
      </c>
      <c r="CI437" t="s">
        <v>216</v>
      </c>
      <c r="CJ437" t="s">
        <v>216</v>
      </c>
      <c r="CK437" t="s">
        <v>216</v>
      </c>
      <c r="CL437" t="s">
        <v>216</v>
      </c>
      <c r="CM437" t="s">
        <v>216</v>
      </c>
      <c r="CN437" t="s">
        <v>216</v>
      </c>
      <c r="CO437" t="s">
        <v>216</v>
      </c>
      <c r="CP437" t="s">
        <v>216</v>
      </c>
      <c r="CQ437" t="s">
        <v>216</v>
      </c>
      <c r="CR437" t="s">
        <v>216</v>
      </c>
      <c r="CS437" t="s">
        <v>216</v>
      </c>
      <c r="CT437" t="s">
        <v>216</v>
      </c>
      <c r="CU437" t="s">
        <v>216</v>
      </c>
      <c r="CV437" t="s">
        <v>216</v>
      </c>
      <c r="CW437" t="s">
        <v>216</v>
      </c>
      <c r="CX437" t="s">
        <v>216</v>
      </c>
      <c r="CY437" t="s">
        <v>216</v>
      </c>
      <c r="CZ437" t="s">
        <v>216</v>
      </c>
      <c r="DA437" t="s">
        <v>168</v>
      </c>
      <c r="DB437" t="s">
        <v>216</v>
      </c>
      <c r="DC437" t="s">
        <v>216</v>
      </c>
      <c r="DD437" t="s">
        <v>216</v>
      </c>
      <c r="DE437" t="s">
        <v>168</v>
      </c>
      <c r="DF437" t="s">
        <v>168</v>
      </c>
      <c r="DG437" t="s">
        <v>216</v>
      </c>
      <c r="DH437" t="s">
        <v>216</v>
      </c>
      <c r="DI437" t="s">
        <v>216</v>
      </c>
      <c r="DJ437" t="s">
        <v>216</v>
      </c>
      <c r="DK437" t="s">
        <v>168</v>
      </c>
      <c r="DL437" t="s">
        <v>216</v>
      </c>
      <c r="DM437" t="s">
        <v>216</v>
      </c>
      <c r="DN437" t="s">
        <v>216</v>
      </c>
      <c r="DO437" t="s">
        <v>216</v>
      </c>
      <c r="DP437" t="s">
        <v>168</v>
      </c>
      <c r="DQ437" t="s">
        <v>216</v>
      </c>
      <c r="DR437" t="s">
        <v>168</v>
      </c>
      <c r="DS437" t="s">
        <v>168</v>
      </c>
      <c r="DT437" t="s">
        <v>168</v>
      </c>
      <c r="DU437" t="s">
        <v>168</v>
      </c>
      <c r="DV437" t="s">
        <v>168</v>
      </c>
      <c r="DW437" t="s">
        <v>168</v>
      </c>
      <c r="DX437" t="s">
        <v>168</v>
      </c>
      <c r="DY437" t="s">
        <v>168</v>
      </c>
      <c r="DZ437" t="s">
        <v>209</v>
      </c>
      <c r="EA437" t="s">
        <v>216</v>
      </c>
      <c r="EB437" t="s">
        <v>168</v>
      </c>
      <c r="EC437" t="s">
        <v>168</v>
      </c>
      <c r="ED437" t="s">
        <v>209</v>
      </c>
      <c r="EE437" t="s">
        <v>168</v>
      </c>
    </row>
    <row r="438" spans="1:135" x14ac:dyDescent="0.25">
      <c r="A438" t="s">
        <v>1693</v>
      </c>
      <c r="B438" t="s">
        <v>148</v>
      </c>
      <c r="C438" s="1">
        <v>45722</v>
      </c>
      <c r="D438" t="s">
        <v>149</v>
      </c>
      <c r="E438" t="s">
        <v>150</v>
      </c>
      <c r="F438" t="s">
        <v>5990</v>
      </c>
      <c r="G438" t="s">
        <v>6659</v>
      </c>
      <c r="H438">
        <v>524</v>
      </c>
      <c r="I438" t="s">
        <v>6659</v>
      </c>
      <c r="J438">
        <v>200</v>
      </c>
      <c r="K438" t="s">
        <v>5254</v>
      </c>
      <c r="L438" t="s">
        <v>180</v>
      </c>
      <c r="M438" t="s">
        <v>4994</v>
      </c>
      <c r="N438" t="s">
        <v>5991</v>
      </c>
      <c r="O438" t="s">
        <v>1694</v>
      </c>
      <c r="R438">
        <f>1</f>
        <v>1</v>
      </c>
      <c r="S438">
        <f>9.3</f>
        <v>9.3000000000000007</v>
      </c>
      <c r="T438">
        <f>7.5</f>
        <v>7.5</v>
      </c>
      <c r="U438">
        <f>452</f>
        <v>452</v>
      </c>
      <c r="X438">
        <f>0</f>
        <v>0</v>
      </c>
      <c r="Y438">
        <f>0.1</f>
        <v>0.1</v>
      </c>
      <c r="Z438">
        <f>0</f>
        <v>0</v>
      </c>
      <c r="AA438" t="s">
        <v>158</v>
      </c>
      <c r="AB438" t="s">
        <v>158</v>
      </c>
      <c r="AD438">
        <f>0</f>
        <v>0</v>
      </c>
      <c r="AE438">
        <f>0</f>
        <v>0</v>
      </c>
      <c r="AH438" t="s">
        <v>157</v>
      </c>
      <c r="BI438">
        <f>0.2</f>
        <v>0.2</v>
      </c>
    </row>
    <row r="439" spans="1:135" x14ac:dyDescent="0.25">
      <c r="A439" t="s">
        <v>1695</v>
      </c>
      <c r="B439" t="s">
        <v>148</v>
      </c>
      <c r="C439" s="1">
        <v>45728</v>
      </c>
      <c r="D439" t="s">
        <v>149</v>
      </c>
      <c r="E439" t="s">
        <v>150</v>
      </c>
      <c r="F439" t="s">
        <v>151</v>
      </c>
      <c r="G439" t="s">
        <v>5992</v>
      </c>
      <c r="H439">
        <v>610</v>
      </c>
      <c r="I439" t="s">
        <v>5992</v>
      </c>
      <c r="J439">
        <v>269</v>
      </c>
      <c r="K439" t="s">
        <v>5254</v>
      </c>
      <c r="L439" t="s">
        <v>180</v>
      </c>
      <c r="M439" t="s">
        <v>5451</v>
      </c>
      <c r="N439" t="s">
        <v>5452</v>
      </c>
      <c r="O439" t="s">
        <v>1696</v>
      </c>
      <c r="R439">
        <f>1</f>
        <v>1</v>
      </c>
      <c r="S439">
        <f>7.6</f>
        <v>7.6</v>
      </c>
      <c r="T439">
        <f>7</f>
        <v>7</v>
      </c>
      <c r="U439">
        <f>240</f>
        <v>240</v>
      </c>
      <c r="X439">
        <f>0</f>
        <v>0</v>
      </c>
      <c r="Y439">
        <f>0.1</f>
        <v>0.1</v>
      </c>
      <c r="Z439">
        <f>0</f>
        <v>0</v>
      </c>
      <c r="AA439" t="s">
        <v>158</v>
      </c>
      <c r="AB439" t="s">
        <v>158</v>
      </c>
      <c r="AD439">
        <f>0</f>
        <v>0</v>
      </c>
      <c r="AE439">
        <f>0</f>
        <v>0</v>
      </c>
      <c r="AH439" t="s">
        <v>157</v>
      </c>
    </row>
    <row r="440" spans="1:135" x14ac:dyDescent="0.25">
      <c r="A440" t="s">
        <v>1697</v>
      </c>
      <c r="B440" t="s">
        <v>148</v>
      </c>
      <c r="C440" s="1">
        <v>45741</v>
      </c>
      <c r="D440" t="s">
        <v>175</v>
      </c>
      <c r="E440" t="s">
        <v>649</v>
      </c>
      <c r="F440" t="s">
        <v>650</v>
      </c>
      <c r="G440" t="s">
        <v>6660</v>
      </c>
      <c r="H440">
        <v>736</v>
      </c>
      <c r="I440" t="s">
        <v>6661</v>
      </c>
      <c r="J440">
        <v>695</v>
      </c>
      <c r="K440" t="s">
        <v>5257</v>
      </c>
      <c r="L440" t="s">
        <v>154</v>
      </c>
      <c r="M440" t="s">
        <v>1698</v>
      </c>
      <c r="N440" t="s">
        <v>1699</v>
      </c>
      <c r="O440" t="s">
        <v>1700</v>
      </c>
      <c r="R440">
        <f>1</f>
        <v>1</v>
      </c>
      <c r="S440">
        <f>10.7</f>
        <v>10.7</v>
      </c>
      <c r="T440">
        <f>7.6</f>
        <v>7.6</v>
      </c>
      <c r="U440">
        <f>445</f>
        <v>445</v>
      </c>
      <c r="V440">
        <f>0.11</f>
        <v>0.11</v>
      </c>
      <c r="X440">
        <f>0</f>
        <v>0</v>
      </c>
      <c r="Y440" t="s">
        <v>157</v>
      </c>
      <c r="Z440">
        <f>0</f>
        <v>0</v>
      </c>
      <c r="AA440" t="s">
        <v>158</v>
      </c>
      <c r="AB440" t="s">
        <v>158</v>
      </c>
      <c r="AC440">
        <f>0</f>
        <v>0</v>
      </c>
      <c r="AD440">
        <f>0</f>
        <v>0</v>
      </c>
      <c r="AE440">
        <f>0</f>
        <v>0</v>
      </c>
      <c r="AH440" t="s">
        <v>157</v>
      </c>
    </row>
    <row r="441" spans="1:135" x14ac:dyDescent="0.25">
      <c r="A441" t="s">
        <v>1701</v>
      </c>
      <c r="B441" t="s">
        <v>148</v>
      </c>
      <c r="C441" s="1">
        <v>45727</v>
      </c>
      <c r="D441" t="s">
        <v>242</v>
      </c>
      <c r="E441" t="s">
        <v>243</v>
      </c>
      <c r="F441" t="s">
        <v>253</v>
      </c>
      <c r="G441" t="s">
        <v>5774</v>
      </c>
      <c r="H441">
        <v>214</v>
      </c>
      <c r="I441" t="s">
        <v>1702</v>
      </c>
      <c r="J441">
        <v>305</v>
      </c>
      <c r="K441" t="s">
        <v>5257</v>
      </c>
      <c r="L441" t="s">
        <v>393</v>
      </c>
      <c r="M441" t="s">
        <v>5453</v>
      </c>
      <c r="N441" t="s">
        <v>5993</v>
      </c>
      <c r="O441" t="s">
        <v>1703</v>
      </c>
      <c r="R441">
        <f>1</f>
        <v>1</v>
      </c>
      <c r="S441">
        <f>5.8</f>
        <v>5.8</v>
      </c>
      <c r="T441">
        <f>8.1</f>
        <v>8.1</v>
      </c>
      <c r="U441">
        <f>334</f>
        <v>334</v>
      </c>
      <c r="X441">
        <f>0</f>
        <v>0</v>
      </c>
      <c r="Y441" t="s">
        <v>157</v>
      </c>
      <c r="Z441">
        <f>0</f>
        <v>0</v>
      </c>
      <c r="AA441" t="s">
        <v>158</v>
      </c>
      <c r="AB441" t="s">
        <v>158</v>
      </c>
      <c r="AC441">
        <f>0</f>
        <v>0</v>
      </c>
      <c r="AD441">
        <f>0</f>
        <v>0</v>
      </c>
      <c r="AE441">
        <f>0</f>
        <v>0</v>
      </c>
      <c r="AH441" t="s">
        <v>157</v>
      </c>
    </row>
    <row r="442" spans="1:135" x14ac:dyDescent="0.25">
      <c r="A442" t="s">
        <v>1704</v>
      </c>
      <c r="B442" t="s">
        <v>148</v>
      </c>
      <c r="C442" s="1">
        <v>45720</v>
      </c>
      <c r="D442" t="s">
        <v>175</v>
      </c>
      <c r="E442" t="s">
        <v>176</v>
      </c>
      <c r="F442" t="s">
        <v>630</v>
      </c>
      <c r="G442" t="s">
        <v>1705</v>
      </c>
      <c r="H442">
        <v>783</v>
      </c>
      <c r="I442" t="s">
        <v>1705</v>
      </c>
      <c r="J442">
        <v>406</v>
      </c>
      <c r="K442" t="s">
        <v>5257</v>
      </c>
      <c r="L442" t="s">
        <v>154</v>
      </c>
      <c r="M442" t="s">
        <v>5384</v>
      </c>
      <c r="N442" t="s">
        <v>1706</v>
      </c>
      <c r="O442" t="s">
        <v>1707</v>
      </c>
      <c r="Q442" t="s">
        <v>6361</v>
      </c>
      <c r="R442">
        <f>1</f>
        <v>1</v>
      </c>
      <c r="S442">
        <f>5.5</f>
        <v>5.5</v>
      </c>
      <c r="T442">
        <f>7.5</f>
        <v>7.5</v>
      </c>
      <c r="U442">
        <f>566</f>
        <v>566</v>
      </c>
      <c r="V442">
        <f>0.15</f>
        <v>0.15</v>
      </c>
      <c r="X442">
        <f>0</f>
        <v>0</v>
      </c>
      <c r="Y442" t="s">
        <v>157</v>
      </c>
      <c r="Z442">
        <f>0</f>
        <v>0</v>
      </c>
      <c r="AA442" t="s">
        <v>158</v>
      </c>
      <c r="AB442" t="s">
        <v>158</v>
      </c>
      <c r="AC442">
        <f>0</f>
        <v>0</v>
      </c>
      <c r="AD442">
        <f>0</f>
        <v>0</v>
      </c>
      <c r="AE442">
        <f>0</f>
        <v>0</v>
      </c>
    </row>
    <row r="443" spans="1:135" x14ac:dyDescent="0.25">
      <c r="A443" t="s">
        <v>1708</v>
      </c>
      <c r="B443" t="s">
        <v>148</v>
      </c>
      <c r="C443" s="1">
        <v>45720</v>
      </c>
      <c r="D443" t="s">
        <v>175</v>
      </c>
      <c r="E443" t="s">
        <v>176</v>
      </c>
      <c r="F443" t="s">
        <v>630</v>
      </c>
      <c r="G443" t="s">
        <v>5151</v>
      </c>
      <c r="H443">
        <v>785</v>
      </c>
      <c r="I443" t="s">
        <v>5151</v>
      </c>
      <c r="J443">
        <v>375</v>
      </c>
      <c r="K443" t="s">
        <v>5254</v>
      </c>
      <c r="L443" t="s">
        <v>154</v>
      </c>
      <c r="M443" t="s">
        <v>5994</v>
      </c>
      <c r="N443" t="s">
        <v>5152</v>
      </c>
      <c r="O443" t="s">
        <v>1709</v>
      </c>
      <c r="R443">
        <f>1</f>
        <v>1</v>
      </c>
      <c r="S443">
        <f>7.5</f>
        <v>7.5</v>
      </c>
      <c r="T443">
        <f>7.5</f>
        <v>7.5</v>
      </c>
      <c r="U443">
        <f>577</f>
        <v>577</v>
      </c>
      <c r="V443">
        <f>0.1</f>
        <v>0.1</v>
      </c>
      <c r="X443">
        <f>0</f>
        <v>0</v>
      </c>
      <c r="Y443" t="s">
        <v>157</v>
      </c>
      <c r="Z443">
        <f>0</f>
        <v>0</v>
      </c>
      <c r="AA443" t="s">
        <v>158</v>
      </c>
      <c r="AB443" t="s">
        <v>158</v>
      </c>
      <c r="AD443">
        <f>0</f>
        <v>0</v>
      </c>
      <c r="AE443">
        <f>0</f>
        <v>0</v>
      </c>
    </row>
    <row r="444" spans="1:135" x14ac:dyDescent="0.25">
      <c r="A444" t="s">
        <v>1710</v>
      </c>
      <c r="B444" t="s">
        <v>148</v>
      </c>
      <c r="C444" s="1">
        <v>45720</v>
      </c>
      <c r="D444" t="s">
        <v>175</v>
      </c>
      <c r="E444" t="s">
        <v>176</v>
      </c>
      <c r="F444" t="s">
        <v>630</v>
      </c>
      <c r="G444" t="s">
        <v>1711</v>
      </c>
      <c r="H444">
        <v>786</v>
      </c>
      <c r="I444" t="s">
        <v>1711</v>
      </c>
      <c r="J444">
        <v>358</v>
      </c>
      <c r="K444" t="s">
        <v>5257</v>
      </c>
      <c r="L444" t="s">
        <v>154</v>
      </c>
      <c r="M444" t="s">
        <v>1712</v>
      </c>
      <c r="N444" t="s">
        <v>4786</v>
      </c>
      <c r="O444" t="s">
        <v>1713</v>
      </c>
      <c r="Q444" t="s">
        <v>6362</v>
      </c>
      <c r="R444">
        <f>1</f>
        <v>1</v>
      </c>
      <c r="S444">
        <f>6.3</f>
        <v>6.3</v>
      </c>
      <c r="T444">
        <f>7.6</f>
        <v>7.6</v>
      </c>
      <c r="U444">
        <f>488</f>
        <v>488</v>
      </c>
      <c r="V444">
        <f>0.17</f>
        <v>0.17</v>
      </c>
      <c r="X444">
        <f>0</f>
        <v>0</v>
      </c>
      <c r="Y444">
        <f>0.3</f>
        <v>0.3</v>
      </c>
      <c r="Z444">
        <f>0</f>
        <v>0</v>
      </c>
      <c r="AA444" t="s">
        <v>158</v>
      </c>
      <c r="AB444" t="s">
        <v>158</v>
      </c>
      <c r="AC444">
        <f>0</f>
        <v>0</v>
      </c>
      <c r="AD444">
        <f>0</f>
        <v>0</v>
      </c>
      <c r="AE444">
        <f>0</f>
        <v>0</v>
      </c>
    </row>
    <row r="445" spans="1:135" x14ac:dyDescent="0.25">
      <c r="A445" t="s">
        <v>1714</v>
      </c>
      <c r="B445" t="s">
        <v>148</v>
      </c>
      <c r="C445" s="1">
        <v>45721</v>
      </c>
      <c r="D445" t="s">
        <v>175</v>
      </c>
      <c r="E445" t="s">
        <v>176</v>
      </c>
      <c r="F445" t="s">
        <v>630</v>
      </c>
      <c r="G445" t="s">
        <v>1715</v>
      </c>
      <c r="H445">
        <v>787</v>
      </c>
      <c r="I445" t="s">
        <v>1715</v>
      </c>
      <c r="J445">
        <v>422</v>
      </c>
      <c r="K445" t="s">
        <v>5257</v>
      </c>
      <c r="L445" t="s">
        <v>154</v>
      </c>
      <c r="M445" t="s">
        <v>4787</v>
      </c>
      <c r="N445" t="s">
        <v>1716</v>
      </c>
      <c r="O445" t="s">
        <v>1717</v>
      </c>
      <c r="Q445" t="s">
        <v>1718</v>
      </c>
      <c r="R445">
        <f>1</f>
        <v>1</v>
      </c>
      <c r="S445">
        <f>6.5</f>
        <v>6.5</v>
      </c>
      <c r="T445">
        <f>7.6</f>
        <v>7.6</v>
      </c>
      <c r="U445">
        <f>532</f>
        <v>532</v>
      </c>
      <c r="V445">
        <f>0.26</f>
        <v>0.26</v>
      </c>
      <c r="X445">
        <f>0</f>
        <v>0</v>
      </c>
      <c r="Y445" t="s">
        <v>157</v>
      </c>
      <c r="Z445">
        <f>0</f>
        <v>0</v>
      </c>
      <c r="AA445" t="s">
        <v>158</v>
      </c>
      <c r="AB445" t="s">
        <v>158</v>
      </c>
      <c r="AC445">
        <f>0</f>
        <v>0</v>
      </c>
      <c r="AD445">
        <f>0</f>
        <v>0</v>
      </c>
      <c r="AE445">
        <f>0</f>
        <v>0</v>
      </c>
    </row>
    <row r="446" spans="1:135" x14ac:dyDescent="0.25">
      <c r="A446" t="s">
        <v>1719</v>
      </c>
      <c r="B446" t="s">
        <v>148</v>
      </c>
      <c r="C446" s="1">
        <v>45786</v>
      </c>
      <c r="D446" t="s">
        <v>175</v>
      </c>
      <c r="E446" t="s">
        <v>176</v>
      </c>
      <c r="F446" t="s">
        <v>556</v>
      </c>
      <c r="G446" t="s">
        <v>1720</v>
      </c>
      <c r="H446">
        <v>180</v>
      </c>
      <c r="I446" t="s">
        <v>1720</v>
      </c>
      <c r="J446">
        <v>807</v>
      </c>
      <c r="K446" t="s">
        <v>5331</v>
      </c>
      <c r="L446" t="s">
        <v>4995</v>
      </c>
      <c r="M446" t="s">
        <v>5454</v>
      </c>
      <c r="N446" t="s">
        <v>1721</v>
      </c>
      <c r="O446" t="s">
        <v>1722</v>
      </c>
      <c r="Q446" t="s">
        <v>6311</v>
      </c>
      <c r="R446">
        <f>1</f>
        <v>1</v>
      </c>
      <c r="S446">
        <f>12.5</f>
        <v>12.5</v>
      </c>
      <c r="T446">
        <f>8.1</f>
        <v>8.1</v>
      </c>
      <c r="U446">
        <f>422</f>
        <v>422</v>
      </c>
      <c r="V446" t="s">
        <v>1723</v>
      </c>
      <c r="W446">
        <f>0.06</f>
        <v>0.06</v>
      </c>
      <c r="X446">
        <f>0</f>
        <v>0</v>
      </c>
      <c r="Y446" t="s">
        <v>157</v>
      </c>
      <c r="Z446">
        <f>0</f>
        <v>0</v>
      </c>
      <c r="AA446" t="s">
        <v>158</v>
      </c>
      <c r="AB446" t="s">
        <v>158</v>
      </c>
      <c r="AC446">
        <f>0</f>
        <v>0</v>
      </c>
      <c r="AD446">
        <f>0</f>
        <v>0</v>
      </c>
      <c r="AE446">
        <f>0</f>
        <v>0</v>
      </c>
      <c r="AH446" t="s">
        <v>157</v>
      </c>
      <c r="BB446" t="s">
        <v>158</v>
      </c>
    </row>
    <row r="447" spans="1:135" x14ac:dyDescent="0.25">
      <c r="A447" t="s">
        <v>1724</v>
      </c>
      <c r="B447" t="s">
        <v>148</v>
      </c>
      <c r="C447" s="1">
        <v>45765</v>
      </c>
      <c r="D447" t="s">
        <v>189</v>
      </c>
      <c r="E447" t="s">
        <v>190</v>
      </c>
      <c r="F447" t="s">
        <v>5849</v>
      </c>
      <c r="G447" t="s">
        <v>1725</v>
      </c>
      <c r="H447">
        <v>745</v>
      </c>
      <c r="I447" t="s">
        <v>1725</v>
      </c>
      <c r="J447">
        <v>101</v>
      </c>
      <c r="K447" t="s">
        <v>5257</v>
      </c>
      <c r="L447" t="s">
        <v>393</v>
      </c>
      <c r="M447" t="s">
        <v>1726</v>
      </c>
      <c r="N447" t="s">
        <v>1727</v>
      </c>
      <c r="O447" t="s">
        <v>1728</v>
      </c>
      <c r="Q447" t="s">
        <v>6340</v>
      </c>
      <c r="R447">
        <f>1</f>
        <v>1</v>
      </c>
      <c r="S447">
        <f>12.6</f>
        <v>12.6</v>
      </c>
      <c r="T447">
        <f>8</f>
        <v>8</v>
      </c>
      <c r="U447">
        <f>141</f>
        <v>141</v>
      </c>
      <c r="V447">
        <f>0.09</f>
        <v>0.09</v>
      </c>
      <c r="X447">
        <f>0</f>
        <v>0</v>
      </c>
      <c r="Y447">
        <f>0.27</f>
        <v>0.27</v>
      </c>
      <c r="Z447">
        <f>0</f>
        <v>0</v>
      </c>
      <c r="AA447">
        <f>0</f>
        <v>0</v>
      </c>
      <c r="AB447">
        <f>0</f>
        <v>0</v>
      </c>
      <c r="AC447">
        <f>0</f>
        <v>0</v>
      </c>
      <c r="AD447">
        <f>0</f>
        <v>0</v>
      </c>
      <c r="AE447">
        <f>0</f>
        <v>0</v>
      </c>
      <c r="AH447" t="s">
        <v>157</v>
      </c>
    </row>
    <row r="448" spans="1:135" x14ac:dyDescent="0.25">
      <c r="A448" t="s">
        <v>1729</v>
      </c>
      <c r="B448" t="s">
        <v>268</v>
      </c>
      <c r="C448" s="1">
        <v>45735</v>
      </c>
      <c r="D448" t="s">
        <v>189</v>
      </c>
      <c r="E448" t="s">
        <v>284</v>
      </c>
      <c r="F448" t="s">
        <v>1229</v>
      </c>
      <c r="G448" t="s">
        <v>1730</v>
      </c>
      <c r="H448">
        <v>792</v>
      </c>
      <c r="I448" t="s">
        <v>1731</v>
      </c>
      <c r="J448">
        <v>149</v>
      </c>
      <c r="K448" t="s">
        <v>5257</v>
      </c>
      <c r="L448" t="s">
        <v>4724</v>
      </c>
      <c r="M448" t="s">
        <v>1216</v>
      </c>
      <c r="N448" t="s">
        <v>1732</v>
      </c>
      <c r="O448" t="s">
        <v>1733</v>
      </c>
      <c r="Q448" t="s">
        <v>1734</v>
      </c>
      <c r="R448">
        <f>2</f>
        <v>2</v>
      </c>
      <c r="S448">
        <f>10.8</f>
        <v>10.8</v>
      </c>
      <c r="T448">
        <f>7.5</f>
        <v>7.5</v>
      </c>
      <c r="U448">
        <f>442</f>
        <v>442</v>
      </c>
      <c r="V448">
        <f>1.33</f>
        <v>1.33</v>
      </c>
      <c r="X448">
        <f>1</f>
        <v>1</v>
      </c>
      <c r="Y448">
        <f>0.27</f>
        <v>0.27</v>
      </c>
      <c r="Z448">
        <f>0</f>
        <v>0</v>
      </c>
      <c r="AA448">
        <f>2</f>
        <v>2</v>
      </c>
      <c r="AB448">
        <f>3</f>
        <v>3</v>
      </c>
      <c r="AC448">
        <f>0</f>
        <v>0</v>
      </c>
      <c r="AD448">
        <f>0</f>
        <v>0</v>
      </c>
      <c r="AE448">
        <f>0</f>
        <v>0</v>
      </c>
      <c r="AH448" t="s">
        <v>157</v>
      </c>
      <c r="BI448">
        <f>0.79</f>
        <v>0.79</v>
      </c>
    </row>
    <row r="449" spans="1:61" x14ac:dyDescent="0.25">
      <c r="A449" t="s">
        <v>1735</v>
      </c>
      <c r="B449" t="s">
        <v>268</v>
      </c>
      <c r="C449" s="1">
        <v>45734</v>
      </c>
      <c r="D449" t="s">
        <v>189</v>
      </c>
      <c r="E449" t="s">
        <v>190</v>
      </c>
      <c r="F449" t="s">
        <v>6662</v>
      </c>
      <c r="G449" t="s">
        <v>6663</v>
      </c>
      <c r="H449">
        <v>756</v>
      </c>
      <c r="I449" t="s">
        <v>1736</v>
      </c>
      <c r="J449">
        <v>76</v>
      </c>
      <c r="K449" t="s">
        <v>5257</v>
      </c>
      <c r="L449" t="s">
        <v>180</v>
      </c>
      <c r="M449" t="s">
        <v>1216</v>
      </c>
      <c r="N449" t="s">
        <v>6664</v>
      </c>
      <c r="O449" t="s">
        <v>1737</v>
      </c>
      <c r="R449">
        <f>1</f>
        <v>1</v>
      </c>
      <c r="S449">
        <f>11.6</f>
        <v>11.6</v>
      </c>
      <c r="T449">
        <f>7.2</f>
        <v>7.2</v>
      </c>
      <c r="U449">
        <f>493</f>
        <v>493</v>
      </c>
      <c r="X449">
        <f>0</f>
        <v>0</v>
      </c>
      <c r="Y449">
        <f>0.89</f>
        <v>0.89</v>
      </c>
      <c r="Z449">
        <f>0</f>
        <v>0</v>
      </c>
      <c r="AA449">
        <f>27</f>
        <v>27</v>
      </c>
      <c r="AB449">
        <f>5</f>
        <v>5</v>
      </c>
      <c r="AC449">
        <f>0</f>
        <v>0</v>
      </c>
      <c r="AD449">
        <f>4</f>
        <v>4</v>
      </c>
      <c r="AE449">
        <f>7</f>
        <v>7</v>
      </c>
      <c r="AH449" t="s">
        <v>157</v>
      </c>
      <c r="BI449">
        <f>0.39</f>
        <v>0.39</v>
      </c>
    </row>
    <row r="450" spans="1:61" x14ac:dyDescent="0.25">
      <c r="A450" t="s">
        <v>1738</v>
      </c>
      <c r="B450" t="s">
        <v>268</v>
      </c>
      <c r="C450" s="1">
        <v>45726</v>
      </c>
      <c r="D450" t="s">
        <v>189</v>
      </c>
      <c r="E450" t="s">
        <v>284</v>
      </c>
      <c r="F450" t="s">
        <v>1739</v>
      </c>
      <c r="G450" t="s">
        <v>1740</v>
      </c>
      <c r="H450">
        <v>765</v>
      </c>
      <c r="I450" t="s">
        <v>1740</v>
      </c>
      <c r="J450">
        <v>168</v>
      </c>
      <c r="K450" t="s">
        <v>5257</v>
      </c>
      <c r="L450" t="s">
        <v>4966</v>
      </c>
      <c r="M450" t="s">
        <v>1741</v>
      </c>
      <c r="N450" t="s">
        <v>5455</v>
      </c>
      <c r="O450" t="s">
        <v>1742</v>
      </c>
      <c r="Q450" t="s">
        <v>1743</v>
      </c>
      <c r="R450">
        <f>1</f>
        <v>1</v>
      </c>
      <c r="S450">
        <f>11.4</f>
        <v>11.4</v>
      </c>
      <c r="T450">
        <f>7.1</f>
        <v>7.1</v>
      </c>
      <c r="U450">
        <f>427</f>
        <v>427</v>
      </c>
      <c r="X450">
        <f>0</f>
        <v>0</v>
      </c>
      <c r="Y450">
        <f>0.16</f>
        <v>0.16</v>
      </c>
      <c r="Z450">
        <f>0</f>
        <v>0</v>
      </c>
      <c r="AA450">
        <f>38</f>
        <v>38</v>
      </c>
      <c r="AB450">
        <f>3</f>
        <v>3</v>
      </c>
      <c r="AC450">
        <f>0</f>
        <v>0</v>
      </c>
      <c r="AD450">
        <f>0</f>
        <v>0</v>
      </c>
      <c r="AE450">
        <f>2</f>
        <v>2</v>
      </c>
      <c r="AH450" t="s">
        <v>157</v>
      </c>
      <c r="BI450">
        <f>0.24</f>
        <v>0.24</v>
      </c>
    </row>
    <row r="451" spans="1:61" x14ac:dyDescent="0.25">
      <c r="A451" t="s">
        <v>1744</v>
      </c>
      <c r="B451" t="s">
        <v>268</v>
      </c>
      <c r="C451" s="1">
        <v>45734</v>
      </c>
      <c r="D451" t="s">
        <v>189</v>
      </c>
      <c r="E451" t="s">
        <v>190</v>
      </c>
      <c r="F451" t="s">
        <v>6665</v>
      </c>
      <c r="G451" t="s">
        <v>1745</v>
      </c>
      <c r="H451">
        <v>767</v>
      </c>
      <c r="I451" t="s">
        <v>1745</v>
      </c>
      <c r="J451">
        <v>108</v>
      </c>
      <c r="K451" t="s">
        <v>5257</v>
      </c>
      <c r="L451" t="s">
        <v>726</v>
      </c>
      <c r="M451" t="s">
        <v>1216</v>
      </c>
      <c r="N451" t="s">
        <v>1746</v>
      </c>
      <c r="O451" t="s">
        <v>1747</v>
      </c>
      <c r="Q451" t="s">
        <v>1748</v>
      </c>
      <c r="R451">
        <f>1</f>
        <v>1</v>
      </c>
      <c r="S451">
        <f>10.9</f>
        <v>10.9</v>
      </c>
      <c r="T451">
        <f>7.6</f>
        <v>7.6</v>
      </c>
      <c r="U451">
        <f>219</f>
        <v>219</v>
      </c>
      <c r="V451">
        <f>0.08</f>
        <v>0.08</v>
      </c>
      <c r="X451">
        <f>0</f>
        <v>0</v>
      </c>
      <c r="Y451">
        <f>1.69</f>
        <v>1.69</v>
      </c>
      <c r="Z451">
        <f>0</f>
        <v>0</v>
      </c>
      <c r="AA451">
        <f>24</f>
        <v>24</v>
      </c>
      <c r="AB451">
        <f>7</f>
        <v>7</v>
      </c>
      <c r="AC451">
        <f>1</f>
        <v>1</v>
      </c>
      <c r="AD451">
        <f>0</f>
        <v>0</v>
      </c>
      <c r="AE451">
        <f>4</f>
        <v>4</v>
      </c>
      <c r="AH451" t="s">
        <v>157</v>
      </c>
      <c r="BI451">
        <f>0.29</f>
        <v>0.28999999999999998</v>
      </c>
    </row>
    <row r="452" spans="1:61" x14ac:dyDescent="0.25">
      <c r="A452" t="s">
        <v>1749</v>
      </c>
      <c r="B452" t="s">
        <v>148</v>
      </c>
      <c r="C452" s="1">
        <v>45712</v>
      </c>
      <c r="D452" t="s">
        <v>189</v>
      </c>
      <c r="E452" t="s">
        <v>284</v>
      </c>
      <c r="F452" t="s">
        <v>285</v>
      </c>
      <c r="G452" t="s">
        <v>1750</v>
      </c>
      <c r="H452">
        <v>769</v>
      </c>
      <c r="I452" t="s">
        <v>1750</v>
      </c>
      <c r="J452">
        <v>62</v>
      </c>
      <c r="K452" t="s">
        <v>5257</v>
      </c>
      <c r="L452" t="s">
        <v>355</v>
      </c>
      <c r="M452" t="s">
        <v>1216</v>
      </c>
      <c r="N452" t="s">
        <v>1751</v>
      </c>
      <c r="O452" t="s">
        <v>1752</v>
      </c>
      <c r="R452">
        <f>1</f>
        <v>1</v>
      </c>
      <c r="S452">
        <f>5.9</f>
        <v>5.9</v>
      </c>
      <c r="T452">
        <f>8</f>
        <v>8</v>
      </c>
      <c r="U452">
        <f>359</f>
        <v>359</v>
      </c>
      <c r="V452">
        <f>0.07</f>
        <v>7.0000000000000007E-2</v>
      </c>
      <c r="X452">
        <f>0</f>
        <v>0</v>
      </c>
      <c r="Y452">
        <f>0.43</f>
        <v>0.43</v>
      </c>
      <c r="Z452">
        <f>0</f>
        <v>0</v>
      </c>
      <c r="AA452">
        <f>7</f>
        <v>7</v>
      </c>
      <c r="AB452">
        <f>3</f>
        <v>3</v>
      </c>
      <c r="AC452">
        <f>0</f>
        <v>0</v>
      </c>
      <c r="AD452">
        <f>0</f>
        <v>0</v>
      </c>
      <c r="AE452">
        <f>0</f>
        <v>0</v>
      </c>
      <c r="AH452" t="s">
        <v>157</v>
      </c>
    </row>
    <row r="453" spans="1:61" x14ac:dyDescent="0.25">
      <c r="A453" t="s">
        <v>1753</v>
      </c>
      <c r="B453" t="s">
        <v>148</v>
      </c>
      <c r="C453" s="1">
        <v>45735</v>
      </c>
      <c r="D453" t="s">
        <v>189</v>
      </c>
      <c r="E453" t="s">
        <v>284</v>
      </c>
      <c r="F453" t="s">
        <v>6603</v>
      </c>
      <c r="G453" t="s">
        <v>6666</v>
      </c>
      <c r="H453">
        <v>771</v>
      </c>
      <c r="I453" t="s">
        <v>6666</v>
      </c>
      <c r="J453">
        <v>122</v>
      </c>
      <c r="K453" t="s">
        <v>5257</v>
      </c>
      <c r="L453" t="s">
        <v>180</v>
      </c>
      <c r="M453" t="s">
        <v>6667</v>
      </c>
      <c r="N453" t="s">
        <v>6668</v>
      </c>
      <c r="O453" t="s">
        <v>1754</v>
      </c>
      <c r="Q453" t="s">
        <v>4788</v>
      </c>
      <c r="R453">
        <f>1</f>
        <v>1</v>
      </c>
      <c r="S453">
        <f>12.6</f>
        <v>12.6</v>
      </c>
      <c r="T453">
        <f>8</f>
        <v>8</v>
      </c>
      <c r="U453">
        <f>391</f>
        <v>391</v>
      </c>
      <c r="X453">
        <f>0</f>
        <v>0</v>
      </c>
      <c r="Y453">
        <f>0.29</f>
        <v>0.28999999999999998</v>
      </c>
      <c r="Z453">
        <f>0</f>
        <v>0</v>
      </c>
      <c r="AA453">
        <f>1</f>
        <v>1</v>
      </c>
      <c r="AB453">
        <f>3</f>
        <v>3</v>
      </c>
      <c r="AC453">
        <f>0</f>
        <v>0</v>
      </c>
      <c r="AD453">
        <f>0</f>
        <v>0</v>
      </c>
      <c r="AE453">
        <f>0</f>
        <v>0</v>
      </c>
      <c r="AH453" t="s">
        <v>157</v>
      </c>
    </row>
    <row r="454" spans="1:61" x14ac:dyDescent="0.25">
      <c r="A454" t="s">
        <v>1755</v>
      </c>
      <c r="B454" t="s">
        <v>148</v>
      </c>
      <c r="C454" s="1">
        <v>45735</v>
      </c>
      <c r="D454" t="s">
        <v>189</v>
      </c>
      <c r="E454" t="s">
        <v>284</v>
      </c>
      <c r="F454" t="s">
        <v>1229</v>
      </c>
      <c r="G454" t="s">
        <v>1756</v>
      </c>
      <c r="H454">
        <v>776</v>
      </c>
      <c r="I454" t="s">
        <v>1756</v>
      </c>
      <c r="J454">
        <v>153</v>
      </c>
      <c r="K454" t="s">
        <v>5257</v>
      </c>
      <c r="L454" t="s">
        <v>431</v>
      </c>
      <c r="M454" t="s">
        <v>1216</v>
      </c>
      <c r="N454" t="s">
        <v>1757</v>
      </c>
      <c r="O454" t="s">
        <v>1758</v>
      </c>
      <c r="R454">
        <f>1</f>
        <v>1</v>
      </c>
      <c r="S454">
        <f>9.6</f>
        <v>9.6</v>
      </c>
      <c r="T454">
        <f>7.9</f>
        <v>7.9</v>
      </c>
      <c r="U454">
        <f>376</f>
        <v>376</v>
      </c>
      <c r="V454">
        <f>0.07</f>
        <v>7.0000000000000007E-2</v>
      </c>
      <c r="X454">
        <f>0</f>
        <v>0</v>
      </c>
      <c r="Y454">
        <f>0.41</f>
        <v>0.41</v>
      </c>
      <c r="Z454">
        <f>0</f>
        <v>0</v>
      </c>
      <c r="AA454">
        <f>3</f>
        <v>3</v>
      </c>
      <c r="AB454">
        <f>11</f>
        <v>11</v>
      </c>
      <c r="AC454">
        <f>0</f>
        <v>0</v>
      </c>
      <c r="AD454">
        <f>0</f>
        <v>0</v>
      </c>
      <c r="AE454">
        <f>0</f>
        <v>0</v>
      </c>
      <c r="AH454" t="s">
        <v>157</v>
      </c>
      <c r="BI454">
        <f>0.19</f>
        <v>0.19</v>
      </c>
    </row>
    <row r="455" spans="1:61" x14ac:dyDescent="0.25">
      <c r="A455" t="s">
        <v>1759</v>
      </c>
      <c r="B455" t="s">
        <v>148</v>
      </c>
      <c r="C455" s="1">
        <v>45798</v>
      </c>
      <c r="D455" t="s">
        <v>189</v>
      </c>
      <c r="E455" t="s">
        <v>190</v>
      </c>
      <c r="F455" t="s">
        <v>5849</v>
      </c>
      <c r="G455" t="s">
        <v>5995</v>
      </c>
      <c r="H455">
        <v>781</v>
      </c>
      <c r="I455" t="s">
        <v>5995</v>
      </c>
      <c r="J455">
        <v>156</v>
      </c>
      <c r="K455" t="s">
        <v>5257</v>
      </c>
      <c r="L455" t="s">
        <v>726</v>
      </c>
      <c r="M455" t="s">
        <v>1216</v>
      </c>
      <c r="N455" t="s">
        <v>5996</v>
      </c>
      <c r="O455" t="s">
        <v>1760</v>
      </c>
      <c r="Q455" t="s">
        <v>6363</v>
      </c>
      <c r="R455">
        <f>1</f>
        <v>1</v>
      </c>
      <c r="S455">
        <f>14.1</f>
        <v>14.1</v>
      </c>
      <c r="T455">
        <f>8</f>
        <v>8</v>
      </c>
      <c r="U455">
        <f>449</f>
        <v>449</v>
      </c>
      <c r="X455">
        <f>0</f>
        <v>0</v>
      </c>
      <c r="Y455">
        <f>0.02</f>
        <v>0.02</v>
      </c>
      <c r="Z455">
        <f>0</f>
        <v>0</v>
      </c>
      <c r="AA455">
        <f>0</f>
        <v>0</v>
      </c>
      <c r="AB455">
        <f>0</f>
        <v>0</v>
      </c>
      <c r="AC455">
        <f>0</f>
        <v>0</v>
      </c>
      <c r="AD455">
        <f>0</f>
        <v>0</v>
      </c>
      <c r="AE455">
        <f>0</f>
        <v>0</v>
      </c>
      <c r="AH455" t="s">
        <v>157</v>
      </c>
    </row>
    <row r="456" spans="1:61" x14ac:dyDescent="0.25">
      <c r="A456" t="s">
        <v>1761</v>
      </c>
      <c r="B456" t="s">
        <v>148</v>
      </c>
      <c r="C456" s="1">
        <v>45726</v>
      </c>
      <c r="D456" t="s">
        <v>189</v>
      </c>
      <c r="E456" t="s">
        <v>284</v>
      </c>
      <c r="F456" t="s">
        <v>1762</v>
      </c>
      <c r="G456" t="s">
        <v>1763</v>
      </c>
      <c r="H456">
        <v>772</v>
      </c>
      <c r="I456" t="s">
        <v>1763</v>
      </c>
      <c r="J456">
        <v>79</v>
      </c>
      <c r="K456" t="s">
        <v>5257</v>
      </c>
      <c r="L456" t="s">
        <v>180</v>
      </c>
      <c r="M456" t="s">
        <v>1764</v>
      </c>
      <c r="N456" t="s">
        <v>5456</v>
      </c>
      <c r="O456" t="s">
        <v>1765</v>
      </c>
      <c r="Q456" t="s">
        <v>6364</v>
      </c>
      <c r="R456">
        <f>1</f>
        <v>1</v>
      </c>
      <c r="S456">
        <f>7.6</f>
        <v>7.6</v>
      </c>
      <c r="T456">
        <f>7.5</f>
        <v>7.5</v>
      </c>
      <c r="U456">
        <f>311</f>
        <v>311</v>
      </c>
      <c r="X456">
        <f>0</f>
        <v>0</v>
      </c>
      <c r="Y456">
        <f>0.86</f>
        <v>0.86</v>
      </c>
      <c r="Z456">
        <f>0</f>
        <v>0</v>
      </c>
      <c r="AA456">
        <f>7</f>
        <v>7</v>
      </c>
      <c r="AB456">
        <f>4</f>
        <v>4</v>
      </c>
      <c r="AC456">
        <f>0</f>
        <v>0</v>
      </c>
      <c r="AD456">
        <f>0</f>
        <v>0</v>
      </c>
      <c r="AE456">
        <f>0</f>
        <v>0</v>
      </c>
      <c r="AH456" t="s">
        <v>157</v>
      </c>
      <c r="BI456">
        <f>0.3</f>
        <v>0.3</v>
      </c>
    </row>
    <row r="457" spans="1:61" x14ac:dyDescent="0.25">
      <c r="A457" t="s">
        <v>1766</v>
      </c>
      <c r="B457" t="s">
        <v>148</v>
      </c>
      <c r="C457" s="1">
        <v>45754</v>
      </c>
      <c r="D457" t="s">
        <v>175</v>
      </c>
      <c r="E457" t="s">
        <v>649</v>
      </c>
      <c r="F457" t="s">
        <v>685</v>
      </c>
      <c r="G457" t="s">
        <v>5997</v>
      </c>
      <c r="H457">
        <v>795</v>
      </c>
      <c r="I457" t="s">
        <v>5997</v>
      </c>
      <c r="J457">
        <v>450</v>
      </c>
      <c r="K457" t="s">
        <v>5254</v>
      </c>
      <c r="L457" t="s">
        <v>431</v>
      </c>
      <c r="M457" t="s">
        <v>5998</v>
      </c>
      <c r="N457" t="s">
        <v>5457</v>
      </c>
      <c r="O457" t="s">
        <v>1767</v>
      </c>
      <c r="Q457" t="s">
        <v>6311</v>
      </c>
      <c r="R457">
        <f>1</f>
        <v>1</v>
      </c>
      <c r="S457">
        <f>9.2</f>
        <v>9.1999999999999993</v>
      </c>
      <c r="T457">
        <f>7.5</f>
        <v>7.5</v>
      </c>
      <c r="U457">
        <f>469</f>
        <v>469</v>
      </c>
      <c r="V457">
        <f>0.08</f>
        <v>0.08</v>
      </c>
      <c r="X457">
        <f>0</f>
        <v>0</v>
      </c>
      <c r="Y457" t="s">
        <v>157</v>
      </c>
      <c r="Z457">
        <f>0</f>
        <v>0</v>
      </c>
      <c r="AA457" t="s">
        <v>158</v>
      </c>
      <c r="AB457" t="s">
        <v>158</v>
      </c>
      <c r="AD457">
        <f>0</f>
        <v>0</v>
      </c>
      <c r="AE457">
        <f>0</f>
        <v>0</v>
      </c>
      <c r="BI457">
        <f>0.5</f>
        <v>0.5</v>
      </c>
    </row>
    <row r="458" spans="1:61" x14ac:dyDescent="0.25">
      <c r="A458" t="s">
        <v>1768</v>
      </c>
      <c r="B458" t="s">
        <v>148</v>
      </c>
      <c r="C458" s="1">
        <v>45727</v>
      </c>
      <c r="D458" t="s">
        <v>269</v>
      </c>
      <c r="E458" t="s">
        <v>295</v>
      </c>
      <c r="F458" t="s">
        <v>331</v>
      </c>
      <c r="G458" t="s">
        <v>1769</v>
      </c>
      <c r="H458">
        <v>314</v>
      </c>
      <c r="I458" t="s">
        <v>1769</v>
      </c>
      <c r="J458">
        <v>354</v>
      </c>
      <c r="K458" t="s">
        <v>5254</v>
      </c>
      <c r="L458" t="s">
        <v>431</v>
      </c>
      <c r="M458" t="s">
        <v>5999</v>
      </c>
      <c r="N458" t="s">
        <v>1770</v>
      </c>
      <c r="O458" t="s">
        <v>1771</v>
      </c>
      <c r="R458">
        <f>1</f>
        <v>1</v>
      </c>
      <c r="S458">
        <f>7.9</f>
        <v>7.9</v>
      </c>
      <c r="T458">
        <f>7.8</f>
        <v>7.8</v>
      </c>
      <c r="U458">
        <f>488</f>
        <v>488</v>
      </c>
      <c r="V458">
        <f>0.14</f>
        <v>0.14000000000000001</v>
      </c>
      <c r="X458">
        <f>0</f>
        <v>0</v>
      </c>
      <c r="Y458">
        <f>0.04</f>
        <v>0.04</v>
      </c>
      <c r="Z458">
        <f>0</f>
        <v>0</v>
      </c>
      <c r="AA458" t="s">
        <v>158</v>
      </c>
      <c r="AB458" t="s">
        <v>158</v>
      </c>
      <c r="AD458">
        <f>0</f>
        <v>0</v>
      </c>
      <c r="AE458">
        <f>0</f>
        <v>0</v>
      </c>
      <c r="AJ458" t="s">
        <v>209</v>
      </c>
      <c r="AK458" t="s">
        <v>209</v>
      </c>
    </row>
    <row r="459" spans="1:61" x14ac:dyDescent="0.25">
      <c r="A459" t="s">
        <v>1772</v>
      </c>
      <c r="B459" t="s">
        <v>148</v>
      </c>
      <c r="C459" s="1">
        <v>45749</v>
      </c>
      <c r="D459" t="s">
        <v>269</v>
      </c>
      <c r="E459" t="s">
        <v>270</v>
      </c>
      <c r="F459" t="s">
        <v>746</v>
      </c>
      <c r="G459" t="s">
        <v>1773</v>
      </c>
      <c r="H459">
        <v>315</v>
      </c>
      <c r="I459" t="s">
        <v>1773</v>
      </c>
      <c r="J459">
        <v>419</v>
      </c>
      <c r="K459" t="s">
        <v>5257</v>
      </c>
      <c r="L459" t="s">
        <v>431</v>
      </c>
      <c r="M459" t="s">
        <v>5458</v>
      </c>
      <c r="N459" t="s">
        <v>1774</v>
      </c>
      <c r="O459" t="s">
        <v>1775</v>
      </c>
      <c r="R459">
        <f>1</f>
        <v>1</v>
      </c>
      <c r="S459">
        <f>11.2</f>
        <v>11.2</v>
      </c>
      <c r="T459">
        <f>7.5</f>
        <v>7.5</v>
      </c>
      <c r="U459">
        <f>518</f>
        <v>518</v>
      </c>
      <c r="V459">
        <f>0.12</f>
        <v>0.12</v>
      </c>
      <c r="X459">
        <f>0</f>
        <v>0</v>
      </c>
      <c r="Y459">
        <f>0.18</f>
        <v>0.18</v>
      </c>
      <c r="Z459">
        <f>0</f>
        <v>0</v>
      </c>
      <c r="AA459" t="s">
        <v>158</v>
      </c>
      <c r="AB459" t="s">
        <v>158</v>
      </c>
      <c r="AC459">
        <f>0</f>
        <v>0</v>
      </c>
      <c r="AD459">
        <f>0</f>
        <v>0</v>
      </c>
      <c r="AE459">
        <f>0</f>
        <v>0</v>
      </c>
    </row>
    <row r="460" spans="1:61" x14ac:dyDescent="0.25">
      <c r="A460" t="s">
        <v>1776</v>
      </c>
      <c r="B460" t="s">
        <v>268</v>
      </c>
      <c r="C460" s="1">
        <v>45782</v>
      </c>
      <c r="D460" t="s">
        <v>269</v>
      </c>
      <c r="E460" t="s">
        <v>270</v>
      </c>
      <c r="F460" t="s">
        <v>754</v>
      </c>
      <c r="G460" t="s">
        <v>1777</v>
      </c>
      <c r="H460">
        <v>461</v>
      </c>
      <c r="I460" t="s">
        <v>1777</v>
      </c>
      <c r="J460">
        <v>300</v>
      </c>
      <c r="K460" t="s">
        <v>5257</v>
      </c>
      <c r="L460" t="s">
        <v>431</v>
      </c>
      <c r="M460" t="s">
        <v>4996</v>
      </c>
      <c r="N460" t="s">
        <v>1778</v>
      </c>
      <c r="O460" t="s">
        <v>1779</v>
      </c>
      <c r="R460">
        <f>1</f>
        <v>1</v>
      </c>
      <c r="S460">
        <f>14.4</f>
        <v>14.4</v>
      </c>
      <c r="T460">
        <f>8</f>
        <v>8</v>
      </c>
      <c r="U460">
        <f>332</f>
        <v>332</v>
      </c>
      <c r="X460">
        <f>0</f>
        <v>0</v>
      </c>
      <c r="Y460">
        <f>1.32</f>
        <v>1.32</v>
      </c>
      <c r="Z460" t="s">
        <v>1780</v>
      </c>
      <c r="AA460" t="s">
        <v>705</v>
      </c>
      <c r="AB460">
        <f>107</f>
        <v>107</v>
      </c>
      <c r="AC460">
        <f>1</f>
        <v>1</v>
      </c>
      <c r="AD460">
        <f>2</f>
        <v>2</v>
      </c>
      <c r="AE460" t="s">
        <v>1780</v>
      </c>
      <c r="AH460" t="s">
        <v>166</v>
      </c>
    </row>
    <row r="461" spans="1:61" x14ac:dyDescent="0.25">
      <c r="A461" t="s">
        <v>1781</v>
      </c>
      <c r="B461" t="s">
        <v>148</v>
      </c>
      <c r="C461" s="1">
        <v>45729</v>
      </c>
      <c r="D461" t="s">
        <v>242</v>
      </c>
      <c r="E461" t="s">
        <v>243</v>
      </c>
      <c r="F461" t="s">
        <v>5349</v>
      </c>
      <c r="G461" t="s">
        <v>881</v>
      </c>
      <c r="H461">
        <v>1132</v>
      </c>
      <c r="I461" t="s">
        <v>881</v>
      </c>
      <c r="J461">
        <v>1430</v>
      </c>
      <c r="K461" t="s">
        <v>5254</v>
      </c>
      <c r="L461" t="s">
        <v>431</v>
      </c>
      <c r="M461" t="s">
        <v>6000</v>
      </c>
      <c r="N461" t="s">
        <v>6001</v>
      </c>
      <c r="O461" t="s">
        <v>1782</v>
      </c>
      <c r="R461">
        <f>1</f>
        <v>1</v>
      </c>
      <c r="S461">
        <f>8.1</f>
        <v>8.1</v>
      </c>
      <c r="T461">
        <f>8.1</f>
        <v>8.1</v>
      </c>
      <c r="U461">
        <f>457</f>
        <v>457</v>
      </c>
      <c r="X461">
        <f>0</f>
        <v>0</v>
      </c>
      <c r="Y461">
        <f>0.17</f>
        <v>0.17</v>
      </c>
      <c r="Z461">
        <f>0</f>
        <v>0</v>
      </c>
      <c r="AA461" t="s">
        <v>158</v>
      </c>
      <c r="AB461" t="s">
        <v>158</v>
      </c>
      <c r="AD461">
        <f>0</f>
        <v>0</v>
      </c>
      <c r="AE461">
        <f>0</f>
        <v>0</v>
      </c>
      <c r="AH461" t="s">
        <v>157</v>
      </c>
    </row>
    <row r="462" spans="1:61" x14ac:dyDescent="0.25">
      <c r="A462" t="s">
        <v>1783</v>
      </c>
      <c r="B462" t="s">
        <v>148</v>
      </c>
      <c r="C462" s="1">
        <v>45721</v>
      </c>
      <c r="D462" t="s">
        <v>242</v>
      </c>
      <c r="E462" t="s">
        <v>243</v>
      </c>
      <c r="F462" t="s">
        <v>5802</v>
      </c>
      <c r="G462" t="s">
        <v>1784</v>
      </c>
      <c r="H462">
        <v>1821</v>
      </c>
      <c r="I462" t="s">
        <v>1784</v>
      </c>
      <c r="J462">
        <v>65</v>
      </c>
      <c r="K462" t="s">
        <v>5254</v>
      </c>
      <c r="L462" t="s">
        <v>393</v>
      </c>
      <c r="M462" t="s">
        <v>1785</v>
      </c>
      <c r="N462" t="s">
        <v>1786</v>
      </c>
      <c r="R462">
        <f>1</f>
        <v>1</v>
      </c>
      <c r="S462">
        <f>9.1</f>
        <v>9.1</v>
      </c>
      <c r="T462">
        <f>8</f>
        <v>8</v>
      </c>
      <c r="U462">
        <f>460</f>
        <v>460</v>
      </c>
      <c r="X462">
        <f>0</f>
        <v>0</v>
      </c>
      <c r="Y462" t="s">
        <v>157</v>
      </c>
      <c r="Z462">
        <f>0</f>
        <v>0</v>
      </c>
      <c r="AA462" t="s">
        <v>158</v>
      </c>
      <c r="AB462" t="s">
        <v>158</v>
      </c>
      <c r="AD462">
        <f>0</f>
        <v>0</v>
      </c>
      <c r="AE462">
        <f>0</f>
        <v>0</v>
      </c>
      <c r="AH462" t="s">
        <v>157</v>
      </c>
      <c r="BI462" t="s">
        <v>836</v>
      </c>
    </row>
    <row r="463" spans="1:61" x14ac:dyDescent="0.25">
      <c r="A463" t="s">
        <v>1787</v>
      </c>
      <c r="B463" t="s">
        <v>148</v>
      </c>
      <c r="C463" s="1">
        <v>45729</v>
      </c>
      <c r="D463" t="s">
        <v>242</v>
      </c>
      <c r="E463" t="s">
        <v>243</v>
      </c>
      <c r="F463" t="s">
        <v>5349</v>
      </c>
      <c r="G463" t="s">
        <v>1788</v>
      </c>
      <c r="H463">
        <v>874</v>
      </c>
      <c r="I463" t="s">
        <v>1788</v>
      </c>
      <c r="J463">
        <v>348</v>
      </c>
      <c r="K463" t="s">
        <v>5254</v>
      </c>
      <c r="L463" t="s">
        <v>431</v>
      </c>
      <c r="M463" t="s">
        <v>1789</v>
      </c>
      <c r="N463" t="s">
        <v>5459</v>
      </c>
      <c r="O463" t="s">
        <v>1790</v>
      </c>
      <c r="R463">
        <f>1</f>
        <v>1</v>
      </c>
      <c r="S463">
        <f>9.2</f>
        <v>9.1999999999999993</v>
      </c>
      <c r="T463">
        <f>7.9</f>
        <v>7.9</v>
      </c>
      <c r="U463">
        <f>411</f>
        <v>411</v>
      </c>
      <c r="V463">
        <f>0.06</f>
        <v>0.06</v>
      </c>
      <c r="X463">
        <f>0</f>
        <v>0</v>
      </c>
      <c r="Y463" t="s">
        <v>157</v>
      </c>
      <c r="Z463">
        <f>0</f>
        <v>0</v>
      </c>
      <c r="AA463" t="s">
        <v>158</v>
      </c>
      <c r="AB463" t="s">
        <v>158</v>
      </c>
      <c r="AD463">
        <f>0</f>
        <v>0</v>
      </c>
      <c r="AE463">
        <f>0</f>
        <v>0</v>
      </c>
      <c r="AH463" t="s">
        <v>157</v>
      </c>
    </row>
    <row r="464" spans="1:61" x14ac:dyDescent="0.25">
      <c r="A464" t="s">
        <v>1791</v>
      </c>
      <c r="B464" t="s">
        <v>268</v>
      </c>
      <c r="C464" s="1">
        <v>45734</v>
      </c>
      <c r="D464" t="s">
        <v>189</v>
      </c>
      <c r="E464" t="s">
        <v>190</v>
      </c>
      <c r="F464" t="s">
        <v>6665</v>
      </c>
      <c r="G464" t="s">
        <v>1792</v>
      </c>
      <c r="H464">
        <v>879</v>
      </c>
      <c r="I464" t="s">
        <v>1792</v>
      </c>
      <c r="J464">
        <v>86</v>
      </c>
      <c r="K464" t="s">
        <v>5257</v>
      </c>
      <c r="L464" t="s">
        <v>180</v>
      </c>
      <c r="M464" t="s">
        <v>1216</v>
      </c>
      <c r="N464" t="s">
        <v>1793</v>
      </c>
      <c r="O464" t="s">
        <v>1794</v>
      </c>
      <c r="R464">
        <f>1</f>
        <v>1</v>
      </c>
      <c r="S464">
        <f>8.5</f>
        <v>8.5</v>
      </c>
      <c r="T464">
        <f>7</f>
        <v>7</v>
      </c>
      <c r="U464">
        <f>104</f>
        <v>104</v>
      </c>
      <c r="X464">
        <f>0</f>
        <v>0</v>
      </c>
      <c r="Y464">
        <f>4.86</f>
        <v>4.8600000000000003</v>
      </c>
      <c r="Z464">
        <f>11</f>
        <v>11</v>
      </c>
      <c r="AA464">
        <f>130</f>
        <v>130</v>
      </c>
      <c r="AB464">
        <f>28</f>
        <v>28</v>
      </c>
      <c r="AC464">
        <f>0</f>
        <v>0</v>
      </c>
      <c r="AD464">
        <f>1</f>
        <v>1</v>
      </c>
      <c r="AE464">
        <f>26</f>
        <v>26</v>
      </c>
      <c r="AH464">
        <f>0.1</f>
        <v>0.1</v>
      </c>
      <c r="BI464">
        <f>0.14</f>
        <v>0.14000000000000001</v>
      </c>
    </row>
    <row r="465" spans="1:148" x14ac:dyDescent="0.25">
      <c r="A465" t="s">
        <v>1795</v>
      </c>
      <c r="B465" t="s">
        <v>148</v>
      </c>
      <c r="C465" s="1">
        <v>45817</v>
      </c>
      <c r="D465" t="s">
        <v>222</v>
      </c>
      <c r="E465" t="s">
        <v>223</v>
      </c>
      <c r="F465" t="s">
        <v>469</v>
      </c>
      <c r="G465" t="s">
        <v>6669</v>
      </c>
      <c r="H465">
        <v>386</v>
      </c>
      <c r="I465" t="s">
        <v>6669</v>
      </c>
      <c r="J465">
        <v>176</v>
      </c>
      <c r="K465" t="s">
        <v>5257</v>
      </c>
      <c r="L465" t="s">
        <v>431</v>
      </c>
      <c r="M465" t="s">
        <v>5384</v>
      </c>
      <c r="N465" t="s">
        <v>6670</v>
      </c>
      <c r="O465" t="s">
        <v>1796</v>
      </c>
      <c r="Q465" t="s">
        <v>6297</v>
      </c>
      <c r="R465">
        <f>1</f>
        <v>1</v>
      </c>
      <c r="S465">
        <f>19.9</f>
        <v>19.899999999999999</v>
      </c>
      <c r="T465">
        <f>8.1</f>
        <v>8.1</v>
      </c>
      <c r="U465">
        <f>241</f>
        <v>241</v>
      </c>
      <c r="X465">
        <f>1</f>
        <v>1</v>
      </c>
      <c r="Y465">
        <f>0.07</f>
        <v>7.0000000000000007E-2</v>
      </c>
      <c r="Z465">
        <f>0</f>
        <v>0</v>
      </c>
      <c r="AA465">
        <f>0</f>
        <v>0</v>
      </c>
      <c r="AB465">
        <f>0</f>
        <v>0</v>
      </c>
      <c r="AC465">
        <f>0</f>
        <v>0</v>
      </c>
      <c r="AD465">
        <f>0</f>
        <v>0</v>
      </c>
      <c r="AE465">
        <f>0</f>
        <v>0</v>
      </c>
      <c r="AH465" t="s">
        <v>166</v>
      </c>
    </row>
    <row r="466" spans="1:148" x14ac:dyDescent="0.25">
      <c r="A466" t="s">
        <v>1797</v>
      </c>
      <c r="B466" t="s">
        <v>148</v>
      </c>
      <c r="C466" s="1">
        <v>45862</v>
      </c>
      <c r="D466" t="s">
        <v>222</v>
      </c>
      <c r="E466" t="s">
        <v>223</v>
      </c>
      <c r="F466" t="s">
        <v>469</v>
      </c>
      <c r="G466" t="s">
        <v>6671</v>
      </c>
      <c r="H466">
        <v>261</v>
      </c>
      <c r="I466" t="s">
        <v>6671</v>
      </c>
      <c r="J466">
        <v>153</v>
      </c>
      <c r="K466" t="s">
        <v>5257</v>
      </c>
      <c r="L466" t="s">
        <v>431</v>
      </c>
      <c r="M466" t="s">
        <v>5460</v>
      </c>
      <c r="N466" t="s">
        <v>5461</v>
      </c>
      <c r="O466" t="s">
        <v>1798</v>
      </c>
      <c r="R466">
        <f>1</f>
        <v>1</v>
      </c>
      <c r="S466">
        <f>21.7</f>
        <v>21.7</v>
      </c>
      <c r="T466">
        <f>8.1</f>
        <v>8.1</v>
      </c>
      <c r="U466">
        <f>297</f>
        <v>297</v>
      </c>
      <c r="V466">
        <f>0.06</f>
        <v>0.06</v>
      </c>
      <c r="X466">
        <f>1</f>
        <v>1</v>
      </c>
      <c r="Y466">
        <f>0.08</f>
        <v>0.08</v>
      </c>
      <c r="Z466">
        <f>0</f>
        <v>0</v>
      </c>
      <c r="AA466">
        <f>1</f>
        <v>1</v>
      </c>
      <c r="AB466">
        <f>1</f>
        <v>1</v>
      </c>
      <c r="AC466">
        <f>0</f>
        <v>0</v>
      </c>
      <c r="AD466">
        <f>0</f>
        <v>0</v>
      </c>
      <c r="AE466">
        <f>0</f>
        <v>0</v>
      </c>
      <c r="AH466" t="s">
        <v>166</v>
      </c>
      <c r="AI466">
        <f>0.37</f>
        <v>0.37</v>
      </c>
      <c r="AL466" t="s">
        <v>168</v>
      </c>
      <c r="AM466" t="s">
        <v>164</v>
      </c>
      <c r="AN466">
        <f>6.2</f>
        <v>6.2</v>
      </c>
      <c r="AO466">
        <f>0.12</f>
        <v>0.12</v>
      </c>
      <c r="AP466">
        <f>10</f>
        <v>10</v>
      </c>
      <c r="AQ466">
        <f>1.5</f>
        <v>1.5</v>
      </c>
      <c r="AR466" t="s">
        <v>167</v>
      </c>
    </row>
    <row r="467" spans="1:148" x14ac:dyDescent="0.25">
      <c r="A467" t="s">
        <v>1799</v>
      </c>
      <c r="B467" t="s">
        <v>148</v>
      </c>
      <c r="C467" s="1">
        <v>45726</v>
      </c>
      <c r="D467" t="s">
        <v>618</v>
      </c>
      <c r="E467" t="s">
        <v>619</v>
      </c>
      <c r="F467" t="s">
        <v>620</v>
      </c>
      <c r="G467" t="s">
        <v>1080</v>
      </c>
      <c r="H467">
        <v>46</v>
      </c>
      <c r="I467" t="s">
        <v>1800</v>
      </c>
      <c r="J467">
        <v>360</v>
      </c>
      <c r="K467" t="s">
        <v>5254</v>
      </c>
      <c r="L467" t="s">
        <v>180</v>
      </c>
      <c r="M467" t="s">
        <v>6002</v>
      </c>
      <c r="N467" t="s">
        <v>1801</v>
      </c>
      <c r="O467" t="s">
        <v>1802</v>
      </c>
      <c r="R467">
        <f>1</f>
        <v>1</v>
      </c>
      <c r="S467">
        <f>11.8</f>
        <v>11.8</v>
      </c>
      <c r="T467">
        <f>7.6</f>
        <v>7.6</v>
      </c>
      <c r="U467">
        <f>536</f>
        <v>536</v>
      </c>
      <c r="X467">
        <f>0</f>
        <v>0</v>
      </c>
      <c r="Y467">
        <f>0.1</f>
        <v>0.1</v>
      </c>
      <c r="Z467">
        <f>0</f>
        <v>0</v>
      </c>
      <c r="AA467" t="s">
        <v>158</v>
      </c>
      <c r="AB467" t="s">
        <v>158</v>
      </c>
      <c r="AD467">
        <f>0</f>
        <v>0</v>
      </c>
      <c r="AE467">
        <f>0</f>
        <v>0</v>
      </c>
      <c r="AH467" t="s">
        <v>157</v>
      </c>
    </row>
    <row r="468" spans="1:148" x14ac:dyDescent="0.25">
      <c r="A468" t="s">
        <v>1803</v>
      </c>
      <c r="B468" t="s">
        <v>148</v>
      </c>
      <c r="C468" s="1">
        <v>45764</v>
      </c>
      <c r="D468" t="s">
        <v>175</v>
      </c>
      <c r="E468" t="s">
        <v>270</v>
      </c>
      <c r="F468" t="s">
        <v>354</v>
      </c>
      <c r="G468" t="s">
        <v>5153</v>
      </c>
      <c r="H468">
        <v>680</v>
      </c>
      <c r="I468" t="s">
        <v>5153</v>
      </c>
      <c r="J468">
        <v>540</v>
      </c>
      <c r="K468" t="s">
        <v>5257</v>
      </c>
      <c r="L468" t="s">
        <v>4947</v>
      </c>
      <c r="M468" t="s">
        <v>4997</v>
      </c>
      <c r="N468" t="s">
        <v>4998</v>
      </c>
      <c r="O468" t="s">
        <v>1804</v>
      </c>
      <c r="R468">
        <f>1</f>
        <v>1</v>
      </c>
      <c r="S468">
        <f>10.4</f>
        <v>10.4</v>
      </c>
      <c r="T468">
        <f>7.7</f>
        <v>7.7</v>
      </c>
      <c r="U468">
        <f>406</f>
        <v>406</v>
      </c>
      <c r="X468">
        <f>0</f>
        <v>0</v>
      </c>
      <c r="Y468">
        <f>0.31</f>
        <v>0.31</v>
      </c>
      <c r="Z468">
        <f>0</f>
        <v>0</v>
      </c>
      <c r="AA468" t="s">
        <v>158</v>
      </c>
      <c r="AB468" t="s">
        <v>158</v>
      </c>
      <c r="AC468">
        <f>0</f>
        <v>0</v>
      </c>
      <c r="AD468">
        <f>0</f>
        <v>0</v>
      </c>
      <c r="AE468">
        <f>0</f>
        <v>0</v>
      </c>
      <c r="AH468" t="s">
        <v>166</v>
      </c>
      <c r="AI468" t="s">
        <v>300</v>
      </c>
      <c r="AL468" t="s">
        <v>216</v>
      </c>
      <c r="AM468" t="s">
        <v>266</v>
      </c>
      <c r="AN468">
        <f>1.59</f>
        <v>1.59</v>
      </c>
      <c r="AO468">
        <f>0.032</f>
        <v>3.2000000000000001E-2</v>
      </c>
      <c r="AP468">
        <f>2.15</f>
        <v>2.15</v>
      </c>
      <c r="AQ468">
        <f>1.04</f>
        <v>1.04</v>
      </c>
      <c r="AR468" t="s">
        <v>209</v>
      </c>
      <c r="AS468">
        <f>0.76</f>
        <v>0.76</v>
      </c>
      <c r="AY468" t="s">
        <v>157</v>
      </c>
      <c r="AZ468" t="s">
        <v>208</v>
      </c>
      <c r="BA468">
        <f>0.0011</f>
        <v>1.1000000000000001E-3</v>
      </c>
      <c r="BB468">
        <f>5.7</f>
        <v>5.7</v>
      </c>
      <c r="BC468" t="s">
        <v>209</v>
      </c>
      <c r="BD468">
        <f>0.11</f>
        <v>0.11</v>
      </c>
      <c r="BE468">
        <f>0.0033</f>
        <v>3.3E-3</v>
      </c>
      <c r="BF468" t="s">
        <v>168</v>
      </c>
      <c r="BG468" t="s">
        <v>237</v>
      </c>
      <c r="BH468" t="s">
        <v>157</v>
      </c>
      <c r="BK468">
        <f>0.65</f>
        <v>0.65</v>
      </c>
      <c r="EL468">
        <f>1.1</f>
        <v>1.1000000000000001</v>
      </c>
      <c r="EM468" t="s">
        <v>238</v>
      </c>
      <c r="EN468">
        <f>0.7</f>
        <v>0.7</v>
      </c>
      <c r="EO468">
        <f>0.5</f>
        <v>0.5</v>
      </c>
      <c r="ER468">
        <f>2.3</f>
        <v>2.2999999999999998</v>
      </c>
    </row>
    <row r="469" spans="1:148" x14ac:dyDescent="0.25">
      <c r="A469" t="s">
        <v>1805</v>
      </c>
      <c r="B469" t="s">
        <v>148</v>
      </c>
      <c r="C469" s="1">
        <v>45727</v>
      </c>
      <c r="D469" t="s">
        <v>242</v>
      </c>
      <c r="E469" t="s">
        <v>243</v>
      </c>
      <c r="F469" t="s">
        <v>5284</v>
      </c>
      <c r="G469" t="s">
        <v>6672</v>
      </c>
      <c r="H469">
        <v>930</v>
      </c>
      <c r="I469" t="s">
        <v>6672</v>
      </c>
      <c r="J469">
        <v>262</v>
      </c>
      <c r="K469" t="s">
        <v>5254</v>
      </c>
      <c r="L469" t="s">
        <v>393</v>
      </c>
      <c r="M469" t="s">
        <v>5462</v>
      </c>
      <c r="N469" t="s">
        <v>4789</v>
      </c>
      <c r="O469" t="s">
        <v>1806</v>
      </c>
      <c r="Q469" t="s">
        <v>6365</v>
      </c>
      <c r="R469">
        <f>1</f>
        <v>1</v>
      </c>
      <c r="S469">
        <f>8.8</f>
        <v>8.8000000000000007</v>
      </c>
      <c r="T469">
        <f>7.6</f>
        <v>7.6</v>
      </c>
      <c r="U469">
        <f>431</f>
        <v>431</v>
      </c>
      <c r="X469">
        <f>0</f>
        <v>0</v>
      </c>
      <c r="Y469" t="s">
        <v>157</v>
      </c>
      <c r="Z469">
        <f>0</f>
        <v>0</v>
      </c>
      <c r="AA469" t="s">
        <v>158</v>
      </c>
      <c r="AB469" t="s">
        <v>158</v>
      </c>
      <c r="AD469">
        <f>0</f>
        <v>0</v>
      </c>
      <c r="AE469">
        <f>0</f>
        <v>0</v>
      </c>
      <c r="AH469" t="s">
        <v>157</v>
      </c>
    </row>
    <row r="470" spans="1:148" x14ac:dyDescent="0.25">
      <c r="A470" t="s">
        <v>1807</v>
      </c>
      <c r="B470" t="s">
        <v>148</v>
      </c>
      <c r="C470" s="1">
        <v>45723</v>
      </c>
      <c r="D470" t="s">
        <v>317</v>
      </c>
      <c r="E470" t="s">
        <v>318</v>
      </c>
      <c r="F470" t="s">
        <v>360</v>
      </c>
      <c r="G470" t="s">
        <v>5154</v>
      </c>
      <c r="H470">
        <v>342</v>
      </c>
      <c r="I470" t="s">
        <v>5154</v>
      </c>
      <c r="J470">
        <v>212</v>
      </c>
      <c r="K470" t="s">
        <v>5331</v>
      </c>
      <c r="L470" t="s">
        <v>4948</v>
      </c>
      <c r="M470" t="s">
        <v>4999</v>
      </c>
      <c r="N470" t="s">
        <v>5000</v>
      </c>
      <c r="O470" t="s">
        <v>1808</v>
      </c>
      <c r="Q470" t="s">
        <v>6301</v>
      </c>
      <c r="R470">
        <f>1</f>
        <v>1</v>
      </c>
      <c r="S470">
        <f>7.3</f>
        <v>7.3</v>
      </c>
      <c r="T470">
        <f>8</f>
        <v>8</v>
      </c>
      <c r="U470">
        <f>263</f>
        <v>263</v>
      </c>
      <c r="X470">
        <f>0</f>
        <v>0</v>
      </c>
      <c r="Y470">
        <f>0.18</f>
        <v>0.18</v>
      </c>
      <c r="Z470">
        <f>0</f>
        <v>0</v>
      </c>
      <c r="AA470">
        <f>0</f>
        <v>0</v>
      </c>
      <c r="AB470">
        <f>0</f>
        <v>0</v>
      </c>
      <c r="AC470">
        <f>0</f>
        <v>0</v>
      </c>
      <c r="AD470">
        <f>0</f>
        <v>0</v>
      </c>
      <c r="AE470">
        <f>0</f>
        <v>0</v>
      </c>
      <c r="AH470" t="s">
        <v>157</v>
      </c>
    </row>
    <row r="471" spans="1:148" x14ac:dyDescent="0.25">
      <c r="A471" t="s">
        <v>1809</v>
      </c>
      <c r="B471" t="s">
        <v>148</v>
      </c>
      <c r="C471" s="1">
        <v>45751</v>
      </c>
      <c r="D471" t="s">
        <v>618</v>
      </c>
      <c r="E471" t="s">
        <v>619</v>
      </c>
      <c r="F471" t="s">
        <v>620</v>
      </c>
      <c r="G471" t="s">
        <v>6003</v>
      </c>
      <c r="H471">
        <v>959</v>
      </c>
      <c r="I471" t="s">
        <v>6003</v>
      </c>
      <c r="J471">
        <v>180</v>
      </c>
      <c r="K471" t="s">
        <v>5257</v>
      </c>
      <c r="L471" t="s">
        <v>393</v>
      </c>
      <c r="M471" t="s">
        <v>6004</v>
      </c>
      <c r="N471" t="s">
        <v>6005</v>
      </c>
      <c r="O471" t="s">
        <v>1810</v>
      </c>
      <c r="R471">
        <f>1</f>
        <v>1</v>
      </c>
      <c r="S471">
        <f>8.4</f>
        <v>8.4</v>
      </c>
      <c r="T471">
        <f>8</f>
        <v>8</v>
      </c>
      <c r="U471">
        <f>527</f>
        <v>527</v>
      </c>
      <c r="X471">
        <f>0</f>
        <v>0</v>
      </c>
      <c r="Y471">
        <f>0.1</f>
        <v>0.1</v>
      </c>
      <c r="Z471">
        <f>0</f>
        <v>0</v>
      </c>
      <c r="AA471" t="s">
        <v>158</v>
      </c>
      <c r="AB471" t="s">
        <v>158</v>
      </c>
      <c r="AC471">
        <f>0</f>
        <v>0</v>
      </c>
      <c r="AD471">
        <f>0</f>
        <v>0</v>
      </c>
      <c r="AE471">
        <f>0</f>
        <v>0</v>
      </c>
      <c r="AH471" t="s">
        <v>157</v>
      </c>
    </row>
    <row r="472" spans="1:148" x14ac:dyDescent="0.25">
      <c r="A472" t="s">
        <v>1811</v>
      </c>
      <c r="B472" t="s">
        <v>148</v>
      </c>
      <c r="C472" s="1">
        <v>45761</v>
      </c>
      <c r="D472" t="s">
        <v>618</v>
      </c>
      <c r="E472" t="s">
        <v>619</v>
      </c>
      <c r="F472" t="s">
        <v>730</v>
      </c>
      <c r="G472" t="s">
        <v>1812</v>
      </c>
      <c r="H472">
        <v>962</v>
      </c>
      <c r="I472" t="s">
        <v>1812</v>
      </c>
      <c r="J472">
        <v>250</v>
      </c>
      <c r="K472" t="s">
        <v>5257</v>
      </c>
      <c r="L472" t="s">
        <v>154</v>
      </c>
      <c r="M472" t="s">
        <v>6006</v>
      </c>
      <c r="N472" t="s">
        <v>1813</v>
      </c>
      <c r="O472" t="s">
        <v>1814</v>
      </c>
      <c r="R472">
        <f>1</f>
        <v>1</v>
      </c>
      <c r="S472">
        <f>10.3</f>
        <v>10.3</v>
      </c>
      <c r="T472">
        <f>8</f>
        <v>8</v>
      </c>
      <c r="U472">
        <f>352</f>
        <v>352</v>
      </c>
      <c r="X472">
        <f>0</f>
        <v>0</v>
      </c>
      <c r="Y472">
        <f>0.1</f>
        <v>0.1</v>
      </c>
      <c r="Z472">
        <f>0</f>
        <v>0</v>
      </c>
      <c r="AA472" t="s">
        <v>158</v>
      </c>
      <c r="AB472" t="s">
        <v>158</v>
      </c>
      <c r="AC472">
        <f>0</f>
        <v>0</v>
      </c>
      <c r="AD472">
        <f>0</f>
        <v>0</v>
      </c>
      <c r="AE472">
        <f>0</f>
        <v>0</v>
      </c>
      <c r="AH472" t="s">
        <v>157</v>
      </c>
    </row>
    <row r="473" spans="1:148" x14ac:dyDescent="0.25">
      <c r="A473" t="s">
        <v>1815</v>
      </c>
      <c r="B473" t="s">
        <v>148</v>
      </c>
      <c r="C473" s="1">
        <v>45761</v>
      </c>
      <c r="D473" t="s">
        <v>222</v>
      </c>
      <c r="E473" t="s">
        <v>223</v>
      </c>
      <c r="F473" t="s">
        <v>469</v>
      </c>
      <c r="G473" t="s">
        <v>1816</v>
      </c>
      <c r="H473">
        <v>270</v>
      </c>
      <c r="I473" t="s">
        <v>1816</v>
      </c>
      <c r="J473">
        <v>155</v>
      </c>
      <c r="K473" t="s">
        <v>5257</v>
      </c>
      <c r="L473" t="s">
        <v>431</v>
      </c>
      <c r="M473" t="s">
        <v>5384</v>
      </c>
      <c r="N473" t="s">
        <v>5463</v>
      </c>
      <c r="O473" t="s">
        <v>1817</v>
      </c>
      <c r="R473">
        <f>1</f>
        <v>1</v>
      </c>
      <c r="S473">
        <f>10.4</f>
        <v>10.4</v>
      </c>
      <c r="T473">
        <f>8.2</f>
        <v>8.1999999999999993</v>
      </c>
      <c r="U473">
        <f>205</f>
        <v>205</v>
      </c>
      <c r="V473">
        <f>0.05</f>
        <v>0.05</v>
      </c>
      <c r="X473">
        <f>1</f>
        <v>1</v>
      </c>
      <c r="Y473">
        <f>0.15</f>
        <v>0.15</v>
      </c>
      <c r="Z473">
        <f>0</f>
        <v>0</v>
      </c>
      <c r="AA473">
        <f>0</f>
        <v>0</v>
      </c>
      <c r="AB473">
        <f>0</f>
        <v>0</v>
      </c>
      <c r="AC473">
        <f>0</f>
        <v>0</v>
      </c>
      <c r="AD473">
        <f>0</f>
        <v>0</v>
      </c>
      <c r="AE473">
        <f>0</f>
        <v>0</v>
      </c>
      <c r="AH473" t="s">
        <v>166</v>
      </c>
    </row>
    <row r="474" spans="1:148" x14ac:dyDescent="0.25">
      <c r="A474" t="s">
        <v>1818</v>
      </c>
      <c r="B474" t="s">
        <v>148</v>
      </c>
      <c r="C474" s="1">
        <v>45719</v>
      </c>
      <c r="D474" t="s">
        <v>175</v>
      </c>
      <c r="E474" t="s">
        <v>176</v>
      </c>
      <c r="F474" t="s">
        <v>1332</v>
      </c>
      <c r="G474" t="s">
        <v>1819</v>
      </c>
      <c r="H474">
        <v>582</v>
      </c>
      <c r="I474" t="s">
        <v>1819</v>
      </c>
      <c r="J474">
        <v>399</v>
      </c>
      <c r="K474" t="s">
        <v>5257</v>
      </c>
      <c r="L474" t="s">
        <v>180</v>
      </c>
      <c r="M474" t="s">
        <v>6007</v>
      </c>
      <c r="N474" t="s">
        <v>1820</v>
      </c>
      <c r="O474" t="s">
        <v>1821</v>
      </c>
      <c r="R474">
        <f>1</f>
        <v>1</v>
      </c>
      <c r="S474">
        <f>9.9</f>
        <v>9.9</v>
      </c>
      <c r="T474">
        <f>7.7</f>
        <v>7.7</v>
      </c>
      <c r="U474">
        <f>339</f>
        <v>339</v>
      </c>
      <c r="X474">
        <f>1</f>
        <v>1</v>
      </c>
      <c r="Y474" t="s">
        <v>157</v>
      </c>
      <c r="Z474">
        <f>0</f>
        <v>0</v>
      </c>
      <c r="AA474" t="s">
        <v>158</v>
      </c>
      <c r="AB474" t="s">
        <v>158</v>
      </c>
      <c r="AC474">
        <f>0</f>
        <v>0</v>
      </c>
      <c r="AD474">
        <f>0</f>
        <v>0</v>
      </c>
      <c r="AE474">
        <f>0</f>
        <v>0</v>
      </c>
    </row>
    <row r="475" spans="1:148" x14ac:dyDescent="0.25">
      <c r="A475" t="s">
        <v>1822</v>
      </c>
      <c r="B475" t="s">
        <v>268</v>
      </c>
      <c r="C475" s="1">
        <v>45750</v>
      </c>
      <c r="D475" t="s">
        <v>175</v>
      </c>
      <c r="E475" t="s">
        <v>649</v>
      </c>
      <c r="F475" t="s">
        <v>650</v>
      </c>
      <c r="G475" t="s">
        <v>1823</v>
      </c>
      <c r="H475">
        <v>1816</v>
      </c>
      <c r="I475" t="s">
        <v>1824</v>
      </c>
      <c r="J475">
        <v>450</v>
      </c>
      <c r="K475" t="s">
        <v>5254</v>
      </c>
      <c r="L475" t="s">
        <v>180</v>
      </c>
      <c r="M475" t="s">
        <v>6008</v>
      </c>
      <c r="N475" t="s">
        <v>1825</v>
      </c>
      <c r="Q475" t="s">
        <v>6366</v>
      </c>
      <c r="R475">
        <f>1</f>
        <v>1</v>
      </c>
      <c r="S475">
        <f>13.3</f>
        <v>13.3</v>
      </c>
      <c r="T475">
        <f>7.7</f>
        <v>7.7</v>
      </c>
      <c r="U475">
        <f>466</f>
        <v>466</v>
      </c>
      <c r="X475">
        <f>0</f>
        <v>0</v>
      </c>
      <c r="Y475" t="s">
        <v>157</v>
      </c>
      <c r="Z475">
        <f>0</f>
        <v>0</v>
      </c>
      <c r="AA475" t="s">
        <v>158</v>
      </c>
      <c r="AB475" t="s">
        <v>158</v>
      </c>
      <c r="AD475">
        <f>0</f>
        <v>0</v>
      </c>
      <c r="AE475">
        <f>1</f>
        <v>1</v>
      </c>
      <c r="AH475" t="s">
        <v>157</v>
      </c>
    </row>
    <row r="476" spans="1:148" x14ac:dyDescent="0.25">
      <c r="A476" t="s">
        <v>1826</v>
      </c>
      <c r="B476" t="s">
        <v>148</v>
      </c>
      <c r="C476" s="1">
        <v>45727</v>
      </c>
      <c r="D476" t="s">
        <v>242</v>
      </c>
      <c r="E476" t="s">
        <v>243</v>
      </c>
      <c r="F476" t="s">
        <v>5284</v>
      </c>
      <c r="G476" t="s">
        <v>1827</v>
      </c>
      <c r="H476">
        <v>984</v>
      </c>
      <c r="I476" t="s">
        <v>1827</v>
      </c>
      <c r="J476">
        <v>289</v>
      </c>
      <c r="K476" t="s">
        <v>5254</v>
      </c>
      <c r="L476" t="s">
        <v>393</v>
      </c>
      <c r="M476" t="s">
        <v>6009</v>
      </c>
      <c r="N476" t="s">
        <v>6010</v>
      </c>
      <c r="O476" t="s">
        <v>1828</v>
      </c>
      <c r="R476">
        <f>1</f>
        <v>1</v>
      </c>
      <c r="S476">
        <f>8.6</f>
        <v>8.6</v>
      </c>
      <c r="T476">
        <f>7.7</f>
        <v>7.7</v>
      </c>
      <c r="U476">
        <f>521</f>
        <v>521</v>
      </c>
      <c r="V476">
        <f>0.17</f>
        <v>0.17</v>
      </c>
      <c r="X476">
        <f>0</f>
        <v>0</v>
      </c>
      <c r="Y476" t="s">
        <v>157</v>
      </c>
      <c r="Z476">
        <f>0</f>
        <v>0</v>
      </c>
      <c r="AA476" t="s">
        <v>158</v>
      </c>
      <c r="AB476" t="s">
        <v>158</v>
      </c>
      <c r="AD476">
        <f>0</f>
        <v>0</v>
      </c>
      <c r="AE476">
        <f>0</f>
        <v>0</v>
      </c>
      <c r="AH476" t="s">
        <v>157</v>
      </c>
    </row>
    <row r="477" spans="1:148" x14ac:dyDescent="0.25">
      <c r="A477" t="s">
        <v>1829</v>
      </c>
      <c r="B477" t="s">
        <v>148</v>
      </c>
      <c r="C477" s="1">
        <v>45720</v>
      </c>
      <c r="D477" t="s">
        <v>317</v>
      </c>
      <c r="E477" t="s">
        <v>318</v>
      </c>
      <c r="F477" t="s">
        <v>5108</v>
      </c>
      <c r="G477" t="s">
        <v>6011</v>
      </c>
      <c r="H477">
        <v>112</v>
      </c>
      <c r="I477" t="s">
        <v>6012</v>
      </c>
      <c r="J477">
        <v>320</v>
      </c>
      <c r="K477" t="s">
        <v>5254</v>
      </c>
      <c r="L477" t="s">
        <v>180</v>
      </c>
      <c r="M477" t="s">
        <v>5464</v>
      </c>
      <c r="N477" t="s">
        <v>5465</v>
      </c>
      <c r="O477" t="s">
        <v>1830</v>
      </c>
      <c r="Q477" t="s">
        <v>6340</v>
      </c>
      <c r="R477">
        <f>1</f>
        <v>1</v>
      </c>
      <c r="S477">
        <f>6.8</f>
        <v>6.8</v>
      </c>
      <c r="T477">
        <f>7.9</f>
        <v>7.9</v>
      </c>
      <c r="U477">
        <f>223</f>
        <v>223</v>
      </c>
      <c r="X477">
        <f>0</f>
        <v>0</v>
      </c>
      <c r="Y477" t="s">
        <v>157</v>
      </c>
      <c r="Z477">
        <f>0</f>
        <v>0</v>
      </c>
      <c r="AA477">
        <f>0</f>
        <v>0</v>
      </c>
      <c r="AB477">
        <f>0</f>
        <v>0</v>
      </c>
      <c r="AD477">
        <f>0</f>
        <v>0</v>
      </c>
      <c r="AE477">
        <f>0</f>
        <v>0</v>
      </c>
      <c r="AH477" t="s">
        <v>157</v>
      </c>
    </row>
    <row r="478" spans="1:148" x14ac:dyDescent="0.25">
      <c r="A478" t="s">
        <v>1831</v>
      </c>
      <c r="B478" t="s">
        <v>148</v>
      </c>
      <c r="C478" s="1">
        <v>45728</v>
      </c>
      <c r="D478" t="s">
        <v>242</v>
      </c>
      <c r="E478" t="s">
        <v>243</v>
      </c>
      <c r="F478" t="s">
        <v>5098</v>
      </c>
      <c r="G478" t="s">
        <v>1832</v>
      </c>
      <c r="H478">
        <v>1027</v>
      </c>
      <c r="I478" t="s">
        <v>1832</v>
      </c>
      <c r="J478">
        <v>385</v>
      </c>
      <c r="K478" t="s">
        <v>5254</v>
      </c>
      <c r="L478" t="s">
        <v>393</v>
      </c>
      <c r="M478" t="s">
        <v>5155</v>
      </c>
      <c r="N478" t="s">
        <v>5156</v>
      </c>
      <c r="O478" t="s">
        <v>1833</v>
      </c>
      <c r="Q478" t="s">
        <v>6367</v>
      </c>
      <c r="R478">
        <f>1</f>
        <v>1</v>
      </c>
      <c r="S478">
        <f>10.6</f>
        <v>10.6</v>
      </c>
      <c r="T478">
        <f>7.5</f>
        <v>7.5</v>
      </c>
      <c r="U478">
        <f>238</f>
        <v>238</v>
      </c>
      <c r="X478">
        <f>1</f>
        <v>1</v>
      </c>
      <c r="Y478" t="s">
        <v>157</v>
      </c>
      <c r="Z478">
        <f>0</f>
        <v>0</v>
      </c>
      <c r="AA478" t="s">
        <v>158</v>
      </c>
      <c r="AB478" t="s">
        <v>158</v>
      </c>
      <c r="AD478">
        <f>0</f>
        <v>0</v>
      </c>
      <c r="AE478">
        <f>0</f>
        <v>0</v>
      </c>
      <c r="AH478" t="s">
        <v>157</v>
      </c>
    </row>
    <row r="479" spans="1:148" x14ac:dyDescent="0.25">
      <c r="A479" t="s">
        <v>1834</v>
      </c>
      <c r="B479" t="s">
        <v>148</v>
      </c>
      <c r="C479" s="1">
        <v>45728</v>
      </c>
      <c r="D479" t="s">
        <v>242</v>
      </c>
      <c r="E479" t="s">
        <v>243</v>
      </c>
      <c r="F479" t="s">
        <v>1835</v>
      </c>
      <c r="G479" t="s">
        <v>1836</v>
      </c>
      <c r="H479">
        <v>1051</v>
      </c>
      <c r="I479" t="s">
        <v>1836</v>
      </c>
      <c r="J479">
        <v>400</v>
      </c>
      <c r="K479" t="s">
        <v>5254</v>
      </c>
      <c r="L479" t="s">
        <v>4758</v>
      </c>
      <c r="M479" t="s">
        <v>5466</v>
      </c>
      <c r="N479" t="s">
        <v>1837</v>
      </c>
      <c r="O479" t="s">
        <v>1838</v>
      </c>
      <c r="R479">
        <f>1</f>
        <v>1</v>
      </c>
      <c r="S479">
        <f>8.6</f>
        <v>8.6</v>
      </c>
      <c r="T479">
        <f>7.9</f>
        <v>7.9</v>
      </c>
      <c r="U479">
        <f>282</f>
        <v>282</v>
      </c>
      <c r="X479">
        <f>0</f>
        <v>0</v>
      </c>
      <c r="Y479" t="s">
        <v>157</v>
      </c>
      <c r="Z479">
        <f>0</f>
        <v>0</v>
      </c>
      <c r="AA479" t="s">
        <v>158</v>
      </c>
      <c r="AB479" t="s">
        <v>158</v>
      </c>
      <c r="AD479">
        <f>0</f>
        <v>0</v>
      </c>
      <c r="AE479">
        <f>0</f>
        <v>0</v>
      </c>
      <c r="AH479" t="s">
        <v>157</v>
      </c>
      <c r="BI479">
        <f>0.21</f>
        <v>0.21</v>
      </c>
    </row>
    <row r="480" spans="1:148" x14ac:dyDescent="0.25">
      <c r="A480" t="s">
        <v>1839</v>
      </c>
      <c r="B480" t="s">
        <v>148</v>
      </c>
      <c r="C480" s="1">
        <v>45726</v>
      </c>
      <c r="D480" t="s">
        <v>175</v>
      </c>
      <c r="E480" t="s">
        <v>176</v>
      </c>
      <c r="F480" t="s">
        <v>1332</v>
      </c>
      <c r="G480" t="s">
        <v>6013</v>
      </c>
      <c r="H480">
        <v>581</v>
      </c>
      <c r="I480" t="s">
        <v>6013</v>
      </c>
      <c r="J480">
        <v>378</v>
      </c>
      <c r="K480" t="s">
        <v>5257</v>
      </c>
      <c r="L480" t="s">
        <v>4966</v>
      </c>
      <c r="M480" t="s">
        <v>6014</v>
      </c>
      <c r="N480" t="s">
        <v>6015</v>
      </c>
      <c r="O480" t="s">
        <v>1840</v>
      </c>
      <c r="R480">
        <f>1</f>
        <v>1</v>
      </c>
      <c r="S480">
        <f>8.3</f>
        <v>8.3000000000000007</v>
      </c>
      <c r="T480">
        <f>8</f>
        <v>8</v>
      </c>
      <c r="U480">
        <f>221</f>
        <v>221</v>
      </c>
      <c r="X480">
        <f>0</f>
        <v>0</v>
      </c>
      <c r="Y480" t="s">
        <v>157</v>
      </c>
      <c r="Z480">
        <f>0</f>
        <v>0</v>
      </c>
      <c r="AA480" t="s">
        <v>158</v>
      </c>
      <c r="AB480">
        <f>69</f>
        <v>69</v>
      </c>
      <c r="AC480">
        <f>0</f>
        <v>0</v>
      </c>
      <c r="AD480">
        <f>0</f>
        <v>0</v>
      </c>
      <c r="AE480">
        <f>0</f>
        <v>0</v>
      </c>
    </row>
    <row r="481" spans="1:63" x14ac:dyDescent="0.25">
      <c r="A481" t="s">
        <v>1841</v>
      </c>
      <c r="B481" t="s">
        <v>268</v>
      </c>
      <c r="C481" s="1">
        <v>45785</v>
      </c>
      <c r="D481" t="s">
        <v>311</v>
      </c>
      <c r="E481" t="s">
        <v>312</v>
      </c>
      <c r="F481" t="s">
        <v>6673</v>
      </c>
      <c r="G481" t="s">
        <v>1842</v>
      </c>
      <c r="H481">
        <v>1045</v>
      </c>
      <c r="I481" t="s">
        <v>1842</v>
      </c>
      <c r="J481">
        <v>300</v>
      </c>
      <c r="K481" t="s">
        <v>5257</v>
      </c>
      <c r="L481" t="s">
        <v>393</v>
      </c>
      <c r="M481" t="s">
        <v>1843</v>
      </c>
      <c r="N481" t="s">
        <v>6674</v>
      </c>
      <c r="O481" t="s">
        <v>1844</v>
      </c>
      <c r="R481">
        <f>1</f>
        <v>1</v>
      </c>
      <c r="S481">
        <f>15.3</f>
        <v>15.3</v>
      </c>
      <c r="T481">
        <f>7.2</f>
        <v>7.2</v>
      </c>
      <c r="U481">
        <f>620</f>
        <v>620</v>
      </c>
      <c r="X481">
        <f>0</f>
        <v>0</v>
      </c>
      <c r="Y481" t="s">
        <v>157</v>
      </c>
      <c r="Z481">
        <f>31</f>
        <v>31</v>
      </c>
      <c r="AA481">
        <f>156</f>
        <v>156</v>
      </c>
      <c r="AB481">
        <f>82</f>
        <v>82</v>
      </c>
      <c r="AC481">
        <f>7</f>
        <v>7</v>
      </c>
      <c r="AD481">
        <f>4</f>
        <v>4</v>
      </c>
      <c r="AE481" t="s">
        <v>1845</v>
      </c>
      <c r="AH481" t="s">
        <v>157</v>
      </c>
      <c r="BI481">
        <f>0.66</f>
        <v>0.66</v>
      </c>
    </row>
    <row r="482" spans="1:63" x14ac:dyDescent="0.25">
      <c r="A482" t="s">
        <v>1846</v>
      </c>
      <c r="B482" t="s">
        <v>148</v>
      </c>
      <c r="C482" s="1">
        <v>45723</v>
      </c>
      <c r="D482" t="s">
        <v>317</v>
      </c>
      <c r="E482" t="s">
        <v>318</v>
      </c>
      <c r="F482" t="s">
        <v>6576</v>
      </c>
      <c r="G482" t="s">
        <v>6675</v>
      </c>
      <c r="H482">
        <v>1092</v>
      </c>
      <c r="I482" t="s">
        <v>6675</v>
      </c>
      <c r="J482">
        <v>250</v>
      </c>
      <c r="K482" t="s">
        <v>5254</v>
      </c>
      <c r="L482" t="s">
        <v>180</v>
      </c>
      <c r="M482" t="s">
        <v>6016</v>
      </c>
      <c r="N482" t="s">
        <v>1847</v>
      </c>
      <c r="O482" t="s">
        <v>1848</v>
      </c>
      <c r="Q482" t="s">
        <v>6340</v>
      </c>
      <c r="R482">
        <f>1</f>
        <v>1</v>
      </c>
      <c r="S482">
        <f>5.9</f>
        <v>5.9</v>
      </c>
      <c r="T482">
        <f>8</f>
        <v>8</v>
      </c>
      <c r="U482">
        <f>294</f>
        <v>294</v>
      </c>
      <c r="X482">
        <f>0</f>
        <v>0</v>
      </c>
      <c r="Y482" t="s">
        <v>157</v>
      </c>
      <c r="Z482">
        <f>0</f>
        <v>0</v>
      </c>
      <c r="AA482">
        <f>0</f>
        <v>0</v>
      </c>
      <c r="AB482">
        <f>0</f>
        <v>0</v>
      </c>
      <c r="AD482">
        <f>0</f>
        <v>0</v>
      </c>
      <c r="AE482">
        <f>0</f>
        <v>0</v>
      </c>
      <c r="AH482" t="s">
        <v>157</v>
      </c>
    </row>
    <row r="483" spans="1:63" x14ac:dyDescent="0.25">
      <c r="A483" t="s">
        <v>1849</v>
      </c>
      <c r="B483" t="s">
        <v>148</v>
      </c>
      <c r="C483" s="1">
        <v>45722</v>
      </c>
      <c r="D483" t="s">
        <v>317</v>
      </c>
      <c r="E483" t="s">
        <v>318</v>
      </c>
      <c r="F483" t="s">
        <v>6576</v>
      </c>
      <c r="G483" t="s">
        <v>6676</v>
      </c>
      <c r="H483">
        <v>1087</v>
      </c>
      <c r="I483" t="s">
        <v>6677</v>
      </c>
      <c r="J483">
        <v>250</v>
      </c>
      <c r="K483" t="s">
        <v>5254</v>
      </c>
      <c r="L483" t="s">
        <v>5001</v>
      </c>
      <c r="M483" t="s">
        <v>5467</v>
      </c>
      <c r="N483" t="s">
        <v>4790</v>
      </c>
      <c r="O483" t="s">
        <v>1850</v>
      </c>
      <c r="Q483" t="s">
        <v>347</v>
      </c>
      <c r="R483">
        <f>1</f>
        <v>1</v>
      </c>
      <c r="S483">
        <f>8</f>
        <v>8</v>
      </c>
      <c r="T483">
        <f>7.2</f>
        <v>7.2</v>
      </c>
      <c r="U483">
        <f>63</f>
        <v>63</v>
      </c>
      <c r="X483">
        <f>0</f>
        <v>0</v>
      </c>
      <c r="Y483">
        <f>0.32</f>
        <v>0.32</v>
      </c>
      <c r="Z483">
        <f>0</f>
        <v>0</v>
      </c>
      <c r="AA483">
        <f>3</f>
        <v>3</v>
      </c>
      <c r="AB483">
        <f>3</f>
        <v>3</v>
      </c>
      <c r="AD483">
        <f>0</f>
        <v>0</v>
      </c>
      <c r="AE483">
        <f>0</f>
        <v>0</v>
      </c>
      <c r="AH483" t="s">
        <v>157</v>
      </c>
    </row>
    <row r="484" spans="1:63" x14ac:dyDescent="0.25">
      <c r="A484" t="s">
        <v>1851</v>
      </c>
      <c r="B484" t="s">
        <v>148</v>
      </c>
      <c r="C484" s="1">
        <v>45721</v>
      </c>
      <c r="D484" t="s">
        <v>242</v>
      </c>
      <c r="E484" t="s">
        <v>243</v>
      </c>
      <c r="F484" t="s">
        <v>5802</v>
      </c>
      <c r="G484" t="s">
        <v>5157</v>
      </c>
      <c r="H484">
        <v>1118</v>
      </c>
      <c r="I484" t="s">
        <v>5157</v>
      </c>
      <c r="J484">
        <v>187</v>
      </c>
      <c r="K484" t="s">
        <v>5254</v>
      </c>
      <c r="L484" t="s">
        <v>393</v>
      </c>
      <c r="M484" t="s">
        <v>6678</v>
      </c>
      <c r="N484" t="s">
        <v>5158</v>
      </c>
      <c r="R484">
        <f>1</f>
        <v>1</v>
      </c>
      <c r="S484">
        <f>7.6</f>
        <v>7.6</v>
      </c>
      <c r="T484">
        <f>7.8</f>
        <v>7.8</v>
      </c>
      <c r="U484">
        <f>540</f>
        <v>540</v>
      </c>
      <c r="V484">
        <f>0.18</f>
        <v>0.18</v>
      </c>
      <c r="X484">
        <f>0</f>
        <v>0</v>
      </c>
      <c r="Y484">
        <f>0.13</f>
        <v>0.13</v>
      </c>
      <c r="Z484">
        <f>0</f>
        <v>0</v>
      </c>
      <c r="AA484" t="s">
        <v>158</v>
      </c>
      <c r="AB484" t="s">
        <v>158</v>
      </c>
      <c r="AD484">
        <f>0</f>
        <v>0</v>
      </c>
      <c r="AE484">
        <f>0</f>
        <v>0</v>
      </c>
      <c r="AH484" t="s">
        <v>157</v>
      </c>
    </row>
    <row r="485" spans="1:63" x14ac:dyDescent="0.25">
      <c r="A485" t="s">
        <v>1852</v>
      </c>
      <c r="B485" t="s">
        <v>148</v>
      </c>
      <c r="C485" s="1">
        <v>45817</v>
      </c>
      <c r="D485" t="s">
        <v>175</v>
      </c>
      <c r="E485" t="s">
        <v>176</v>
      </c>
      <c r="F485" t="s">
        <v>1681</v>
      </c>
      <c r="G485" t="s">
        <v>1853</v>
      </c>
      <c r="H485">
        <v>1155</v>
      </c>
      <c r="I485" t="s">
        <v>1853</v>
      </c>
      <c r="J485">
        <v>620</v>
      </c>
      <c r="K485" t="s">
        <v>5254</v>
      </c>
      <c r="L485" t="s">
        <v>180</v>
      </c>
      <c r="M485" t="s">
        <v>1854</v>
      </c>
      <c r="N485" t="s">
        <v>5468</v>
      </c>
      <c r="O485" t="s">
        <v>1855</v>
      </c>
      <c r="R485">
        <f>1</f>
        <v>1</v>
      </c>
      <c r="S485">
        <f>14.5</f>
        <v>14.5</v>
      </c>
      <c r="T485">
        <f>7.5</f>
        <v>7.5</v>
      </c>
      <c r="U485">
        <f>564</f>
        <v>564</v>
      </c>
      <c r="X485">
        <f>0</f>
        <v>0</v>
      </c>
      <c r="Y485" t="s">
        <v>157</v>
      </c>
      <c r="Z485">
        <f>0</f>
        <v>0</v>
      </c>
      <c r="AA485" t="s">
        <v>158</v>
      </c>
      <c r="AB485" t="s">
        <v>158</v>
      </c>
      <c r="AD485">
        <f>0</f>
        <v>0</v>
      </c>
      <c r="AE485">
        <f>0</f>
        <v>0</v>
      </c>
      <c r="AH485" t="s">
        <v>157</v>
      </c>
      <c r="AI485">
        <f>0.5</f>
        <v>0.5</v>
      </c>
      <c r="AL485" t="s">
        <v>164</v>
      </c>
      <c r="AM485" t="s">
        <v>165</v>
      </c>
      <c r="AN485">
        <f>3.5</f>
        <v>3.5</v>
      </c>
      <c r="AO485">
        <f>0.07</f>
        <v>7.0000000000000007E-2</v>
      </c>
      <c r="AP485">
        <f>6.6</f>
        <v>6.6</v>
      </c>
      <c r="AQ485">
        <f>1.6</f>
        <v>1.6</v>
      </c>
      <c r="AR485" t="s">
        <v>157</v>
      </c>
      <c r="AS485">
        <f>0.69</f>
        <v>0.69</v>
      </c>
      <c r="AY485" t="s">
        <v>167</v>
      </c>
      <c r="AZ485">
        <f>11</f>
        <v>11</v>
      </c>
      <c r="BA485" t="s">
        <v>216</v>
      </c>
      <c r="BB485" t="s">
        <v>158</v>
      </c>
      <c r="BC485" t="s">
        <v>166</v>
      </c>
      <c r="BD485" t="s">
        <v>167</v>
      </c>
      <c r="BE485">
        <f>0.0035</f>
        <v>3.5000000000000001E-3</v>
      </c>
      <c r="BF485" t="s">
        <v>168</v>
      </c>
      <c r="BG485" t="s">
        <v>167</v>
      </c>
      <c r="BH485" t="s">
        <v>167</v>
      </c>
      <c r="BK485">
        <f>0.27</f>
        <v>0.27</v>
      </c>
    </row>
    <row r="486" spans="1:63" x14ac:dyDescent="0.25">
      <c r="A486" t="s">
        <v>1856</v>
      </c>
      <c r="B486" t="s">
        <v>148</v>
      </c>
      <c r="C486" s="1">
        <v>45820</v>
      </c>
      <c r="D486" t="s">
        <v>269</v>
      </c>
      <c r="E486" t="s">
        <v>270</v>
      </c>
      <c r="F486" t="s">
        <v>271</v>
      </c>
      <c r="G486" t="s">
        <v>5159</v>
      </c>
      <c r="H486">
        <v>1109</v>
      </c>
      <c r="I486" t="s">
        <v>5159</v>
      </c>
      <c r="J486">
        <v>255</v>
      </c>
      <c r="K486" t="s">
        <v>5257</v>
      </c>
      <c r="L486" t="s">
        <v>431</v>
      </c>
      <c r="M486" t="s">
        <v>5002</v>
      </c>
      <c r="N486" t="s">
        <v>5160</v>
      </c>
      <c r="O486" t="s">
        <v>1857</v>
      </c>
      <c r="Q486" t="s">
        <v>5003</v>
      </c>
      <c r="R486">
        <f>1</f>
        <v>1</v>
      </c>
      <c r="S486">
        <f>16.8</f>
        <v>16.8</v>
      </c>
      <c r="T486">
        <f>7.3</f>
        <v>7.3</v>
      </c>
      <c r="U486">
        <f>451</f>
        <v>451</v>
      </c>
      <c r="X486">
        <f>0</f>
        <v>0</v>
      </c>
      <c r="Y486" t="s">
        <v>207</v>
      </c>
      <c r="Z486">
        <f>0</f>
        <v>0</v>
      </c>
      <c r="AA486" t="s">
        <v>158</v>
      </c>
      <c r="AB486" t="s">
        <v>158</v>
      </c>
      <c r="AC486">
        <f>0</f>
        <v>0</v>
      </c>
      <c r="AD486">
        <f>0</f>
        <v>0</v>
      </c>
      <c r="AE486">
        <f>0</f>
        <v>0</v>
      </c>
      <c r="AH486" t="s">
        <v>166</v>
      </c>
    </row>
    <row r="487" spans="1:63" x14ac:dyDescent="0.25">
      <c r="A487" t="s">
        <v>1858</v>
      </c>
      <c r="B487" t="s">
        <v>148</v>
      </c>
      <c r="C487" s="1">
        <v>45726</v>
      </c>
      <c r="D487" t="s">
        <v>269</v>
      </c>
      <c r="E487" t="s">
        <v>270</v>
      </c>
      <c r="F487" t="s">
        <v>271</v>
      </c>
      <c r="G487" t="s">
        <v>6679</v>
      </c>
      <c r="H487">
        <v>1107</v>
      </c>
      <c r="I487" t="s">
        <v>6679</v>
      </c>
      <c r="J487">
        <v>373</v>
      </c>
      <c r="K487" t="s">
        <v>5257</v>
      </c>
      <c r="L487" t="s">
        <v>387</v>
      </c>
      <c r="M487" t="s">
        <v>4791</v>
      </c>
      <c r="N487" t="s">
        <v>6017</v>
      </c>
      <c r="O487" t="s">
        <v>1859</v>
      </c>
      <c r="R487">
        <f>1</f>
        <v>1</v>
      </c>
      <c r="S487">
        <f>9.1</f>
        <v>9.1</v>
      </c>
      <c r="T487">
        <f>7.5</f>
        <v>7.5</v>
      </c>
      <c r="U487">
        <f>538</f>
        <v>538</v>
      </c>
      <c r="V487">
        <f>0.18</f>
        <v>0.18</v>
      </c>
      <c r="X487">
        <f>0</f>
        <v>0</v>
      </c>
      <c r="Y487">
        <f>0.22</f>
        <v>0.22</v>
      </c>
      <c r="Z487">
        <f>0</f>
        <v>0</v>
      </c>
      <c r="AA487" t="s">
        <v>158</v>
      </c>
      <c r="AB487" t="s">
        <v>158</v>
      </c>
      <c r="AC487">
        <f>0</f>
        <v>0</v>
      </c>
      <c r="AD487">
        <f>0</f>
        <v>0</v>
      </c>
      <c r="AE487">
        <f>0</f>
        <v>0</v>
      </c>
    </row>
    <row r="488" spans="1:63" x14ac:dyDescent="0.25">
      <c r="A488" t="s">
        <v>1860</v>
      </c>
      <c r="B488" t="s">
        <v>148</v>
      </c>
      <c r="C488" s="1">
        <v>45727</v>
      </c>
      <c r="D488" t="s">
        <v>242</v>
      </c>
      <c r="E488" t="s">
        <v>243</v>
      </c>
      <c r="F488" t="s">
        <v>5284</v>
      </c>
      <c r="G488" t="s">
        <v>1861</v>
      </c>
      <c r="H488">
        <v>1167</v>
      </c>
      <c r="I488" t="s">
        <v>1861</v>
      </c>
      <c r="J488">
        <v>205</v>
      </c>
      <c r="K488" t="s">
        <v>5254</v>
      </c>
      <c r="L488" t="s">
        <v>393</v>
      </c>
      <c r="M488" t="s">
        <v>1862</v>
      </c>
      <c r="N488" t="s">
        <v>1863</v>
      </c>
      <c r="O488" t="s">
        <v>1864</v>
      </c>
      <c r="Q488" t="s">
        <v>6346</v>
      </c>
      <c r="R488">
        <f>1</f>
        <v>1</v>
      </c>
      <c r="S488">
        <f>8.6</f>
        <v>8.6</v>
      </c>
      <c r="T488">
        <f>7.6</f>
        <v>7.6</v>
      </c>
      <c r="U488">
        <f>524</f>
        <v>524</v>
      </c>
      <c r="X488">
        <f>1</f>
        <v>1</v>
      </c>
      <c r="Y488" t="s">
        <v>157</v>
      </c>
      <c r="Z488">
        <f>0</f>
        <v>0</v>
      </c>
      <c r="AA488" t="s">
        <v>158</v>
      </c>
      <c r="AB488" t="s">
        <v>158</v>
      </c>
      <c r="AD488">
        <f>0</f>
        <v>0</v>
      </c>
      <c r="AE488">
        <f>0</f>
        <v>0</v>
      </c>
      <c r="AH488" t="s">
        <v>157</v>
      </c>
    </row>
    <row r="489" spans="1:63" x14ac:dyDescent="0.25">
      <c r="A489" t="s">
        <v>1865</v>
      </c>
      <c r="B489" t="s">
        <v>148</v>
      </c>
      <c r="C489" s="1">
        <v>45726</v>
      </c>
      <c r="D489" t="s">
        <v>269</v>
      </c>
      <c r="E489" t="s">
        <v>295</v>
      </c>
      <c r="F489" t="s">
        <v>1866</v>
      </c>
      <c r="G489" t="s">
        <v>1867</v>
      </c>
      <c r="H489">
        <v>313</v>
      </c>
      <c r="I489" t="s">
        <v>1868</v>
      </c>
      <c r="J489">
        <v>250</v>
      </c>
      <c r="K489" t="s">
        <v>5254</v>
      </c>
      <c r="L489" t="s">
        <v>180</v>
      </c>
      <c r="M489" t="s">
        <v>5161</v>
      </c>
      <c r="N489" t="s">
        <v>1869</v>
      </c>
      <c r="O489" t="s">
        <v>1870</v>
      </c>
      <c r="R489">
        <f>1</f>
        <v>1</v>
      </c>
      <c r="S489">
        <f>9.4</f>
        <v>9.4</v>
      </c>
      <c r="T489">
        <f>7.7</f>
        <v>7.7</v>
      </c>
      <c r="U489">
        <f>493</f>
        <v>493</v>
      </c>
      <c r="X489">
        <f>0</f>
        <v>0</v>
      </c>
      <c r="Y489">
        <f>0.06</f>
        <v>0.06</v>
      </c>
      <c r="Z489">
        <f>0</f>
        <v>0</v>
      </c>
      <c r="AA489">
        <f>34</f>
        <v>34</v>
      </c>
      <c r="AB489" t="s">
        <v>158</v>
      </c>
      <c r="AD489">
        <f>0</f>
        <v>0</v>
      </c>
      <c r="AE489">
        <f>0</f>
        <v>0</v>
      </c>
      <c r="BI489" t="s">
        <v>157</v>
      </c>
    </row>
    <row r="490" spans="1:63" x14ac:dyDescent="0.25">
      <c r="A490" t="s">
        <v>1871</v>
      </c>
      <c r="B490" t="s">
        <v>148</v>
      </c>
      <c r="C490" s="1">
        <v>45784</v>
      </c>
      <c r="D490" t="s">
        <v>269</v>
      </c>
      <c r="E490" t="s">
        <v>295</v>
      </c>
      <c r="F490" t="s">
        <v>331</v>
      </c>
      <c r="G490" t="s">
        <v>1872</v>
      </c>
      <c r="H490">
        <v>451</v>
      </c>
      <c r="I490" t="s">
        <v>1872</v>
      </c>
      <c r="J490">
        <v>230</v>
      </c>
      <c r="K490" t="s">
        <v>5257</v>
      </c>
      <c r="L490" t="s">
        <v>431</v>
      </c>
      <c r="M490" t="s">
        <v>5004</v>
      </c>
      <c r="N490" t="s">
        <v>1873</v>
      </c>
      <c r="O490" t="s">
        <v>1874</v>
      </c>
      <c r="Q490" t="s">
        <v>6368</v>
      </c>
      <c r="R490">
        <f>1</f>
        <v>1</v>
      </c>
      <c r="S490">
        <f>13.1</f>
        <v>13.1</v>
      </c>
      <c r="T490">
        <f>7.7</f>
        <v>7.7</v>
      </c>
      <c r="U490">
        <f>375</f>
        <v>375</v>
      </c>
      <c r="X490">
        <f>0</f>
        <v>0</v>
      </c>
      <c r="Y490">
        <f>0.14</f>
        <v>0.14000000000000001</v>
      </c>
      <c r="Z490">
        <f>0</f>
        <v>0</v>
      </c>
      <c r="AA490" t="s">
        <v>158</v>
      </c>
      <c r="AB490" t="s">
        <v>158</v>
      </c>
      <c r="AC490">
        <f>0</f>
        <v>0</v>
      </c>
      <c r="AD490">
        <f>0</f>
        <v>0</v>
      </c>
      <c r="AE490">
        <f>0</f>
        <v>0</v>
      </c>
      <c r="AH490" t="s">
        <v>166</v>
      </c>
      <c r="BI490">
        <f>0.16</f>
        <v>0.16</v>
      </c>
    </row>
    <row r="491" spans="1:63" x14ac:dyDescent="0.25">
      <c r="A491" t="s">
        <v>1875</v>
      </c>
      <c r="B491" t="s">
        <v>148</v>
      </c>
      <c r="C491" s="1">
        <v>45782</v>
      </c>
      <c r="D491" t="s">
        <v>269</v>
      </c>
      <c r="E491" t="s">
        <v>270</v>
      </c>
      <c r="F491" t="s">
        <v>1876</v>
      </c>
      <c r="G491" t="s">
        <v>1877</v>
      </c>
      <c r="H491">
        <v>317</v>
      </c>
      <c r="I491" t="s">
        <v>1877</v>
      </c>
      <c r="J491">
        <v>274</v>
      </c>
      <c r="K491" t="s">
        <v>5257</v>
      </c>
      <c r="L491" t="s">
        <v>431</v>
      </c>
      <c r="M491" t="s">
        <v>4792</v>
      </c>
      <c r="N491" t="s">
        <v>6018</v>
      </c>
      <c r="O491" t="s">
        <v>1878</v>
      </c>
      <c r="R491">
        <f>1</f>
        <v>1</v>
      </c>
      <c r="S491">
        <f>13.4</f>
        <v>13.4</v>
      </c>
      <c r="T491">
        <f>7.7</f>
        <v>7.7</v>
      </c>
      <c r="U491">
        <f>596</f>
        <v>596</v>
      </c>
      <c r="X491">
        <f>0</f>
        <v>0</v>
      </c>
      <c r="Y491">
        <f>0.22</f>
        <v>0.22</v>
      </c>
      <c r="Z491">
        <f>0</f>
        <v>0</v>
      </c>
      <c r="AA491" t="s">
        <v>158</v>
      </c>
      <c r="AB491" t="s">
        <v>158</v>
      </c>
      <c r="AC491">
        <f>0</f>
        <v>0</v>
      </c>
      <c r="AD491">
        <f>0</f>
        <v>0</v>
      </c>
      <c r="AE491">
        <f>0</f>
        <v>0</v>
      </c>
      <c r="AH491" t="s">
        <v>166</v>
      </c>
      <c r="BI491">
        <f>0.48</f>
        <v>0.48</v>
      </c>
    </row>
    <row r="492" spans="1:63" x14ac:dyDescent="0.25">
      <c r="A492" t="s">
        <v>1879</v>
      </c>
      <c r="B492" t="s">
        <v>148</v>
      </c>
      <c r="C492" s="1">
        <v>45834</v>
      </c>
      <c r="D492" t="s">
        <v>175</v>
      </c>
      <c r="E492" t="s">
        <v>649</v>
      </c>
      <c r="F492" t="s">
        <v>1880</v>
      </c>
      <c r="G492" t="s">
        <v>1881</v>
      </c>
      <c r="H492">
        <v>841</v>
      </c>
      <c r="I492" t="s">
        <v>1881</v>
      </c>
      <c r="J492">
        <v>800</v>
      </c>
      <c r="K492" t="s">
        <v>5254</v>
      </c>
      <c r="L492" t="s">
        <v>1882</v>
      </c>
      <c r="M492" t="s">
        <v>6019</v>
      </c>
      <c r="N492" t="s">
        <v>1883</v>
      </c>
      <c r="O492" t="s">
        <v>1884</v>
      </c>
      <c r="Q492" t="s">
        <v>6369</v>
      </c>
      <c r="R492">
        <f>1</f>
        <v>1</v>
      </c>
      <c r="S492">
        <f>16.4</f>
        <v>16.399999999999999</v>
      </c>
      <c r="T492">
        <f>7.6</f>
        <v>7.6</v>
      </c>
      <c r="U492">
        <f>464</f>
        <v>464</v>
      </c>
      <c r="X492">
        <f>0</f>
        <v>0</v>
      </c>
      <c r="Y492">
        <f>0.24</f>
        <v>0.24</v>
      </c>
      <c r="Z492">
        <f>0</f>
        <v>0</v>
      </c>
      <c r="AA492" t="s">
        <v>158</v>
      </c>
      <c r="AB492" t="s">
        <v>158</v>
      </c>
      <c r="AD492">
        <f>0</f>
        <v>0</v>
      </c>
      <c r="AE492">
        <f>0</f>
        <v>0</v>
      </c>
      <c r="AH492" t="s">
        <v>157</v>
      </c>
      <c r="AI492" t="s">
        <v>238</v>
      </c>
      <c r="AL492" t="s">
        <v>164</v>
      </c>
      <c r="AM492" t="s">
        <v>165</v>
      </c>
      <c r="AN492">
        <f>6.2</f>
        <v>6.2</v>
      </c>
      <c r="AO492">
        <f>0.12</f>
        <v>0.12</v>
      </c>
      <c r="AP492">
        <f>30</f>
        <v>30</v>
      </c>
      <c r="AQ492">
        <f>5.2</f>
        <v>5.2</v>
      </c>
      <c r="AR492" t="s">
        <v>157</v>
      </c>
      <c r="AS492">
        <f>3</f>
        <v>3</v>
      </c>
      <c r="AY492" t="s">
        <v>167</v>
      </c>
      <c r="AZ492" t="s">
        <v>158</v>
      </c>
      <c r="BA492" t="s">
        <v>216</v>
      </c>
      <c r="BB492" t="s">
        <v>158</v>
      </c>
      <c r="BC492" t="s">
        <v>166</v>
      </c>
      <c r="BD492" t="s">
        <v>167</v>
      </c>
      <c r="BE492" t="s">
        <v>266</v>
      </c>
      <c r="BF492">
        <f>0.028</f>
        <v>2.8000000000000001E-2</v>
      </c>
      <c r="BG492" t="s">
        <v>167</v>
      </c>
      <c r="BH492" t="s">
        <v>167</v>
      </c>
      <c r="BI492">
        <f>0.59</f>
        <v>0.59</v>
      </c>
      <c r="BK492">
        <f>0.35</f>
        <v>0.35</v>
      </c>
    </row>
    <row r="493" spans="1:63" x14ac:dyDescent="0.25">
      <c r="A493" t="s">
        <v>1885</v>
      </c>
      <c r="B493" t="s">
        <v>148</v>
      </c>
      <c r="C493" s="1">
        <v>45730</v>
      </c>
      <c r="D493" t="s">
        <v>242</v>
      </c>
      <c r="E493" t="s">
        <v>295</v>
      </c>
      <c r="F493" t="s">
        <v>4793</v>
      </c>
      <c r="G493" t="s">
        <v>6680</v>
      </c>
      <c r="H493">
        <v>823</v>
      </c>
      <c r="I493" t="s">
        <v>6680</v>
      </c>
      <c r="J493">
        <v>350</v>
      </c>
      <c r="K493" t="s">
        <v>5254</v>
      </c>
      <c r="L493" t="s">
        <v>1434</v>
      </c>
      <c r="M493" t="s">
        <v>4794</v>
      </c>
      <c r="N493" t="s">
        <v>4795</v>
      </c>
      <c r="O493" t="s">
        <v>1886</v>
      </c>
      <c r="R493">
        <f>1</f>
        <v>1</v>
      </c>
      <c r="S493">
        <f>12.6</f>
        <v>12.6</v>
      </c>
      <c r="T493">
        <f>7.8</f>
        <v>7.8</v>
      </c>
      <c r="U493">
        <f>316</f>
        <v>316</v>
      </c>
      <c r="X493">
        <f>0</f>
        <v>0</v>
      </c>
      <c r="Y493">
        <f>0.2</f>
        <v>0.2</v>
      </c>
      <c r="Z493">
        <f>0</f>
        <v>0</v>
      </c>
      <c r="AA493" t="s">
        <v>158</v>
      </c>
      <c r="AB493" t="s">
        <v>158</v>
      </c>
      <c r="AD493">
        <f>0</f>
        <v>0</v>
      </c>
      <c r="AE493">
        <f>0</f>
        <v>0</v>
      </c>
      <c r="BI493">
        <f>0.12</f>
        <v>0.12</v>
      </c>
    </row>
    <row r="494" spans="1:63" x14ac:dyDescent="0.25">
      <c r="A494" t="s">
        <v>1887</v>
      </c>
      <c r="B494" t="s">
        <v>268</v>
      </c>
      <c r="C494" s="1">
        <v>45726</v>
      </c>
      <c r="D494" t="s">
        <v>618</v>
      </c>
      <c r="E494" t="s">
        <v>619</v>
      </c>
      <c r="F494" t="s">
        <v>6648</v>
      </c>
      <c r="G494" t="s">
        <v>5162</v>
      </c>
      <c r="H494">
        <v>943</v>
      </c>
      <c r="I494" t="s">
        <v>5162</v>
      </c>
      <c r="J494">
        <v>353</v>
      </c>
      <c r="K494" t="s">
        <v>5254</v>
      </c>
      <c r="L494" t="s">
        <v>180</v>
      </c>
      <c r="M494" t="s">
        <v>5163</v>
      </c>
      <c r="N494" t="s">
        <v>6681</v>
      </c>
      <c r="O494" t="s">
        <v>1888</v>
      </c>
      <c r="R494">
        <f>1</f>
        <v>1</v>
      </c>
      <c r="S494">
        <f>7.8</f>
        <v>7.8</v>
      </c>
      <c r="T494">
        <f>7.8</f>
        <v>7.8</v>
      </c>
      <c r="U494">
        <f>347</f>
        <v>347</v>
      </c>
      <c r="X494">
        <f>0</f>
        <v>0</v>
      </c>
      <c r="Y494">
        <f>0.1</f>
        <v>0.1</v>
      </c>
      <c r="Z494">
        <f>0</f>
        <v>0</v>
      </c>
      <c r="AA494">
        <f>59</f>
        <v>59</v>
      </c>
      <c r="AB494">
        <f>143</f>
        <v>143</v>
      </c>
      <c r="AD494">
        <f>0</f>
        <v>0</v>
      </c>
      <c r="AE494">
        <f>0</f>
        <v>0</v>
      </c>
      <c r="AH494" t="s">
        <v>157</v>
      </c>
    </row>
    <row r="495" spans="1:63" x14ac:dyDescent="0.25">
      <c r="A495" t="s">
        <v>1889</v>
      </c>
      <c r="B495" t="s">
        <v>148</v>
      </c>
      <c r="C495" s="1">
        <v>45722</v>
      </c>
      <c r="D495" t="s">
        <v>242</v>
      </c>
      <c r="E495" t="s">
        <v>295</v>
      </c>
      <c r="F495" t="s">
        <v>1890</v>
      </c>
      <c r="G495" t="s">
        <v>1890</v>
      </c>
      <c r="H495">
        <v>1176</v>
      </c>
      <c r="I495" t="s">
        <v>1890</v>
      </c>
      <c r="J495">
        <v>350</v>
      </c>
      <c r="K495" t="s">
        <v>5254</v>
      </c>
      <c r="L495" t="s">
        <v>393</v>
      </c>
      <c r="M495" t="s">
        <v>4796</v>
      </c>
      <c r="N495" t="s">
        <v>1891</v>
      </c>
      <c r="O495" t="s">
        <v>1892</v>
      </c>
      <c r="R495">
        <f>1</f>
        <v>1</v>
      </c>
      <c r="S495">
        <f>10.7</f>
        <v>10.7</v>
      </c>
      <c r="T495">
        <f>7.5</f>
        <v>7.5</v>
      </c>
      <c r="U495">
        <f>454</f>
        <v>454</v>
      </c>
      <c r="V495">
        <f>0.14</f>
        <v>0.14000000000000001</v>
      </c>
      <c r="X495">
        <f>0</f>
        <v>0</v>
      </c>
      <c r="Y495" t="s">
        <v>157</v>
      </c>
      <c r="Z495">
        <f>0</f>
        <v>0</v>
      </c>
      <c r="AA495" t="s">
        <v>158</v>
      </c>
      <c r="AB495" t="s">
        <v>158</v>
      </c>
      <c r="AD495">
        <f>0</f>
        <v>0</v>
      </c>
      <c r="AE495">
        <f>0</f>
        <v>0</v>
      </c>
      <c r="AH495" t="s">
        <v>157</v>
      </c>
      <c r="BI495" t="s">
        <v>836</v>
      </c>
    </row>
    <row r="496" spans="1:63" x14ac:dyDescent="0.25">
      <c r="A496" t="s">
        <v>1893</v>
      </c>
      <c r="B496" t="s">
        <v>148</v>
      </c>
      <c r="C496" s="1">
        <v>45728</v>
      </c>
      <c r="D496" t="s">
        <v>242</v>
      </c>
      <c r="E496" t="s">
        <v>243</v>
      </c>
      <c r="F496" t="s">
        <v>391</v>
      </c>
      <c r="G496" t="s">
        <v>6682</v>
      </c>
      <c r="H496">
        <v>1183</v>
      </c>
      <c r="I496" t="s">
        <v>6682</v>
      </c>
      <c r="J496">
        <v>200</v>
      </c>
      <c r="K496" t="s">
        <v>5254</v>
      </c>
      <c r="L496" t="s">
        <v>393</v>
      </c>
      <c r="M496" t="s">
        <v>5469</v>
      </c>
      <c r="N496" t="s">
        <v>5164</v>
      </c>
      <c r="O496" t="s">
        <v>1894</v>
      </c>
      <c r="Q496" t="s">
        <v>6370</v>
      </c>
      <c r="R496">
        <f>1</f>
        <v>1</v>
      </c>
      <c r="S496">
        <f>8.9</f>
        <v>8.9</v>
      </c>
      <c r="T496">
        <f>7.7</f>
        <v>7.7</v>
      </c>
      <c r="U496">
        <f>442</f>
        <v>442</v>
      </c>
      <c r="V496">
        <f>0.3</f>
        <v>0.3</v>
      </c>
      <c r="X496">
        <f>0</f>
        <v>0</v>
      </c>
      <c r="Y496" t="s">
        <v>157</v>
      </c>
      <c r="Z496">
        <f>0</f>
        <v>0</v>
      </c>
      <c r="AA496" t="s">
        <v>158</v>
      </c>
      <c r="AB496" t="s">
        <v>158</v>
      </c>
      <c r="AD496">
        <f>0</f>
        <v>0</v>
      </c>
      <c r="AE496">
        <f>0</f>
        <v>0</v>
      </c>
      <c r="AH496" t="s">
        <v>157</v>
      </c>
    </row>
    <row r="497" spans="1:148" x14ac:dyDescent="0.25">
      <c r="A497" t="s">
        <v>1895</v>
      </c>
      <c r="B497" t="s">
        <v>148</v>
      </c>
      <c r="C497" s="1">
        <v>45726</v>
      </c>
      <c r="D497" t="s">
        <v>242</v>
      </c>
      <c r="E497" t="s">
        <v>243</v>
      </c>
      <c r="F497" t="s">
        <v>1265</v>
      </c>
      <c r="G497" t="s">
        <v>6020</v>
      </c>
      <c r="H497">
        <v>1192</v>
      </c>
      <c r="I497" t="s">
        <v>6020</v>
      </c>
      <c r="J497">
        <v>250</v>
      </c>
      <c r="K497" t="s">
        <v>5254</v>
      </c>
      <c r="L497" t="s">
        <v>4968</v>
      </c>
      <c r="M497" t="s">
        <v>6021</v>
      </c>
      <c r="N497" t="s">
        <v>1896</v>
      </c>
      <c r="O497" t="s">
        <v>1897</v>
      </c>
      <c r="R497">
        <f>1</f>
        <v>1</v>
      </c>
      <c r="S497">
        <f>8.9</f>
        <v>8.9</v>
      </c>
      <c r="T497">
        <f>8.4</f>
        <v>8.4</v>
      </c>
      <c r="U497">
        <f>242</f>
        <v>242</v>
      </c>
      <c r="V497">
        <f>0.08</f>
        <v>0.08</v>
      </c>
      <c r="X497">
        <f>0</f>
        <v>0</v>
      </c>
      <c r="Y497">
        <f>0.56</f>
        <v>0.56000000000000005</v>
      </c>
      <c r="Z497">
        <f>0</f>
        <v>0</v>
      </c>
      <c r="AA497" t="s">
        <v>158</v>
      </c>
      <c r="AB497" t="s">
        <v>158</v>
      </c>
      <c r="AD497">
        <f>0</f>
        <v>0</v>
      </c>
      <c r="AE497">
        <f>0</f>
        <v>0</v>
      </c>
      <c r="AH497" t="s">
        <v>157</v>
      </c>
    </row>
    <row r="498" spans="1:148" x14ac:dyDescent="0.25">
      <c r="A498" t="s">
        <v>1898</v>
      </c>
      <c r="B498" t="s">
        <v>148</v>
      </c>
      <c r="C498" s="1">
        <v>45729</v>
      </c>
      <c r="D498" t="s">
        <v>317</v>
      </c>
      <c r="E498" t="s">
        <v>318</v>
      </c>
      <c r="F498" t="s">
        <v>4965</v>
      </c>
      <c r="G498" t="s">
        <v>1899</v>
      </c>
      <c r="H498">
        <v>727</v>
      </c>
      <c r="I498" t="s">
        <v>6683</v>
      </c>
      <c r="J498">
        <v>290</v>
      </c>
      <c r="K498" t="s">
        <v>5254</v>
      </c>
      <c r="L498" t="s">
        <v>4966</v>
      </c>
      <c r="M498" t="s">
        <v>5005</v>
      </c>
      <c r="N498" t="s">
        <v>5470</v>
      </c>
      <c r="O498" t="s">
        <v>1900</v>
      </c>
      <c r="Q498" t="s">
        <v>6301</v>
      </c>
      <c r="R498">
        <f>1</f>
        <v>1</v>
      </c>
      <c r="S498">
        <f>9.5</f>
        <v>9.5</v>
      </c>
      <c r="T498">
        <f>8</f>
        <v>8</v>
      </c>
      <c r="U498">
        <f>225</f>
        <v>225</v>
      </c>
      <c r="X498">
        <f>0</f>
        <v>0</v>
      </c>
      <c r="Y498" t="s">
        <v>157</v>
      </c>
      <c r="Z498">
        <f>0</f>
        <v>0</v>
      </c>
      <c r="AA498">
        <f>2</f>
        <v>2</v>
      </c>
      <c r="AB498">
        <f>0</f>
        <v>0</v>
      </c>
      <c r="AD498">
        <f>0</f>
        <v>0</v>
      </c>
      <c r="AE498">
        <f>0</f>
        <v>0</v>
      </c>
      <c r="AH498" t="s">
        <v>157</v>
      </c>
    </row>
    <row r="499" spans="1:148" x14ac:dyDescent="0.25">
      <c r="A499" t="s">
        <v>1901</v>
      </c>
      <c r="B499" t="s">
        <v>148</v>
      </c>
      <c r="C499" s="1">
        <v>45849</v>
      </c>
      <c r="D499" t="s">
        <v>222</v>
      </c>
      <c r="E499" t="s">
        <v>223</v>
      </c>
      <c r="F499" t="s">
        <v>4745</v>
      </c>
      <c r="G499" t="s">
        <v>5165</v>
      </c>
      <c r="H499">
        <v>1287</v>
      </c>
      <c r="I499" t="s">
        <v>5165</v>
      </c>
      <c r="J499">
        <v>132</v>
      </c>
      <c r="K499" t="s">
        <v>5257</v>
      </c>
      <c r="L499" t="s">
        <v>431</v>
      </c>
      <c r="M499" t="s">
        <v>5471</v>
      </c>
      <c r="N499" t="s">
        <v>5006</v>
      </c>
      <c r="O499" t="s">
        <v>1902</v>
      </c>
      <c r="Q499" t="s">
        <v>6353</v>
      </c>
      <c r="R499">
        <f>1</f>
        <v>1</v>
      </c>
      <c r="S499">
        <f>21.3</f>
        <v>21.3</v>
      </c>
      <c r="T499">
        <f>7.8</f>
        <v>7.8</v>
      </c>
      <c r="U499">
        <f>256</f>
        <v>256</v>
      </c>
      <c r="X499">
        <f>1</f>
        <v>1</v>
      </c>
      <c r="Y499">
        <f>0.02</f>
        <v>0.02</v>
      </c>
      <c r="Z499">
        <f>0</f>
        <v>0</v>
      </c>
      <c r="AA499">
        <f>1</f>
        <v>1</v>
      </c>
      <c r="AB499">
        <f>2</f>
        <v>2</v>
      </c>
      <c r="AD499">
        <f>0</f>
        <v>0</v>
      </c>
      <c r="AE499">
        <f>0</f>
        <v>0</v>
      </c>
      <c r="AH499" t="s">
        <v>166</v>
      </c>
    </row>
    <row r="500" spans="1:148" x14ac:dyDescent="0.25">
      <c r="A500" t="s">
        <v>1903</v>
      </c>
      <c r="B500" t="s">
        <v>148</v>
      </c>
      <c r="C500" s="1">
        <v>45849</v>
      </c>
      <c r="D500" t="s">
        <v>222</v>
      </c>
      <c r="E500" t="s">
        <v>223</v>
      </c>
      <c r="F500" t="s">
        <v>4745</v>
      </c>
      <c r="G500" t="s">
        <v>6684</v>
      </c>
      <c r="H500">
        <v>1293</v>
      </c>
      <c r="I500" t="s">
        <v>6684</v>
      </c>
      <c r="J500">
        <v>128</v>
      </c>
      <c r="K500" t="s">
        <v>5257</v>
      </c>
      <c r="L500" t="s">
        <v>431</v>
      </c>
      <c r="M500" t="s">
        <v>4797</v>
      </c>
      <c r="N500" t="s">
        <v>4798</v>
      </c>
      <c r="O500" t="s">
        <v>1904</v>
      </c>
      <c r="Q500" t="s">
        <v>5425</v>
      </c>
      <c r="R500">
        <f>1</f>
        <v>1</v>
      </c>
      <c r="S500">
        <f>18.1</f>
        <v>18.100000000000001</v>
      </c>
      <c r="T500">
        <f>8</f>
        <v>8</v>
      </c>
      <c r="U500">
        <f>226</f>
        <v>226</v>
      </c>
      <c r="V500">
        <f>0.16</f>
        <v>0.16</v>
      </c>
      <c r="X500">
        <f>1</f>
        <v>1</v>
      </c>
      <c r="Y500">
        <f>0.02</f>
        <v>0.02</v>
      </c>
      <c r="Z500">
        <f>0</f>
        <v>0</v>
      </c>
      <c r="AA500">
        <f>0</f>
        <v>0</v>
      </c>
      <c r="AB500">
        <f>0</f>
        <v>0</v>
      </c>
      <c r="AC500">
        <f>0</f>
        <v>0</v>
      </c>
      <c r="AD500">
        <f>0</f>
        <v>0</v>
      </c>
      <c r="AE500">
        <f>0</f>
        <v>0</v>
      </c>
      <c r="AH500" t="s">
        <v>166</v>
      </c>
    </row>
    <row r="501" spans="1:148" x14ac:dyDescent="0.25">
      <c r="A501" t="s">
        <v>1905</v>
      </c>
      <c r="B501" t="s">
        <v>148</v>
      </c>
      <c r="C501" s="1">
        <v>45730</v>
      </c>
      <c r="D501" t="s">
        <v>269</v>
      </c>
      <c r="E501" t="s">
        <v>295</v>
      </c>
      <c r="F501" t="s">
        <v>6685</v>
      </c>
      <c r="G501" t="s">
        <v>6686</v>
      </c>
      <c r="H501">
        <v>1332</v>
      </c>
      <c r="I501" t="s">
        <v>6686</v>
      </c>
      <c r="J501">
        <v>500</v>
      </c>
      <c r="K501" t="s">
        <v>5254</v>
      </c>
      <c r="L501" t="s">
        <v>393</v>
      </c>
      <c r="M501" t="s">
        <v>6687</v>
      </c>
      <c r="N501" t="s">
        <v>6688</v>
      </c>
      <c r="O501" t="s">
        <v>1906</v>
      </c>
      <c r="R501">
        <f>1</f>
        <v>1</v>
      </c>
      <c r="S501">
        <f>13.1</f>
        <v>13.1</v>
      </c>
      <c r="T501">
        <f>7.8</f>
        <v>7.8</v>
      </c>
      <c r="U501">
        <f>398</f>
        <v>398</v>
      </c>
      <c r="V501">
        <f>0.26</f>
        <v>0.26</v>
      </c>
      <c r="X501">
        <f>0</f>
        <v>0</v>
      </c>
      <c r="Y501">
        <f>0.17</f>
        <v>0.17</v>
      </c>
      <c r="Z501">
        <f>0</f>
        <v>0</v>
      </c>
      <c r="AA501" t="s">
        <v>158</v>
      </c>
      <c r="AB501" t="s">
        <v>158</v>
      </c>
      <c r="AD501">
        <f>0</f>
        <v>0</v>
      </c>
      <c r="AE501">
        <f>0</f>
        <v>0</v>
      </c>
      <c r="BI501">
        <f>0.22</f>
        <v>0.22</v>
      </c>
    </row>
    <row r="502" spans="1:148" x14ac:dyDescent="0.25">
      <c r="A502" t="s">
        <v>1907</v>
      </c>
      <c r="B502" t="s">
        <v>148</v>
      </c>
      <c r="C502" s="1">
        <v>45733</v>
      </c>
      <c r="D502" t="s">
        <v>175</v>
      </c>
      <c r="E502" t="s">
        <v>176</v>
      </c>
      <c r="F502" t="s">
        <v>177</v>
      </c>
      <c r="G502" t="s">
        <v>1908</v>
      </c>
      <c r="H502">
        <v>1353</v>
      </c>
      <c r="I502" t="s">
        <v>1908</v>
      </c>
      <c r="J502">
        <v>572</v>
      </c>
      <c r="K502" t="s">
        <v>5254</v>
      </c>
      <c r="L502" t="s">
        <v>4966</v>
      </c>
      <c r="M502" t="s">
        <v>5472</v>
      </c>
      <c r="N502" t="s">
        <v>1909</v>
      </c>
      <c r="O502" t="s">
        <v>1910</v>
      </c>
      <c r="R502">
        <f>1</f>
        <v>1</v>
      </c>
      <c r="S502">
        <f>9.1</f>
        <v>9.1</v>
      </c>
      <c r="T502">
        <f>7.6</f>
        <v>7.6</v>
      </c>
      <c r="U502">
        <f>456</f>
        <v>456</v>
      </c>
      <c r="X502">
        <f>0</f>
        <v>0</v>
      </c>
      <c r="Y502" t="s">
        <v>157</v>
      </c>
      <c r="Z502">
        <f>0</f>
        <v>0</v>
      </c>
      <c r="AA502" t="s">
        <v>158</v>
      </c>
      <c r="AB502" t="s">
        <v>158</v>
      </c>
      <c r="AD502">
        <f>0</f>
        <v>0</v>
      </c>
      <c r="AE502">
        <f>0</f>
        <v>0</v>
      </c>
    </row>
    <row r="503" spans="1:148" x14ac:dyDescent="0.25">
      <c r="A503" t="s">
        <v>1911</v>
      </c>
      <c r="B503" t="s">
        <v>148</v>
      </c>
      <c r="C503" s="1">
        <v>45852</v>
      </c>
      <c r="D503" t="s">
        <v>222</v>
      </c>
      <c r="E503" t="s">
        <v>223</v>
      </c>
      <c r="F503" t="s">
        <v>469</v>
      </c>
      <c r="G503" t="s">
        <v>6689</v>
      </c>
      <c r="H503">
        <v>264</v>
      </c>
      <c r="I503" t="s">
        <v>6689</v>
      </c>
      <c r="J503">
        <v>130</v>
      </c>
      <c r="K503" t="s">
        <v>5257</v>
      </c>
      <c r="L503" t="s">
        <v>431</v>
      </c>
      <c r="M503" t="s">
        <v>5340</v>
      </c>
      <c r="N503" t="s">
        <v>4799</v>
      </c>
      <c r="O503" t="s">
        <v>1912</v>
      </c>
      <c r="R503">
        <f>1</f>
        <v>1</v>
      </c>
      <c r="S503">
        <f>20.2</f>
        <v>20.2</v>
      </c>
      <c r="T503">
        <f>7.9</f>
        <v>7.9</v>
      </c>
      <c r="U503">
        <f>265</f>
        <v>265</v>
      </c>
      <c r="V503" t="s">
        <v>209</v>
      </c>
      <c r="X503">
        <f>1</f>
        <v>1</v>
      </c>
      <c r="Y503">
        <f>0.18</f>
        <v>0.18</v>
      </c>
      <c r="Z503">
        <f>0</f>
        <v>0</v>
      </c>
      <c r="AA503">
        <f>0</f>
        <v>0</v>
      </c>
      <c r="AB503">
        <f>0</f>
        <v>0</v>
      </c>
      <c r="AC503">
        <f>0</f>
        <v>0</v>
      </c>
      <c r="AD503">
        <f>0</f>
        <v>0</v>
      </c>
      <c r="AE503">
        <f>0</f>
        <v>0</v>
      </c>
      <c r="AH503" t="s">
        <v>166</v>
      </c>
    </row>
    <row r="504" spans="1:148" x14ac:dyDescent="0.25">
      <c r="A504" t="s">
        <v>1913</v>
      </c>
      <c r="B504" t="s">
        <v>148</v>
      </c>
      <c r="C504" s="1">
        <v>45750</v>
      </c>
      <c r="D504" t="s">
        <v>222</v>
      </c>
      <c r="E504" t="s">
        <v>223</v>
      </c>
      <c r="F504" t="s">
        <v>5473</v>
      </c>
      <c r="G504" t="s">
        <v>6022</v>
      </c>
      <c r="H504">
        <v>1386</v>
      </c>
      <c r="I504" t="s">
        <v>6022</v>
      </c>
      <c r="J504">
        <v>169</v>
      </c>
      <c r="K504" t="s">
        <v>5257</v>
      </c>
      <c r="L504" t="s">
        <v>393</v>
      </c>
      <c r="M504" t="s">
        <v>1914</v>
      </c>
      <c r="N504" t="s">
        <v>5474</v>
      </c>
      <c r="O504" t="s">
        <v>1915</v>
      </c>
      <c r="Q504" t="s">
        <v>6298</v>
      </c>
      <c r="R504">
        <f>1</f>
        <v>1</v>
      </c>
      <c r="S504">
        <f>11.9</f>
        <v>11.9</v>
      </c>
      <c r="T504">
        <f>8.3</f>
        <v>8.3000000000000007</v>
      </c>
      <c r="U504">
        <f>339</f>
        <v>339</v>
      </c>
      <c r="X504">
        <f>1</f>
        <v>1</v>
      </c>
      <c r="Y504">
        <f>0.1</f>
        <v>0.1</v>
      </c>
      <c r="Z504">
        <f>0</f>
        <v>0</v>
      </c>
      <c r="AA504">
        <f>1</f>
        <v>1</v>
      </c>
      <c r="AB504">
        <f>1</f>
        <v>1</v>
      </c>
      <c r="AC504">
        <f>0</f>
        <v>0</v>
      </c>
      <c r="AD504">
        <f>0</f>
        <v>0</v>
      </c>
      <c r="AE504">
        <f>0</f>
        <v>0</v>
      </c>
      <c r="AH504" t="s">
        <v>166</v>
      </c>
    </row>
    <row r="505" spans="1:148" x14ac:dyDescent="0.25">
      <c r="A505" t="s">
        <v>1916</v>
      </c>
      <c r="B505" t="s">
        <v>148</v>
      </c>
      <c r="C505" s="1">
        <v>45821</v>
      </c>
      <c r="D505" t="s">
        <v>269</v>
      </c>
      <c r="E505" t="s">
        <v>270</v>
      </c>
      <c r="F505" t="s">
        <v>1917</v>
      </c>
      <c r="G505" t="s">
        <v>1918</v>
      </c>
      <c r="H505">
        <v>1387</v>
      </c>
      <c r="I505" t="s">
        <v>1918</v>
      </c>
      <c r="J505">
        <v>550</v>
      </c>
      <c r="K505" t="s">
        <v>5254</v>
      </c>
      <c r="L505" t="s">
        <v>393</v>
      </c>
      <c r="M505" t="s">
        <v>1919</v>
      </c>
      <c r="N505" t="s">
        <v>6023</v>
      </c>
      <c r="O505" t="s">
        <v>1920</v>
      </c>
      <c r="R505">
        <f>1</f>
        <v>1</v>
      </c>
      <c r="S505">
        <f>13.6</f>
        <v>13.6</v>
      </c>
      <c r="T505">
        <f>7.6</f>
        <v>7.6</v>
      </c>
      <c r="U505">
        <f>511</f>
        <v>511</v>
      </c>
      <c r="V505">
        <f>0.25</f>
        <v>0.25</v>
      </c>
      <c r="X505">
        <f>0</f>
        <v>0</v>
      </c>
      <c r="Y505" t="s">
        <v>207</v>
      </c>
      <c r="Z505">
        <f>0</f>
        <v>0</v>
      </c>
      <c r="AA505" t="s">
        <v>158</v>
      </c>
      <c r="AB505" t="s">
        <v>158</v>
      </c>
      <c r="AD505">
        <f>0</f>
        <v>0</v>
      </c>
      <c r="AE505">
        <f>0</f>
        <v>0</v>
      </c>
      <c r="AH505" t="s">
        <v>166</v>
      </c>
      <c r="AI505" t="s">
        <v>300</v>
      </c>
      <c r="AL505" t="s">
        <v>216</v>
      </c>
      <c r="AM505" t="s">
        <v>266</v>
      </c>
      <c r="AN505">
        <f>16.7</f>
        <v>16.7</v>
      </c>
      <c r="AO505">
        <f>0.334</f>
        <v>0.33400000000000002</v>
      </c>
      <c r="AP505">
        <f>7.59</f>
        <v>7.59</v>
      </c>
      <c r="AQ505">
        <f>6.44</f>
        <v>6.44</v>
      </c>
      <c r="AR505" t="s">
        <v>209</v>
      </c>
      <c r="AS505">
        <f>2.7</f>
        <v>2.7</v>
      </c>
      <c r="AY505" t="s">
        <v>157</v>
      </c>
      <c r="AZ505" t="s">
        <v>208</v>
      </c>
      <c r="BA505">
        <f>0.0027</f>
        <v>2.7000000000000001E-3</v>
      </c>
      <c r="BB505">
        <f>1.6</f>
        <v>1.6</v>
      </c>
      <c r="BC505" t="s">
        <v>209</v>
      </c>
      <c r="BD505">
        <f>0.13</f>
        <v>0.13</v>
      </c>
      <c r="BE505">
        <f>0.0076</f>
        <v>7.6E-3</v>
      </c>
      <c r="BF505" t="s">
        <v>168</v>
      </c>
      <c r="BG505" t="s">
        <v>237</v>
      </c>
      <c r="BH505">
        <f>0.11</f>
        <v>0.11</v>
      </c>
      <c r="BI505">
        <f>0.35</f>
        <v>0.35</v>
      </c>
      <c r="BK505">
        <f>0.52</f>
        <v>0.52</v>
      </c>
      <c r="BL505">
        <f>0.045</f>
        <v>4.4999999999999998E-2</v>
      </c>
      <c r="BM505" t="s">
        <v>209</v>
      </c>
      <c r="BN505" t="s">
        <v>164</v>
      </c>
      <c r="BO505" t="s">
        <v>164</v>
      </c>
      <c r="BP505" t="s">
        <v>1921</v>
      </c>
      <c r="BQ505" t="s">
        <v>164</v>
      </c>
      <c r="BR505" t="s">
        <v>165</v>
      </c>
      <c r="BS505" t="s">
        <v>209</v>
      </c>
      <c r="BT505" t="s">
        <v>266</v>
      </c>
      <c r="BU505" t="s">
        <v>1922</v>
      </c>
      <c r="BV505" t="s">
        <v>207</v>
      </c>
      <c r="BW505" t="s">
        <v>207</v>
      </c>
      <c r="BX505" t="s">
        <v>207</v>
      </c>
      <c r="BY505" t="s">
        <v>207</v>
      </c>
      <c r="BZ505" t="s">
        <v>217</v>
      </c>
      <c r="CA505" t="s">
        <v>266</v>
      </c>
      <c r="CB505" t="s">
        <v>1923</v>
      </c>
      <c r="CC505" t="s">
        <v>1924</v>
      </c>
      <c r="CD505" t="s">
        <v>216</v>
      </c>
      <c r="CE505" t="s">
        <v>207</v>
      </c>
      <c r="CF505">
        <f>0.021</f>
        <v>2.1000000000000001E-2</v>
      </c>
      <c r="CG505" t="s">
        <v>1925</v>
      </c>
      <c r="CH505" t="s">
        <v>216</v>
      </c>
      <c r="CI505">
        <f>0.052</f>
        <v>5.1999999999999998E-2</v>
      </c>
      <c r="CJ505" t="s">
        <v>216</v>
      </c>
      <c r="CK505" t="s">
        <v>1924</v>
      </c>
      <c r="CL505" t="s">
        <v>1926</v>
      </c>
      <c r="CM505" t="s">
        <v>1924</v>
      </c>
      <c r="CN505" t="s">
        <v>266</v>
      </c>
      <c r="CO505" t="s">
        <v>266</v>
      </c>
      <c r="CP505" t="s">
        <v>216</v>
      </c>
      <c r="CQ505" t="s">
        <v>217</v>
      </c>
      <c r="CR505">
        <f>0.1</f>
        <v>0.1</v>
      </c>
      <c r="CS505" t="s">
        <v>1927</v>
      </c>
      <c r="CT505" t="s">
        <v>1925</v>
      </c>
      <c r="CU505" t="s">
        <v>1926</v>
      </c>
      <c r="CV505" t="s">
        <v>266</v>
      </c>
      <c r="CW505" t="s">
        <v>1928</v>
      </c>
      <c r="CX505" t="s">
        <v>1924</v>
      </c>
      <c r="CY505" t="s">
        <v>216</v>
      </c>
      <c r="CZ505" t="s">
        <v>217</v>
      </c>
      <c r="DA505" t="s">
        <v>1926</v>
      </c>
      <c r="DB505" t="s">
        <v>1922</v>
      </c>
      <c r="DC505" t="s">
        <v>1924</v>
      </c>
      <c r="DD505" t="s">
        <v>1922</v>
      </c>
      <c r="DE505" t="s">
        <v>216</v>
      </c>
      <c r="DF505" t="s">
        <v>216</v>
      </c>
      <c r="DG505" t="s">
        <v>1924</v>
      </c>
      <c r="DH505" t="s">
        <v>1928</v>
      </c>
      <c r="DI505" t="s">
        <v>1922</v>
      </c>
      <c r="DJ505" t="s">
        <v>249</v>
      </c>
      <c r="DK505" t="s">
        <v>1928</v>
      </c>
      <c r="DL505" t="s">
        <v>1929</v>
      </c>
      <c r="DM505" t="s">
        <v>1922</v>
      </c>
      <c r="DN505" t="s">
        <v>165</v>
      </c>
      <c r="DO505" t="s">
        <v>249</v>
      </c>
      <c r="DP505" t="s">
        <v>165</v>
      </c>
      <c r="DQ505" t="s">
        <v>1927</v>
      </c>
      <c r="DR505" t="s">
        <v>1928</v>
      </c>
      <c r="DS505" t="s">
        <v>1928</v>
      </c>
      <c r="DT505" t="s">
        <v>249</v>
      </c>
      <c r="DU505" t="s">
        <v>1922</v>
      </c>
      <c r="DV505" t="s">
        <v>1930</v>
      </c>
      <c r="DW505" t="s">
        <v>216</v>
      </c>
      <c r="DX505" t="s">
        <v>216</v>
      </c>
      <c r="DY505" t="s">
        <v>216</v>
      </c>
      <c r="DZ505" t="s">
        <v>157</v>
      </c>
      <c r="EA505" t="s">
        <v>1922</v>
      </c>
      <c r="EB505" t="s">
        <v>1927</v>
      </c>
      <c r="EC505" t="s">
        <v>207</v>
      </c>
      <c r="ED505" t="s">
        <v>207</v>
      </c>
      <c r="EE505" t="s">
        <v>1928</v>
      </c>
      <c r="EL505" t="s">
        <v>237</v>
      </c>
      <c r="EM505" t="s">
        <v>238</v>
      </c>
      <c r="EN505" t="s">
        <v>300</v>
      </c>
      <c r="EO505">
        <f>0.3</f>
        <v>0.3</v>
      </c>
      <c r="ER505" t="s">
        <v>238</v>
      </c>
    </row>
    <row r="506" spans="1:148" x14ac:dyDescent="0.25">
      <c r="A506" t="s">
        <v>1931</v>
      </c>
      <c r="B506" t="s">
        <v>148</v>
      </c>
      <c r="C506" s="1">
        <v>45726</v>
      </c>
      <c r="D506" t="s">
        <v>618</v>
      </c>
      <c r="E506" t="s">
        <v>619</v>
      </c>
      <c r="F506" t="s">
        <v>620</v>
      </c>
      <c r="G506" t="s">
        <v>1080</v>
      </c>
      <c r="H506">
        <v>47</v>
      </c>
      <c r="I506" t="s">
        <v>1932</v>
      </c>
      <c r="J506">
        <v>320</v>
      </c>
      <c r="K506" t="s">
        <v>5254</v>
      </c>
      <c r="L506" t="s">
        <v>180</v>
      </c>
      <c r="M506" t="s">
        <v>1933</v>
      </c>
      <c r="N506" t="s">
        <v>1934</v>
      </c>
      <c r="O506" t="s">
        <v>1935</v>
      </c>
      <c r="R506">
        <f>1</f>
        <v>1</v>
      </c>
      <c r="S506">
        <f>7.3</f>
        <v>7.3</v>
      </c>
      <c r="T506">
        <f>7.7</f>
        <v>7.7</v>
      </c>
      <c r="U506">
        <f>534</f>
        <v>534</v>
      </c>
      <c r="X506">
        <f>0</f>
        <v>0</v>
      </c>
      <c r="Y506">
        <f>0.1</f>
        <v>0.1</v>
      </c>
      <c r="Z506">
        <f>0</f>
        <v>0</v>
      </c>
      <c r="AA506" t="s">
        <v>158</v>
      </c>
      <c r="AB506" t="s">
        <v>158</v>
      </c>
      <c r="AD506">
        <f>0</f>
        <v>0</v>
      </c>
      <c r="AE506">
        <f>0</f>
        <v>0</v>
      </c>
      <c r="AH506" t="s">
        <v>157</v>
      </c>
    </row>
    <row r="507" spans="1:148" x14ac:dyDescent="0.25">
      <c r="A507" t="s">
        <v>1936</v>
      </c>
      <c r="B507" t="s">
        <v>148</v>
      </c>
      <c r="C507" s="1">
        <v>45728</v>
      </c>
      <c r="D507" t="s">
        <v>242</v>
      </c>
      <c r="E507" t="s">
        <v>243</v>
      </c>
      <c r="F507" t="s">
        <v>5098</v>
      </c>
      <c r="G507" t="s">
        <v>1937</v>
      </c>
      <c r="H507">
        <v>1429</v>
      </c>
      <c r="I507" t="s">
        <v>1937</v>
      </c>
      <c r="J507">
        <v>211</v>
      </c>
      <c r="K507" t="s">
        <v>5257</v>
      </c>
      <c r="L507" t="s">
        <v>387</v>
      </c>
      <c r="M507" t="s">
        <v>5428</v>
      </c>
      <c r="N507" t="s">
        <v>1938</v>
      </c>
      <c r="O507" t="s">
        <v>1939</v>
      </c>
      <c r="R507">
        <f>1</f>
        <v>1</v>
      </c>
      <c r="S507">
        <f>9.3</f>
        <v>9.3000000000000007</v>
      </c>
      <c r="T507">
        <f>7.7</f>
        <v>7.7</v>
      </c>
      <c r="U507">
        <f>543</f>
        <v>543</v>
      </c>
      <c r="X507">
        <f>1</f>
        <v>1</v>
      </c>
      <c r="Y507">
        <f>1.53</f>
        <v>1.53</v>
      </c>
      <c r="Z507">
        <f>0</f>
        <v>0</v>
      </c>
      <c r="AA507" t="s">
        <v>158</v>
      </c>
      <c r="AB507" t="s">
        <v>158</v>
      </c>
      <c r="AC507">
        <f>0</f>
        <v>0</v>
      </c>
      <c r="AD507">
        <f>0</f>
        <v>0</v>
      </c>
      <c r="AE507">
        <f>0</f>
        <v>0</v>
      </c>
      <c r="AH507" t="s">
        <v>157</v>
      </c>
    </row>
    <row r="508" spans="1:148" x14ac:dyDescent="0.25">
      <c r="A508" t="s">
        <v>1940</v>
      </c>
      <c r="B508" t="s">
        <v>148</v>
      </c>
      <c r="C508" s="1">
        <v>45729</v>
      </c>
      <c r="D508" t="s">
        <v>317</v>
      </c>
      <c r="E508" t="s">
        <v>318</v>
      </c>
      <c r="F508" t="s">
        <v>4800</v>
      </c>
      <c r="G508" t="s">
        <v>6690</v>
      </c>
      <c r="H508">
        <v>1064</v>
      </c>
      <c r="I508" t="s">
        <v>6691</v>
      </c>
      <c r="J508">
        <v>315</v>
      </c>
      <c r="K508" t="s">
        <v>5257</v>
      </c>
      <c r="L508" t="s">
        <v>180</v>
      </c>
      <c r="M508" t="s">
        <v>6024</v>
      </c>
      <c r="N508" t="s">
        <v>5007</v>
      </c>
      <c r="O508" t="s">
        <v>1941</v>
      </c>
      <c r="Q508" t="s">
        <v>1942</v>
      </c>
      <c r="R508">
        <f>1</f>
        <v>1</v>
      </c>
      <c r="S508">
        <f>8.7</f>
        <v>8.6999999999999993</v>
      </c>
      <c r="T508">
        <f>7.8</f>
        <v>7.8</v>
      </c>
      <c r="U508">
        <f>319</f>
        <v>319</v>
      </c>
      <c r="X508">
        <f>0</f>
        <v>0</v>
      </c>
      <c r="Y508">
        <f>0.11</f>
        <v>0.11</v>
      </c>
      <c r="Z508">
        <f>0</f>
        <v>0</v>
      </c>
      <c r="AA508">
        <f>30</f>
        <v>30</v>
      </c>
      <c r="AB508">
        <f>29</f>
        <v>29</v>
      </c>
      <c r="AC508">
        <f>0</f>
        <v>0</v>
      </c>
      <c r="AD508">
        <f>0</f>
        <v>0</v>
      </c>
      <c r="AE508">
        <f>0</f>
        <v>0</v>
      </c>
      <c r="AH508" t="s">
        <v>157</v>
      </c>
      <c r="BI508" t="s">
        <v>167</v>
      </c>
    </row>
    <row r="509" spans="1:148" x14ac:dyDescent="0.25">
      <c r="A509" t="s">
        <v>1943</v>
      </c>
      <c r="B509" t="s">
        <v>268</v>
      </c>
      <c r="C509" s="1">
        <v>45825</v>
      </c>
      <c r="D509" t="s">
        <v>175</v>
      </c>
      <c r="E509" t="s">
        <v>176</v>
      </c>
      <c r="F509" t="s">
        <v>4773</v>
      </c>
      <c r="G509" t="s">
        <v>6025</v>
      </c>
      <c r="H509">
        <v>1019</v>
      </c>
      <c r="I509" t="s">
        <v>6025</v>
      </c>
      <c r="J509">
        <v>866</v>
      </c>
      <c r="K509" t="s">
        <v>5254</v>
      </c>
      <c r="L509" t="s">
        <v>1882</v>
      </c>
      <c r="M509" t="s">
        <v>6026</v>
      </c>
      <c r="N509" t="s">
        <v>5475</v>
      </c>
      <c r="O509" t="s">
        <v>1944</v>
      </c>
      <c r="R509">
        <f>1</f>
        <v>1</v>
      </c>
      <c r="S509">
        <f>20</f>
        <v>20</v>
      </c>
      <c r="T509">
        <f>7.1</f>
        <v>7.1</v>
      </c>
      <c r="U509">
        <f>423</f>
        <v>423</v>
      </c>
      <c r="X509">
        <f>0</f>
        <v>0</v>
      </c>
      <c r="Y509" t="s">
        <v>157</v>
      </c>
      <c r="Z509">
        <f>0</f>
        <v>0</v>
      </c>
      <c r="AA509" t="s">
        <v>158</v>
      </c>
      <c r="AB509" t="s">
        <v>158</v>
      </c>
      <c r="AD509">
        <f>0</f>
        <v>0</v>
      </c>
      <c r="AE509">
        <f>1</f>
        <v>1</v>
      </c>
      <c r="AH509" t="s">
        <v>157</v>
      </c>
      <c r="AI509" t="s">
        <v>238</v>
      </c>
      <c r="AL509" t="s">
        <v>164</v>
      </c>
      <c r="AM509" t="s">
        <v>165</v>
      </c>
      <c r="AN509">
        <f>4.9</f>
        <v>4.9000000000000004</v>
      </c>
      <c r="AO509">
        <f>0.1</f>
        <v>0.1</v>
      </c>
      <c r="AP509">
        <f>4.5</f>
        <v>4.5</v>
      </c>
      <c r="AQ509">
        <f>1.2</f>
        <v>1.2</v>
      </c>
      <c r="AR509" t="s">
        <v>157</v>
      </c>
      <c r="AS509">
        <f>0.73</f>
        <v>0.73</v>
      </c>
      <c r="AY509" t="s">
        <v>167</v>
      </c>
      <c r="AZ509" t="s">
        <v>158</v>
      </c>
      <c r="BA509" t="s">
        <v>216</v>
      </c>
      <c r="BB509" t="s">
        <v>158</v>
      </c>
      <c r="BC509" t="s">
        <v>166</v>
      </c>
      <c r="BD509" t="s">
        <v>167</v>
      </c>
      <c r="BE509">
        <f>0.0015</f>
        <v>1.5E-3</v>
      </c>
      <c r="BF509">
        <f>0.038</f>
        <v>3.7999999999999999E-2</v>
      </c>
      <c r="BG509" t="s">
        <v>167</v>
      </c>
      <c r="BH509" t="s">
        <v>167</v>
      </c>
      <c r="BK509">
        <f>0.59</f>
        <v>0.59</v>
      </c>
    </row>
    <row r="510" spans="1:148" x14ac:dyDescent="0.25">
      <c r="A510" t="s">
        <v>1945</v>
      </c>
      <c r="B510" t="s">
        <v>148</v>
      </c>
      <c r="C510" s="1">
        <v>45720</v>
      </c>
      <c r="D510" t="s">
        <v>317</v>
      </c>
      <c r="E510" t="s">
        <v>318</v>
      </c>
      <c r="F510" t="s">
        <v>5108</v>
      </c>
      <c r="G510" t="s">
        <v>1946</v>
      </c>
      <c r="H510">
        <v>1464</v>
      </c>
      <c r="I510" t="s">
        <v>1946</v>
      </c>
      <c r="J510">
        <v>230</v>
      </c>
      <c r="K510" t="s">
        <v>5254</v>
      </c>
      <c r="M510" t="s">
        <v>5476</v>
      </c>
      <c r="N510" t="s">
        <v>5166</v>
      </c>
      <c r="O510" t="s">
        <v>1947</v>
      </c>
      <c r="Q510" t="s">
        <v>845</v>
      </c>
      <c r="R510">
        <f>1</f>
        <v>1</v>
      </c>
      <c r="S510">
        <f>10.6</f>
        <v>10.6</v>
      </c>
      <c r="T510">
        <f>7.8</f>
        <v>7.8</v>
      </c>
      <c r="U510">
        <f>361</f>
        <v>361</v>
      </c>
      <c r="X510">
        <f>0</f>
        <v>0</v>
      </c>
      <c r="Y510" t="s">
        <v>157</v>
      </c>
      <c r="Z510">
        <f>0</f>
        <v>0</v>
      </c>
      <c r="AA510">
        <f>2</f>
        <v>2</v>
      </c>
      <c r="AB510">
        <f>1</f>
        <v>1</v>
      </c>
      <c r="AD510">
        <f>0</f>
        <v>0</v>
      </c>
      <c r="AE510">
        <f>0</f>
        <v>0</v>
      </c>
      <c r="AH510" t="s">
        <v>157</v>
      </c>
    </row>
    <row r="511" spans="1:148" x14ac:dyDescent="0.25">
      <c r="A511" t="s">
        <v>1948</v>
      </c>
      <c r="B511" t="s">
        <v>148</v>
      </c>
      <c r="C511" s="1">
        <v>45772</v>
      </c>
      <c r="D511" t="s">
        <v>242</v>
      </c>
      <c r="E511" t="s">
        <v>295</v>
      </c>
      <c r="F511" t="s">
        <v>764</v>
      </c>
      <c r="G511" t="s">
        <v>1949</v>
      </c>
      <c r="H511">
        <v>900</v>
      </c>
      <c r="I511" t="s">
        <v>1949</v>
      </c>
      <c r="J511">
        <v>322</v>
      </c>
      <c r="K511" t="s">
        <v>5257</v>
      </c>
      <c r="L511" t="s">
        <v>431</v>
      </c>
      <c r="M511" t="s">
        <v>1950</v>
      </c>
      <c r="N511" t="s">
        <v>5477</v>
      </c>
      <c r="O511" t="s">
        <v>1951</v>
      </c>
      <c r="R511">
        <f>1</f>
        <v>1</v>
      </c>
      <c r="S511">
        <f>13.8</f>
        <v>13.8</v>
      </c>
      <c r="T511">
        <f>7.5</f>
        <v>7.5</v>
      </c>
      <c r="U511">
        <f>541</f>
        <v>541</v>
      </c>
      <c r="V511">
        <f>0.21</f>
        <v>0.21</v>
      </c>
      <c r="X511">
        <f>0</f>
        <v>0</v>
      </c>
      <c r="Y511">
        <f>1.16</f>
        <v>1.1599999999999999</v>
      </c>
      <c r="Z511">
        <f>0</f>
        <v>0</v>
      </c>
      <c r="AA511">
        <f>92</f>
        <v>92</v>
      </c>
      <c r="AB511">
        <f>78</f>
        <v>78</v>
      </c>
      <c r="AC511">
        <f>0</f>
        <v>0</v>
      </c>
      <c r="AD511">
        <f>0</f>
        <v>0</v>
      </c>
      <c r="AE511">
        <f>0</f>
        <v>0</v>
      </c>
      <c r="AH511" t="s">
        <v>157</v>
      </c>
    </row>
    <row r="512" spans="1:148" x14ac:dyDescent="0.25">
      <c r="A512" t="s">
        <v>1952</v>
      </c>
      <c r="B512" t="s">
        <v>148</v>
      </c>
      <c r="C512" s="1">
        <v>45722</v>
      </c>
      <c r="D512" t="s">
        <v>242</v>
      </c>
      <c r="E512" t="s">
        <v>295</v>
      </c>
      <c r="F512" t="s">
        <v>764</v>
      </c>
      <c r="G512" t="s">
        <v>6027</v>
      </c>
      <c r="H512">
        <v>1480</v>
      </c>
      <c r="I512" t="s">
        <v>6027</v>
      </c>
      <c r="J512">
        <v>270</v>
      </c>
      <c r="K512" t="s">
        <v>5254</v>
      </c>
      <c r="L512" t="s">
        <v>431</v>
      </c>
      <c r="M512" t="s">
        <v>1953</v>
      </c>
      <c r="N512" t="s">
        <v>6028</v>
      </c>
      <c r="O512" t="s">
        <v>1954</v>
      </c>
      <c r="Q512" t="s">
        <v>6340</v>
      </c>
      <c r="R512">
        <f>1</f>
        <v>1</v>
      </c>
      <c r="S512">
        <f>8.6</f>
        <v>8.6</v>
      </c>
      <c r="T512">
        <f>7.6</f>
        <v>7.6</v>
      </c>
      <c r="U512">
        <f>628</f>
        <v>628</v>
      </c>
      <c r="V512">
        <f>0.11</f>
        <v>0.11</v>
      </c>
      <c r="X512">
        <f>0</f>
        <v>0</v>
      </c>
      <c r="Y512" t="s">
        <v>157</v>
      </c>
      <c r="Z512">
        <f>0</f>
        <v>0</v>
      </c>
      <c r="AA512" t="s">
        <v>158</v>
      </c>
      <c r="AB512" t="s">
        <v>158</v>
      </c>
      <c r="AD512">
        <f>0</f>
        <v>0</v>
      </c>
      <c r="AE512">
        <f>0</f>
        <v>0</v>
      </c>
      <c r="AH512" t="s">
        <v>157</v>
      </c>
    </row>
    <row r="513" spans="1:148" x14ac:dyDescent="0.25">
      <c r="A513" t="s">
        <v>1955</v>
      </c>
      <c r="B513" t="s">
        <v>268</v>
      </c>
      <c r="C513" s="1">
        <v>45751</v>
      </c>
      <c r="D513" t="s">
        <v>311</v>
      </c>
      <c r="E513" t="s">
        <v>312</v>
      </c>
      <c r="F513" t="s">
        <v>4780</v>
      </c>
      <c r="G513" t="s">
        <v>1956</v>
      </c>
      <c r="H513">
        <v>1233</v>
      </c>
      <c r="I513" t="s">
        <v>1956</v>
      </c>
      <c r="J513">
        <v>160</v>
      </c>
      <c r="K513" t="s">
        <v>5257</v>
      </c>
      <c r="L513" t="s">
        <v>4775</v>
      </c>
      <c r="M513" t="s">
        <v>5478</v>
      </c>
      <c r="N513" t="s">
        <v>5479</v>
      </c>
      <c r="O513" t="s">
        <v>1957</v>
      </c>
      <c r="R513">
        <f>1</f>
        <v>1</v>
      </c>
      <c r="S513">
        <f>10.4</f>
        <v>10.4</v>
      </c>
      <c r="T513">
        <f>7.3</f>
        <v>7.3</v>
      </c>
      <c r="U513">
        <f>199</f>
        <v>199</v>
      </c>
      <c r="X513">
        <f>0</f>
        <v>0</v>
      </c>
      <c r="Y513" t="s">
        <v>157</v>
      </c>
      <c r="Z513">
        <f>0</f>
        <v>0</v>
      </c>
      <c r="AA513" t="s">
        <v>158</v>
      </c>
      <c r="AB513" t="s">
        <v>158</v>
      </c>
      <c r="AC513">
        <f>0</f>
        <v>0</v>
      </c>
      <c r="AD513">
        <f>0</f>
        <v>0</v>
      </c>
      <c r="AE513">
        <f>10</f>
        <v>10</v>
      </c>
      <c r="AH513" t="s">
        <v>157</v>
      </c>
    </row>
    <row r="514" spans="1:148" x14ac:dyDescent="0.25">
      <c r="A514" t="s">
        <v>1958</v>
      </c>
      <c r="B514" t="s">
        <v>148</v>
      </c>
      <c r="C514" s="1">
        <v>45785</v>
      </c>
      <c r="D514" t="s">
        <v>311</v>
      </c>
      <c r="E514" t="s">
        <v>312</v>
      </c>
      <c r="F514" t="s">
        <v>424</v>
      </c>
      <c r="G514" t="s">
        <v>1959</v>
      </c>
      <c r="H514">
        <v>1493</v>
      </c>
      <c r="I514" t="s">
        <v>1959</v>
      </c>
      <c r="J514">
        <v>259</v>
      </c>
      <c r="K514" t="s">
        <v>5257</v>
      </c>
      <c r="L514" t="s">
        <v>431</v>
      </c>
      <c r="M514" t="s">
        <v>1960</v>
      </c>
      <c r="N514" t="s">
        <v>4801</v>
      </c>
      <c r="O514" t="s">
        <v>1961</v>
      </c>
      <c r="R514">
        <f>1</f>
        <v>1</v>
      </c>
      <c r="S514">
        <f>14.4</f>
        <v>14.4</v>
      </c>
      <c r="T514">
        <f>6.6</f>
        <v>6.6</v>
      </c>
      <c r="U514">
        <f>91</f>
        <v>91</v>
      </c>
      <c r="V514">
        <f>0.25</f>
        <v>0.25</v>
      </c>
      <c r="X514">
        <f>0</f>
        <v>0</v>
      </c>
      <c r="Y514" t="s">
        <v>157</v>
      </c>
      <c r="Z514">
        <f>0</f>
        <v>0</v>
      </c>
      <c r="AA514" t="s">
        <v>158</v>
      </c>
      <c r="AB514" t="s">
        <v>158</v>
      </c>
      <c r="AC514">
        <f>0</f>
        <v>0</v>
      </c>
      <c r="AD514">
        <f>0</f>
        <v>0</v>
      </c>
      <c r="AE514">
        <f>0</f>
        <v>0</v>
      </c>
      <c r="AH514" t="s">
        <v>157</v>
      </c>
    </row>
    <row r="515" spans="1:148" x14ac:dyDescent="0.25">
      <c r="A515" t="s">
        <v>1962</v>
      </c>
      <c r="B515" t="s">
        <v>148</v>
      </c>
      <c r="C515" s="1">
        <v>45727</v>
      </c>
      <c r="D515" t="s">
        <v>242</v>
      </c>
      <c r="E515" t="s">
        <v>243</v>
      </c>
      <c r="F515" t="s">
        <v>5284</v>
      </c>
      <c r="G515" t="s">
        <v>1963</v>
      </c>
      <c r="H515">
        <v>1328</v>
      </c>
      <c r="I515" t="s">
        <v>1963</v>
      </c>
      <c r="J515">
        <v>328</v>
      </c>
      <c r="K515" t="s">
        <v>5254</v>
      </c>
      <c r="L515" t="s">
        <v>393</v>
      </c>
      <c r="M515" t="s">
        <v>1964</v>
      </c>
      <c r="N515" t="s">
        <v>5480</v>
      </c>
      <c r="O515" t="s">
        <v>1965</v>
      </c>
      <c r="R515">
        <f>1</f>
        <v>1</v>
      </c>
      <c r="S515">
        <f>9.3</f>
        <v>9.3000000000000007</v>
      </c>
      <c r="T515">
        <f>7.5</f>
        <v>7.5</v>
      </c>
      <c r="U515">
        <f>447</f>
        <v>447</v>
      </c>
      <c r="X515">
        <f>1</f>
        <v>1</v>
      </c>
      <c r="Y515" t="s">
        <v>157</v>
      </c>
      <c r="Z515">
        <f>0</f>
        <v>0</v>
      </c>
      <c r="AA515" t="s">
        <v>158</v>
      </c>
      <c r="AB515" t="s">
        <v>158</v>
      </c>
      <c r="AD515">
        <f>0</f>
        <v>0</v>
      </c>
      <c r="AE515">
        <f>0</f>
        <v>0</v>
      </c>
      <c r="AH515" t="s">
        <v>157</v>
      </c>
    </row>
    <row r="516" spans="1:148" x14ac:dyDescent="0.25">
      <c r="A516" t="s">
        <v>1966</v>
      </c>
      <c r="B516" t="s">
        <v>148</v>
      </c>
      <c r="C516" s="1">
        <v>45719</v>
      </c>
      <c r="D516" t="s">
        <v>242</v>
      </c>
      <c r="E516" t="s">
        <v>295</v>
      </c>
      <c r="F516" t="s">
        <v>6577</v>
      </c>
      <c r="G516" t="s">
        <v>1967</v>
      </c>
      <c r="H516">
        <v>857</v>
      </c>
      <c r="I516" t="s">
        <v>5481</v>
      </c>
      <c r="J516">
        <v>270</v>
      </c>
      <c r="K516" t="s">
        <v>5254</v>
      </c>
      <c r="L516" t="s">
        <v>431</v>
      </c>
      <c r="M516" t="s">
        <v>6029</v>
      </c>
      <c r="N516" t="s">
        <v>6030</v>
      </c>
      <c r="O516" t="s">
        <v>1968</v>
      </c>
      <c r="R516">
        <f>1</f>
        <v>1</v>
      </c>
      <c r="S516">
        <f>6.4</f>
        <v>6.4</v>
      </c>
      <c r="T516">
        <f>7.7</f>
        <v>7.7</v>
      </c>
      <c r="U516">
        <f>497</f>
        <v>497</v>
      </c>
      <c r="V516">
        <f>0.23</f>
        <v>0.23</v>
      </c>
      <c r="X516">
        <f>0</f>
        <v>0</v>
      </c>
      <c r="Y516" t="s">
        <v>157</v>
      </c>
      <c r="Z516">
        <f>0</f>
        <v>0</v>
      </c>
      <c r="AA516" t="s">
        <v>158</v>
      </c>
      <c r="AB516" t="s">
        <v>158</v>
      </c>
      <c r="AD516">
        <f>0</f>
        <v>0</v>
      </c>
      <c r="AE516">
        <f>0</f>
        <v>0</v>
      </c>
      <c r="AH516" t="s">
        <v>157</v>
      </c>
    </row>
    <row r="517" spans="1:148" x14ac:dyDescent="0.25">
      <c r="A517" t="s">
        <v>1969</v>
      </c>
      <c r="B517" t="s">
        <v>148</v>
      </c>
      <c r="C517" s="1">
        <v>45742</v>
      </c>
      <c r="D517" t="s">
        <v>242</v>
      </c>
      <c r="E517" t="s">
        <v>243</v>
      </c>
      <c r="F517" t="s">
        <v>6692</v>
      </c>
      <c r="G517" t="s">
        <v>6693</v>
      </c>
      <c r="H517">
        <v>1500</v>
      </c>
      <c r="I517" t="s">
        <v>6693</v>
      </c>
      <c r="J517">
        <v>280</v>
      </c>
      <c r="K517" t="s">
        <v>5254</v>
      </c>
      <c r="L517" t="s">
        <v>431</v>
      </c>
      <c r="M517" t="s">
        <v>5008</v>
      </c>
      <c r="N517" t="s">
        <v>4802</v>
      </c>
      <c r="O517" t="s">
        <v>1970</v>
      </c>
      <c r="Q517" t="s">
        <v>6371</v>
      </c>
      <c r="R517">
        <f>1</f>
        <v>1</v>
      </c>
      <c r="S517">
        <f>6.9</f>
        <v>6.9</v>
      </c>
      <c r="T517">
        <f>8.3</f>
        <v>8.3000000000000007</v>
      </c>
      <c r="U517">
        <f>239</f>
        <v>239</v>
      </c>
      <c r="V517" t="s">
        <v>209</v>
      </c>
      <c r="X517">
        <f>0</f>
        <v>0</v>
      </c>
      <c r="Y517">
        <f>0.4</f>
        <v>0.4</v>
      </c>
      <c r="Z517">
        <f>0</f>
        <v>0</v>
      </c>
      <c r="AA517" t="s">
        <v>158</v>
      </c>
      <c r="AB517" t="s">
        <v>158</v>
      </c>
      <c r="AD517">
        <f>0</f>
        <v>0</v>
      </c>
      <c r="AE517">
        <f>0</f>
        <v>0</v>
      </c>
      <c r="AH517" t="s">
        <v>157</v>
      </c>
    </row>
    <row r="518" spans="1:148" x14ac:dyDescent="0.25">
      <c r="A518" t="s">
        <v>1971</v>
      </c>
      <c r="B518" t="s">
        <v>148</v>
      </c>
      <c r="C518" s="1">
        <v>45722</v>
      </c>
      <c r="D518" t="s">
        <v>175</v>
      </c>
      <c r="E518" t="s">
        <v>649</v>
      </c>
      <c r="F518" t="s">
        <v>685</v>
      </c>
      <c r="G518" t="s">
        <v>1972</v>
      </c>
      <c r="H518">
        <v>1501</v>
      </c>
      <c r="I518" t="s">
        <v>1973</v>
      </c>
      <c r="J518">
        <v>600</v>
      </c>
      <c r="K518" t="s">
        <v>5257</v>
      </c>
      <c r="L518" t="s">
        <v>393</v>
      </c>
      <c r="M518" t="s">
        <v>6031</v>
      </c>
      <c r="N518" t="s">
        <v>1974</v>
      </c>
      <c r="O518" t="s">
        <v>1975</v>
      </c>
      <c r="R518">
        <f>1</f>
        <v>1</v>
      </c>
      <c r="S518">
        <f>12.4</f>
        <v>12.4</v>
      </c>
      <c r="T518">
        <f>7.6</f>
        <v>7.6</v>
      </c>
      <c r="U518">
        <f>564</f>
        <v>564</v>
      </c>
      <c r="V518">
        <f>0.14</f>
        <v>0.14000000000000001</v>
      </c>
      <c r="X518">
        <f>1</f>
        <v>1</v>
      </c>
      <c r="Y518" t="s">
        <v>157</v>
      </c>
      <c r="Z518">
        <f>0</f>
        <v>0</v>
      </c>
      <c r="AA518" t="s">
        <v>158</v>
      </c>
      <c r="AB518" t="s">
        <v>158</v>
      </c>
      <c r="AC518">
        <f>0</f>
        <v>0</v>
      </c>
      <c r="AD518">
        <f>0</f>
        <v>0</v>
      </c>
      <c r="AE518">
        <f>0</f>
        <v>0</v>
      </c>
    </row>
    <row r="519" spans="1:148" x14ac:dyDescent="0.25">
      <c r="A519" t="s">
        <v>1976</v>
      </c>
      <c r="B519" t="s">
        <v>148</v>
      </c>
      <c r="C519" s="1">
        <v>45720</v>
      </c>
      <c r="D519" t="s">
        <v>175</v>
      </c>
      <c r="E519" t="s">
        <v>649</v>
      </c>
      <c r="F519" t="s">
        <v>685</v>
      </c>
      <c r="G519" t="s">
        <v>6694</v>
      </c>
      <c r="H519">
        <v>1502</v>
      </c>
      <c r="I519" t="s">
        <v>6695</v>
      </c>
      <c r="J519">
        <v>750</v>
      </c>
      <c r="K519" t="s">
        <v>5257</v>
      </c>
      <c r="L519" t="s">
        <v>431</v>
      </c>
      <c r="M519" t="s">
        <v>5482</v>
      </c>
      <c r="N519" t="s">
        <v>4803</v>
      </c>
      <c r="O519" t="s">
        <v>1977</v>
      </c>
      <c r="R519">
        <f>1</f>
        <v>1</v>
      </c>
      <c r="S519">
        <f>8.9</f>
        <v>8.9</v>
      </c>
      <c r="T519">
        <f>8.1</f>
        <v>8.1</v>
      </c>
      <c r="U519">
        <f>368</f>
        <v>368</v>
      </c>
      <c r="V519">
        <f>0.12</f>
        <v>0.12</v>
      </c>
      <c r="X519">
        <f>1</f>
        <v>1</v>
      </c>
      <c r="Y519" t="s">
        <v>157</v>
      </c>
      <c r="Z519">
        <f>0</f>
        <v>0</v>
      </c>
      <c r="AA519" t="s">
        <v>158</v>
      </c>
      <c r="AB519" t="s">
        <v>158</v>
      </c>
      <c r="AC519">
        <f>0</f>
        <v>0</v>
      </c>
      <c r="AD519">
        <f>0</f>
        <v>0</v>
      </c>
      <c r="AE519">
        <f>0</f>
        <v>0</v>
      </c>
    </row>
    <row r="520" spans="1:148" x14ac:dyDescent="0.25">
      <c r="A520" t="s">
        <v>1978</v>
      </c>
      <c r="B520" t="s">
        <v>148</v>
      </c>
      <c r="C520" s="1">
        <v>45728</v>
      </c>
      <c r="D520" t="s">
        <v>175</v>
      </c>
      <c r="E520" t="s">
        <v>649</v>
      </c>
      <c r="F520" t="s">
        <v>685</v>
      </c>
      <c r="G520" t="s">
        <v>1979</v>
      </c>
      <c r="H520">
        <v>1503</v>
      </c>
      <c r="I520" t="s">
        <v>1979</v>
      </c>
      <c r="J520">
        <v>350</v>
      </c>
      <c r="K520" t="s">
        <v>5254</v>
      </c>
      <c r="M520" t="s">
        <v>5483</v>
      </c>
      <c r="N520" t="s">
        <v>1980</v>
      </c>
      <c r="O520" t="s">
        <v>1981</v>
      </c>
      <c r="R520">
        <f>1</f>
        <v>1</v>
      </c>
      <c r="S520">
        <f>11.1</f>
        <v>11.1</v>
      </c>
      <c r="T520">
        <f>7.6</f>
        <v>7.6</v>
      </c>
      <c r="U520">
        <f>626</f>
        <v>626</v>
      </c>
      <c r="X520">
        <f>1</f>
        <v>1</v>
      </c>
      <c r="Y520" t="s">
        <v>157</v>
      </c>
      <c r="Z520">
        <f>0</f>
        <v>0</v>
      </c>
      <c r="AA520" t="s">
        <v>158</v>
      </c>
      <c r="AB520" t="s">
        <v>158</v>
      </c>
      <c r="AD520">
        <f>0</f>
        <v>0</v>
      </c>
      <c r="AE520">
        <f>0</f>
        <v>0</v>
      </c>
      <c r="BI520">
        <f>0.66</f>
        <v>0.66</v>
      </c>
    </row>
    <row r="521" spans="1:148" x14ac:dyDescent="0.25">
      <c r="A521" t="s">
        <v>1982</v>
      </c>
      <c r="B521" t="s">
        <v>148</v>
      </c>
      <c r="C521" s="1">
        <v>45721</v>
      </c>
      <c r="D521" t="s">
        <v>175</v>
      </c>
      <c r="E521" t="s">
        <v>176</v>
      </c>
      <c r="F521" t="s">
        <v>630</v>
      </c>
      <c r="G521" t="s">
        <v>1983</v>
      </c>
      <c r="H521">
        <v>1486</v>
      </c>
      <c r="I521" t="s">
        <v>1983</v>
      </c>
      <c r="J521">
        <v>484</v>
      </c>
      <c r="K521" t="s">
        <v>5254</v>
      </c>
      <c r="L521" t="s">
        <v>154</v>
      </c>
      <c r="M521" t="s">
        <v>1984</v>
      </c>
      <c r="N521" t="s">
        <v>1985</v>
      </c>
      <c r="O521" t="s">
        <v>1986</v>
      </c>
      <c r="R521">
        <f>1</f>
        <v>1</v>
      </c>
      <c r="S521">
        <f>6.5</f>
        <v>6.5</v>
      </c>
      <c r="T521">
        <f>7.2</f>
        <v>7.2</v>
      </c>
      <c r="U521">
        <f>604</f>
        <v>604</v>
      </c>
      <c r="V521">
        <f>0.08</f>
        <v>0.08</v>
      </c>
      <c r="X521">
        <f>0</f>
        <v>0</v>
      </c>
      <c r="Y521" t="s">
        <v>157</v>
      </c>
      <c r="Z521">
        <f>0</f>
        <v>0</v>
      </c>
      <c r="AA521" t="s">
        <v>158</v>
      </c>
      <c r="AB521" t="s">
        <v>158</v>
      </c>
      <c r="AD521">
        <f>0</f>
        <v>0</v>
      </c>
      <c r="AE521">
        <f>0</f>
        <v>0</v>
      </c>
    </row>
    <row r="522" spans="1:148" x14ac:dyDescent="0.25">
      <c r="A522" t="s">
        <v>1987</v>
      </c>
      <c r="B522" t="s">
        <v>148</v>
      </c>
      <c r="C522" s="1">
        <v>45733</v>
      </c>
      <c r="D522" t="s">
        <v>317</v>
      </c>
      <c r="E522" t="s">
        <v>318</v>
      </c>
      <c r="F522" t="s">
        <v>6564</v>
      </c>
      <c r="G522" t="s">
        <v>1988</v>
      </c>
      <c r="H522">
        <v>1490</v>
      </c>
      <c r="I522" t="s">
        <v>1989</v>
      </c>
      <c r="J522">
        <v>194</v>
      </c>
      <c r="K522" t="s">
        <v>5254</v>
      </c>
      <c r="M522" t="s">
        <v>1990</v>
      </c>
      <c r="N522" t="s">
        <v>1991</v>
      </c>
      <c r="O522" t="s">
        <v>1992</v>
      </c>
      <c r="Q522" t="s">
        <v>6372</v>
      </c>
      <c r="R522">
        <f>1</f>
        <v>1</v>
      </c>
      <c r="S522">
        <f>5.2</f>
        <v>5.2</v>
      </c>
      <c r="T522">
        <f>7.9</f>
        <v>7.9</v>
      </c>
      <c r="U522">
        <f>317</f>
        <v>317</v>
      </c>
      <c r="X522">
        <f>0</f>
        <v>0</v>
      </c>
      <c r="Y522">
        <f>0.33</f>
        <v>0.33</v>
      </c>
      <c r="Z522">
        <f>0</f>
        <v>0</v>
      </c>
      <c r="AA522">
        <f>4</f>
        <v>4</v>
      </c>
      <c r="AB522">
        <f>0</f>
        <v>0</v>
      </c>
      <c r="AD522">
        <f>0</f>
        <v>0</v>
      </c>
      <c r="AE522">
        <f>0</f>
        <v>0</v>
      </c>
      <c r="AH522" t="s">
        <v>157</v>
      </c>
    </row>
    <row r="523" spans="1:148" x14ac:dyDescent="0.25">
      <c r="A523" t="s">
        <v>1993</v>
      </c>
      <c r="B523" t="s">
        <v>148</v>
      </c>
      <c r="C523" s="1">
        <v>45775</v>
      </c>
      <c r="D523" t="s">
        <v>242</v>
      </c>
      <c r="E523" t="s">
        <v>243</v>
      </c>
      <c r="F523" t="s">
        <v>253</v>
      </c>
      <c r="G523" t="s">
        <v>5774</v>
      </c>
      <c r="H523">
        <v>211</v>
      </c>
      <c r="I523" t="s">
        <v>5484</v>
      </c>
      <c r="J523">
        <v>315</v>
      </c>
      <c r="K523" t="s">
        <v>5257</v>
      </c>
      <c r="L523" t="s">
        <v>1994</v>
      </c>
      <c r="M523" t="s">
        <v>5485</v>
      </c>
      <c r="N523" t="s">
        <v>5486</v>
      </c>
      <c r="O523" t="s">
        <v>1995</v>
      </c>
      <c r="Q523" t="s">
        <v>6340</v>
      </c>
      <c r="R523">
        <f>1</f>
        <v>1</v>
      </c>
      <c r="S523">
        <f>10.7</f>
        <v>10.7</v>
      </c>
      <c r="T523">
        <f>7.7</f>
        <v>7.7</v>
      </c>
      <c r="U523">
        <f>517</f>
        <v>517</v>
      </c>
      <c r="V523" t="s">
        <v>209</v>
      </c>
      <c r="X523">
        <f>0</f>
        <v>0</v>
      </c>
      <c r="Y523" t="s">
        <v>157</v>
      </c>
      <c r="Z523">
        <f>0</f>
        <v>0</v>
      </c>
      <c r="AA523" t="s">
        <v>158</v>
      </c>
      <c r="AB523" t="s">
        <v>158</v>
      </c>
      <c r="AC523">
        <f>0</f>
        <v>0</v>
      </c>
      <c r="AD523">
        <f>0</f>
        <v>0</v>
      </c>
      <c r="AE523">
        <f>0</f>
        <v>0</v>
      </c>
      <c r="AH523" t="s">
        <v>157</v>
      </c>
      <c r="BB523" t="s">
        <v>158</v>
      </c>
    </row>
    <row r="524" spans="1:148" x14ac:dyDescent="0.25">
      <c r="A524" t="s">
        <v>1996</v>
      </c>
      <c r="B524" t="s">
        <v>148</v>
      </c>
      <c r="C524" s="1">
        <v>45789</v>
      </c>
      <c r="D524" t="s">
        <v>175</v>
      </c>
      <c r="E524" t="s">
        <v>649</v>
      </c>
      <c r="F524" t="s">
        <v>685</v>
      </c>
      <c r="G524" t="s">
        <v>6696</v>
      </c>
      <c r="H524">
        <v>1516</v>
      </c>
      <c r="I524" t="s">
        <v>6696</v>
      </c>
      <c r="J524">
        <v>584</v>
      </c>
      <c r="K524" t="s">
        <v>5254</v>
      </c>
      <c r="L524" t="s">
        <v>431</v>
      </c>
      <c r="M524" t="s">
        <v>6032</v>
      </c>
      <c r="N524" t="s">
        <v>4804</v>
      </c>
      <c r="O524" t="s">
        <v>1997</v>
      </c>
      <c r="R524">
        <f>1</f>
        <v>1</v>
      </c>
      <c r="S524">
        <f>14.8</f>
        <v>14.8</v>
      </c>
      <c r="T524">
        <f>7.5</f>
        <v>7.5</v>
      </c>
      <c r="U524">
        <f>584</f>
        <v>584</v>
      </c>
      <c r="X524">
        <f>0</f>
        <v>0</v>
      </c>
      <c r="Y524" t="s">
        <v>157</v>
      </c>
      <c r="Z524">
        <f>0</f>
        <v>0</v>
      </c>
      <c r="AA524" t="s">
        <v>158</v>
      </c>
      <c r="AB524" t="s">
        <v>158</v>
      </c>
      <c r="AD524">
        <f>0</f>
        <v>0</v>
      </c>
      <c r="AE524">
        <f>0</f>
        <v>0</v>
      </c>
      <c r="AH524" t="s">
        <v>157</v>
      </c>
      <c r="AI524" t="s">
        <v>238</v>
      </c>
      <c r="AL524" t="s">
        <v>164</v>
      </c>
      <c r="AM524" t="s">
        <v>165</v>
      </c>
      <c r="AN524">
        <f>5.3</f>
        <v>5.3</v>
      </c>
      <c r="AO524">
        <f>0.11</f>
        <v>0.11</v>
      </c>
      <c r="AP524">
        <f>11</f>
        <v>11</v>
      </c>
      <c r="AQ524">
        <f>2.5</f>
        <v>2.5</v>
      </c>
      <c r="AR524" t="s">
        <v>157</v>
      </c>
      <c r="AS524">
        <f>1.7</f>
        <v>1.7</v>
      </c>
      <c r="AY524" t="s">
        <v>167</v>
      </c>
      <c r="AZ524" t="s">
        <v>158</v>
      </c>
      <c r="BA524" t="s">
        <v>216</v>
      </c>
      <c r="BB524" t="s">
        <v>158</v>
      </c>
      <c r="BC524" t="s">
        <v>166</v>
      </c>
      <c r="BD524" t="s">
        <v>167</v>
      </c>
      <c r="BE524">
        <f>0.003</f>
        <v>3.0000000000000001E-3</v>
      </c>
      <c r="BF524" t="s">
        <v>168</v>
      </c>
      <c r="BG524" t="s">
        <v>167</v>
      </c>
      <c r="BH524" t="s">
        <v>167</v>
      </c>
      <c r="BK524">
        <f>0.42</f>
        <v>0.42</v>
      </c>
      <c r="EL524">
        <f>0.29</f>
        <v>0.28999999999999998</v>
      </c>
      <c r="EM524">
        <f>0.2</f>
        <v>0.2</v>
      </c>
      <c r="EN524">
        <f>0.41</f>
        <v>0.41</v>
      </c>
      <c r="EO524">
        <f>0.44</f>
        <v>0.44</v>
      </c>
      <c r="ER524">
        <f>1.3</f>
        <v>1.3</v>
      </c>
    </row>
    <row r="525" spans="1:148" x14ac:dyDescent="0.25">
      <c r="A525" t="s">
        <v>1998</v>
      </c>
      <c r="B525" t="s">
        <v>148</v>
      </c>
      <c r="C525" s="1">
        <v>45726</v>
      </c>
      <c r="D525" t="s">
        <v>222</v>
      </c>
      <c r="E525" t="s">
        <v>223</v>
      </c>
      <c r="F525" t="s">
        <v>1999</v>
      </c>
      <c r="G525" t="s">
        <v>2000</v>
      </c>
      <c r="H525">
        <v>1512</v>
      </c>
      <c r="I525" t="s">
        <v>2000</v>
      </c>
      <c r="J525">
        <v>150</v>
      </c>
      <c r="K525" t="s">
        <v>5257</v>
      </c>
      <c r="M525" t="s">
        <v>2000</v>
      </c>
      <c r="N525" t="s">
        <v>2001</v>
      </c>
      <c r="O525" t="s">
        <v>2002</v>
      </c>
      <c r="Q525" t="s">
        <v>6298</v>
      </c>
      <c r="R525">
        <f>1</f>
        <v>1</v>
      </c>
      <c r="S525">
        <f>13.5</f>
        <v>13.5</v>
      </c>
      <c r="T525">
        <f>7.8</f>
        <v>7.8</v>
      </c>
      <c r="U525">
        <f>193</f>
        <v>193</v>
      </c>
      <c r="X525">
        <f>1</f>
        <v>1</v>
      </c>
      <c r="Y525">
        <f>0.04</f>
        <v>0.04</v>
      </c>
      <c r="Z525">
        <f>0</f>
        <v>0</v>
      </c>
      <c r="AA525">
        <f>0</f>
        <v>0</v>
      </c>
      <c r="AB525">
        <f>0</f>
        <v>0</v>
      </c>
      <c r="AC525">
        <f>0</f>
        <v>0</v>
      </c>
      <c r="AD525">
        <f>0</f>
        <v>0</v>
      </c>
      <c r="AE525">
        <f>0</f>
        <v>0</v>
      </c>
      <c r="AH525" t="s">
        <v>166</v>
      </c>
      <c r="BI525">
        <f>0.84</f>
        <v>0.84</v>
      </c>
    </row>
    <row r="526" spans="1:148" x14ac:dyDescent="0.25">
      <c r="A526" t="s">
        <v>2003</v>
      </c>
      <c r="B526" t="s">
        <v>148</v>
      </c>
      <c r="C526" s="1">
        <v>45720</v>
      </c>
      <c r="D526" t="s">
        <v>175</v>
      </c>
      <c r="E526" t="s">
        <v>649</v>
      </c>
      <c r="F526" t="s">
        <v>685</v>
      </c>
      <c r="G526" t="s">
        <v>6697</v>
      </c>
      <c r="H526">
        <v>1356</v>
      </c>
      <c r="I526" t="s">
        <v>6697</v>
      </c>
      <c r="J526">
        <v>510</v>
      </c>
      <c r="K526" t="s">
        <v>5257</v>
      </c>
      <c r="L526" t="s">
        <v>431</v>
      </c>
      <c r="M526" t="s">
        <v>2004</v>
      </c>
      <c r="N526" t="s">
        <v>2005</v>
      </c>
      <c r="O526" t="s">
        <v>2006</v>
      </c>
      <c r="R526">
        <f>1</f>
        <v>1</v>
      </c>
      <c r="S526">
        <f>10.9</f>
        <v>10.9</v>
      </c>
      <c r="T526">
        <f>7.7</f>
        <v>7.7</v>
      </c>
      <c r="U526">
        <f>439</f>
        <v>439</v>
      </c>
      <c r="V526">
        <f>0.22</f>
        <v>0.22</v>
      </c>
      <c r="X526">
        <f>1</f>
        <v>1</v>
      </c>
      <c r="Y526" t="s">
        <v>157</v>
      </c>
      <c r="Z526">
        <f>0</f>
        <v>0</v>
      </c>
      <c r="AA526" t="s">
        <v>158</v>
      </c>
      <c r="AB526" t="s">
        <v>158</v>
      </c>
      <c r="AC526">
        <f>0</f>
        <v>0</v>
      </c>
      <c r="AD526">
        <f>0</f>
        <v>0</v>
      </c>
      <c r="AE526">
        <f>0</f>
        <v>0</v>
      </c>
    </row>
    <row r="527" spans="1:148" x14ac:dyDescent="0.25">
      <c r="A527" t="s">
        <v>2007</v>
      </c>
      <c r="B527" t="s">
        <v>148</v>
      </c>
      <c r="C527" s="1">
        <v>45754</v>
      </c>
      <c r="D527" t="s">
        <v>175</v>
      </c>
      <c r="E527" t="s">
        <v>649</v>
      </c>
      <c r="F527" t="s">
        <v>2008</v>
      </c>
      <c r="G527" t="s">
        <v>2009</v>
      </c>
      <c r="H527">
        <v>1533</v>
      </c>
      <c r="I527" t="s">
        <v>2009</v>
      </c>
      <c r="J527">
        <v>350</v>
      </c>
      <c r="K527" t="s">
        <v>5257</v>
      </c>
      <c r="L527" t="s">
        <v>393</v>
      </c>
      <c r="M527" t="s">
        <v>2009</v>
      </c>
      <c r="N527" t="s">
        <v>6033</v>
      </c>
      <c r="O527" t="s">
        <v>2010</v>
      </c>
      <c r="Q527" t="s">
        <v>6373</v>
      </c>
      <c r="R527">
        <f>1</f>
        <v>1</v>
      </c>
      <c r="S527">
        <f>10.9</f>
        <v>10.9</v>
      </c>
      <c r="T527">
        <f>7.3</f>
        <v>7.3</v>
      </c>
      <c r="U527">
        <f>66</f>
        <v>66</v>
      </c>
      <c r="X527">
        <f>0</f>
        <v>0</v>
      </c>
      <c r="Y527">
        <f>0.4</f>
        <v>0.4</v>
      </c>
      <c r="Z527">
        <f>0</f>
        <v>0</v>
      </c>
      <c r="AA527" t="s">
        <v>158</v>
      </c>
      <c r="AB527" t="s">
        <v>158</v>
      </c>
      <c r="AC527">
        <f>0</f>
        <v>0</v>
      </c>
      <c r="AD527">
        <f>0</f>
        <v>0</v>
      </c>
      <c r="AE527">
        <f>0</f>
        <v>0</v>
      </c>
      <c r="BI527">
        <f>0.16</f>
        <v>0.16</v>
      </c>
    </row>
    <row r="528" spans="1:148" x14ac:dyDescent="0.25">
      <c r="A528" t="s">
        <v>2011</v>
      </c>
      <c r="B528" t="s">
        <v>148</v>
      </c>
      <c r="C528" s="1">
        <v>45719</v>
      </c>
      <c r="D528" t="s">
        <v>175</v>
      </c>
      <c r="E528" t="s">
        <v>176</v>
      </c>
      <c r="F528" t="s">
        <v>1332</v>
      </c>
      <c r="G528" t="s">
        <v>2012</v>
      </c>
      <c r="H528">
        <v>571</v>
      </c>
      <c r="I528" t="s">
        <v>2012</v>
      </c>
      <c r="J528">
        <v>376</v>
      </c>
      <c r="K528" t="s">
        <v>5257</v>
      </c>
      <c r="L528" t="s">
        <v>180</v>
      </c>
      <c r="M528" t="s">
        <v>2013</v>
      </c>
      <c r="N528" t="s">
        <v>2014</v>
      </c>
      <c r="O528" t="s">
        <v>2015</v>
      </c>
      <c r="R528">
        <f>1</f>
        <v>1</v>
      </c>
      <c r="S528">
        <f>8.1</f>
        <v>8.1</v>
      </c>
      <c r="T528">
        <f>7.8</f>
        <v>7.8</v>
      </c>
      <c r="U528">
        <f>413</f>
        <v>413</v>
      </c>
      <c r="X528">
        <f>0</f>
        <v>0</v>
      </c>
      <c r="Y528" t="s">
        <v>157</v>
      </c>
      <c r="Z528">
        <f>0</f>
        <v>0</v>
      </c>
      <c r="AA528" t="s">
        <v>158</v>
      </c>
      <c r="AB528" t="s">
        <v>158</v>
      </c>
      <c r="AC528">
        <f>0</f>
        <v>0</v>
      </c>
      <c r="AD528">
        <f>0</f>
        <v>0</v>
      </c>
      <c r="AE528">
        <f>0</f>
        <v>0</v>
      </c>
    </row>
    <row r="529" spans="1:61" x14ac:dyDescent="0.25">
      <c r="A529" t="s">
        <v>2016</v>
      </c>
      <c r="B529" t="s">
        <v>148</v>
      </c>
      <c r="C529" s="1">
        <v>45756</v>
      </c>
      <c r="D529" t="s">
        <v>222</v>
      </c>
      <c r="E529" t="s">
        <v>223</v>
      </c>
      <c r="F529" t="s">
        <v>4723</v>
      </c>
      <c r="G529" t="s">
        <v>2017</v>
      </c>
      <c r="H529">
        <v>1536</v>
      </c>
      <c r="I529" t="s">
        <v>2018</v>
      </c>
      <c r="J529">
        <v>151</v>
      </c>
      <c r="K529" t="s">
        <v>5257</v>
      </c>
      <c r="L529" t="s">
        <v>5009</v>
      </c>
      <c r="M529" t="s">
        <v>6034</v>
      </c>
      <c r="N529" t="s">
        <v>2019</v>
      </c>
      <c r="O529" t="s">
        <v>2020</v>
      </c>
      <c r="Q529" t="s">
        <v>6304</v>
      </c>
      <c r="R529">
        <f>1</f>
        <v>1</v>
      </c>
      <c r="S529">
        <f>11.5</f>
        <v>11.5</v>
      </c>
      <c r="T529">
        <f>8.3</f>
        <v>8.3000000000000007</v>
      </c>
      <c r="U529">
        <f>324</f>
        <v>324</v>
      </c>
      <c r="X529">
        <f>1</f>
        <v>1</v>
      </c>
      <c r="Y529">
        <f>0.13</f>
        <v>0.13</v>
      </c>
      <c r="Z529">
        <f>0</f>
        <v>0</v>
      </c>
      <c r="AA529">
        <f>0</f>
        <v>0</v>
      </c>
      <c r="AB529">
        <f>0</f>
        <v>0</v>
      </c>
      <c r="AC529">
        <f>0</f>
        <v>0</v>
      </c>
      <c r="AD529">
        <f>0</f>
        <v>0</v>
      </c>
      <c r="AE529">
        <f>0</f>
        <v>0</v>
      </c>
      <c r="AH529" t="s">
        <v>166</v>
      </c>
    </row>
    <row r="530" spans="1:61" x14ac:dyDescent="0.25">
      <c r="A530" t="s">
        <v>2021</v>
      </c>
      <c r="B530" t="s">
        <v>148</v>
      </c>
      <c r="C530" s="1">
        <v>45852</v>
      </c>
      <c r="D530" t="s">
        <v>222</v>
      </c>
      <c r="E530" t="s">
        <v>223</v>
      </c>
      <c r="F530" t="s">
        <v>469</v>
      </c>
      <c r="G530" t="s">
        <v>2022</v>
      </c>
      <c r="H530">
        <v>395</v>
      </c>
      <c r="I530" t="s">
        <v>2022</v>
      </c>
      <c r="J530">
        <v>145</v>
      </c>
      <c r="K530" t="s">
        <v>5257</v>
      </c>
      <c r="L530" t="s">
        <v>393</v>
      </c>
      <c r="M530" t="s">
        <v>5487</v>
      </c>
      <c r="N530" t="s">
        <v>2023</v>
      </c>
      <c r="O530" t="s">
        <v>2024</v>
      </c>
      <c r="R530">
        <f>1</f>
        <v>1</v>
      </c>
      <c r="S530">
        <f>16.1</f>
        <v>16.100000000000001</v>
      </c>
      <c r="T530">
        <f>7.9</f>
        <v>7.9</v>
      </c>
      <c r="U530">
        <f>214</f>
        <v>214</v>
      </c>
      <c r="X530">
        <f>1</f>
        <v>1</v>
      </c>
      <c r="Y530">
        <f>0.09</f>
        <v>0.09</v>
      </c>
      <c r="Z530">
        <f>0</f>
        <v>0</v>
      </c>
      <c r="AA530">
        <f>0</f>
        <v>0</v>
      </c>
      <c r="AB530">
        <f>0</f>
        <v>0</v>
      </c>
      <c r="AC530">
        <f>0</f>
        <v>0</v>
      </c>
      <c r="AD530">
        <f>0</f>
        <v>0</v>
      </c>
      <c r="AE530">
        <f>0</f>
        <v>0</v>
      </c>
      <c r="AH530" t="s">
        <v>166</v>
      </c>
    </row>
    <row r="531" spans="1:61" x14ac:dyDescent="0.25">
      <c r="A531" t="s">
        <v>2025</v>
      </c>
      <c r="B531" t="s">
        <v>148</v>
      </c>
      <c r="C531" s="1">
        <v>45889</v>
      </c>
      <c r="D531" t="s">
        <v>222</v>
      </c>
      <c r="E531" t="s">
        <v>223</v>
      </c>
      <c r="F531" t="s">
        <v>469</v>
      </c>
      <c r="G531" t="s">
        <v>2026</v>
      </c>
      <c r="H531">
        <v>410</v>
      </c>
      <c r="I531" t="s">
        <v>2026</v>
      </c>
      <c r="J531">
        <v>139</v>
      </c>
      <c r="K531" t="s">
        <v>5257</v>
      </c>
      <c r="L531" t="s">
        <v>393</v>
      </c>
      <c r="M531" t="s">
        <v>5488</v>
      </c>
      <c r="N531" t="s">
        <v>2027</v>
      </c>
      <c r="O531" t="s">
        <v>2028</v>
      </c>
      <c r="R531">
        <f>1</f>
        <v>1</v>
      </c>
      <c r="S531">
        <f>20.5</f>
        <v>20.5</v>
      </c>
      <c r="T531">
        <f>8.1</f>
        <v>8.1</v>
      </c>
      <c r="U531">
        <f>249</f>
        <v>249</v>
      </c>
      <c r="X531">
        <f>1</f>
        <v>1</v>
      </c>
      <c r="Y531">
        <f>0.14</f>
        <v>0.14000000000000001</v>
      </c>
      <c r="Z531">
        <f>0</f>
        <v>0</v>
      </c>
      <c r="AA531">
        <f>0</f>
        <v>0</v>
      </c>
      <c r="AB531">
        <f>0</f>
        <v>0</v>
      </c>
      <c r="AC531">
        <f>0</f>
        <v>0</v>
      </c>
      <c r="AD531">
        <f>0</f>
        <v>0</v>
      </c>
      <c r="AE531">
        <f>0</f>
        <v>0</v>
      </c>
      <c r="AH531" t="s">
        <v>166</v>
      </c>
    </row>
    <row r="532" spans="1:61" x14ac:dyDescent="0.25">
      <c r="A532" t="s">
        <v>2029</v>
      </c>
      <c r="B532" t="s">
        <v>148</v>
      </c>
      <c r="C532" s="1">
        <v>45763</v>
      </c>
      <c r="D532" t="s">
        <v>242</v>
      </c>
      <c r="E532" t="s">
        <v>243</v>
      </c>
      <c r="F532" t="s">
        <v>5284</v>
      </c>
      <c r="G532" t="s">
        <v>6698</v>
      </c>
      <c r="H532">
        <v>1538</v>
      </c>
      <c r="I532" t="s">
        <v>6698</v>
      </c>
      <c r="J532">
        <v>421</v>
      </c>
      <c r="K532" t="s">
        <v>5257</v>
      </c>
      <c r="L532" t="s">
        <v>431</v>
      </c>
      <c r="M532" t="s">
        <v>4805</v>
      </c>
      <c r="N532" t="s">
        <v>4806</v>
      </c>
      <c r="O532" t="s">
        <v>2030</v>
      </c>
      <c r="Q532" t="s">
        <v>6340</v>
      </c>
      <c r="R532">
        <f>1</f>
        <v>1</v>
      </c>
      <c r="S532">
        <f>11.9</f>
        <v>11.9</v>
      </c>
      <c r="T532">
        <f>8.1</f>
        <v>8.1</v>
      </c>
      <c r="U532">
        <f>392</f>
        <v>392</v>
      </c>
      <c r="X532">
        <f>1</f>
        <v>1</v>
      </c>
      <c r="Y532">
        <f>0.14</f>
        <v>0.14000000000000001</v>
      </c>
      <c r="Z532">
        <f>0</f>
        <v>0</v>
      </c>
      <c r="AA532" t="s">
        <v>158</v>
      </c>
      <c r="AB532" t="s">
        <v>158</v>
      </c>
      <c r="AC532">
        <f>0</f>
        <v>0</v>
      </c>
      <c r="AD532">
        <f>0</f>
        <v>0</v>
      </c>
      <c r="AE532">
        <f>0</f>
        <v>0</v>
      </c>
      <c r="AH532" t="s">
        <v>157</v>
      </c>
    </row>
    <row r="533" spans="1:61" x14ac:dyDescent="0.25">
      <c r="A533" t="s">
        <v>2031</v>
      </c>
      <c r="B533" t="s">
        <v>148</v>
      </c>
      <c r="C533" s="1">
        <v>45722</v>
      </c>
      <c r="D533" t="s">
        <v>317</v>
      </c>
      <c r="E533" t="s">
        <v>318</v>
      </c>
      <c r="F533" t="s">
        <v>5489</v>
      </c>
      <c r="G533" t="s">
        <v>2032</v>
      </c>
      <c r="H533">
        <v>1085</v>
      </c>
      <c r="I533" t="s">
        <v>2033</v>
      </c>
      <c r="J533">
        <v>300</v>
      </c>
      <c r="K533" t="s">
        <v>5254</v>
      </c>
      <c r="L533" t="s">
        <v>180</v>
      </c>
      <c r="M533" t="s">
        <v>4807</v>
      </c>
      <c r="N533" t="s">
        <v>2034</v>
      </c>
      <c r="O533" t="s">
        <v>2035</v>
      </c>
      <c r="Q533" t="s">
        <v>6340</v>
      </c>
      <c r="R533">
        <f>1</f>
        <v>1</v>
      </c>
      <c r="S533">
        <f>6</f>
        <v>6</v>
      </c>
      <c r="T533">
        <f>7.6</f>
        <v>7.6</v>
      </c>
      <c r="U533">
        <f>123</f>
        <v>123</v>
      </c>
      <c r="X533">
        <f>0</f>
        <v>0</v>
      </c>
      <c r="Y533" t="s">
        <v>157</v>
      </c>
      <c r="Z533">
        <f>0</f>
        <v>0</v>
      </c>
      <c r="AA533">
        <f>0</f>
        <v>0</v>
      </c>
      <c r="AB533">
        <f>0</f>
        <v>0</v>
      </c>
      <c r="AD533">
        <f>0</f>
        <v>0</v>
      </c>
      <c r="AE533">
        <f>0</f>
        <v>0</v>
      </c>
      <c r="AH533" t="s">
        <v>157</v>
      </c>
      <c r="BI533" t="s">
        <v>167</v>
      </c>
    </row>
    <row r="534" spans="1:61" x14ac:dyDescent="0.25">
      <c r="A534" t="s">
        <v>2036</v>
      </c>
      <c r="B534" t="s">
        <v>148</v>
      </c>
      <c r="C534" s="1">
        <v>45790</v>
      </c>
      <c r="D534" t="s">
        <v>311</v>
      </c>
      <c r="E534" t="s">
        <v>312</v>
      </c>
      <c r="F534" t="s">
        <v>1619</v>
      </c>
      <c r="G534" t="s">
        <v>2037</v>
      </c>
      <c r="H534">
        <v>1246</v>
      </c>
      <c r="I534" t="s">
        <v>2037</v>
      </c>
      <c r="J534">
        <v>150</v>
      </c>
      <c r="K534" t="s">
        <v>5254</v>
      </c>
      <c r="L534" t="s">
        <v>4808</v>
      </c>
      <c r="M534" t="s">
        <v>4809</v>
      </c>
      <c r="N534" t="s">
        <v>2038</v>
      </c>
      <c r="O534" t="s">
        <v>2039</v>
      </c>
      <c r="R534">
        <f>1</f>
        <v>1</v>
      </c>
      <c r="S534">
        <f>11.6</f>
        <v>11.6</v>
      </c>
      <c r="T534">
        <f>6.8</f>
        <v>6.8</v>
      </c>
      <c r="U534">
        <f>168</f>
        <v>168</v>
      </c>
      <c r="X534">
        <f>0</f>
        <v>0</v>
      </c>
      <c r="Y534" t="s">
        <v>157</v>
      </c>
      <c r="Z534">
        <f>0</f>
        <v>0</v>
      </c>
      <c r="AA534" t="s">
        <v>158</v>
      </c>
      <c r="AB534" t="s">
        <v>158</v>
      </c>
      <c r="AD534">
        <f>0</f>
        <v>0</v>
      </c>
      <c r="AE534">
        <f>0</f>
        <v>0</v>
      </c>
      <c r="AH534" t="s">
        <v>157</v>
      </c>
    </row>
    <row r="535" spans="1:61" x14ac:dyDescent="0.25">
      <c r="A535" t="s">
        <v>2040</v>
      </c>
      <c r="B535" t="s">
        <v>148</v>
      </c>
      <c r="C535" s="1">
        <v>45750</v>
      </c>
      <c r="D535" t="s">
        <v>311</v>
      </c>
      <c r="E535" t="s">
        <v>312</v>
      </c>
      <c r="F535" t="s">
        <v>5415</v>
      </c>
      <c r="G535" t="s">
        <v>2041</v>
      </c>
      <c r="H535">
        <v>1037</v>
      </c>
      <c r="I535" t="s">
        <v>2042</v>
      </c>
      <c r="J535">
        <v>300</v>
      </c>
      <c r="K535" t="s">
        <v>5257</v>
      </c>
      <c r="L535" t="s">
        <v>4758</v>
      </c>
      <c r="M535" t="s">
        <v>4810</v>
      </c>
      <c r="N535" t="s">
        <v>4811</v>
      </c>
      <c r="O535" t="s">
        <v>2043</v>
      </c>
      <c r="R535">
        <f>1</f>
        <v>1</v>
      </c>
      <c r="S535">
        <f>10.2</f>
        <v>10.199999999999999</v>
      </c>
      <c r="T535">
        <f>6.8</f>
        <v>6.8</v>
      </c>
      <c r="U535">
        <f>345</f>
        <v>345</v>
      </c>
      <c r="X535">
        <f>0</f>
        <v>0</v>
      </c>
      <c r="Y535" t="s">
        <v>157</v>
      </c>
      <c r="Z535">
        <f>0</f>
        <v>0</v>
      </c>
      <c r="AA535" t="s">
        <v>158</v>
      </c>
      <c r="AB535" t="s">
        <v>158</v>
      </c>
      <c r="AC535">
        <f>0</f>
        <v>0</v>
      </c>
      <c r="AD535">
        <f>0</f>
        <v>0</v>
      </c>
      <c r="AE535">
        <f>0</f>
        <v>0</v>
      </c>
      <c r="AH535" t="s">
        <v>157</v>
      </c>
      <c r="BI535">
        <f>0.53</f>
        <v>0.53</v>
      </c>
    </row>
    <row r="536" spans="1:61" x14ac:dyDescent="0.25">
      <c r="A536" t="s">
        <v>2044</v>
      </c>
      <c r="B536" t="s">
        <v>148</v>
      </c>
      <c r="C536" s="1">
        <v>45722</v>
      </c>
      <c r="D536" t="s">
        <v>311</v>
      </c>
      <c r="E536" t="s">
        <v>312</v>
      </c>
      <c r="F536" t="s">
        <v>6617</v>
      </c>
      <c r="G536" t="s">
        <v>6699</v>
      </c>
      <c r="H536">
        <v>926</v>
      </c>
      <c r="I536" t="s">
        <v>6699</v>
      </c>
      <c r="J536">
        <v>201</v>
      </c>
      <c r="K536" t="s">
        <v>5257</v>
      </c>
      <c r="L536" t="s">
        <v>180</v>
      </c>
      <c r="M536" t="s">
        <v>5490</v>
      </c>
      <c r="N536" t="s">
        <v>4812</v>
      </c>
      <c r="O536" t="s">
        <v>2045</v>
      </c>
      <c r="R536">
        <f>1</f>
        <v>1</v>
      </c>
      <c r="S536">
        <f>7.9</f>
        <v>7.9</v>
      </c>
      <c r="T536">
        <f>7.6</f>
        <v>7.6</v>
      </c>
      <c r="U536">
        <f>327</f>
        <v>327</v>
      </c>
      <c r="X536">
        <f>0</f>
        <v>0</v>
      </c>
      <c r="Y536" t="s">
        <v>157</v>
      </c>
      <c r="Z536">
        <f>0</f>
        <v>0</v>
      </c>
      <c r="AA536" t="s">
        <v>158</v>
      </c>
      <c r="AB536" t="s">
        <v>158</v>
      </c>
      <c r="AC536">
        <f>0</f>
        <v>0</v>
      </c>
      <c r="AD536">
        <f>0</f>
        <v>0</v>
      </c>
      <c r="AE536">
        <f>0</f>
        <v>0</v>
      </c>
      <c r="AH536" t="s">
        <v>157</v>
      </c>
    </row>
    <row r="537" spans="1:61" x14ac:dyDescent="0.25">
      <c r="A537" t="s">
        <v>2046</v>
      </c>
      <c r="B537" t="s">
        <v>148</v>
      </c>
      <c r="C537" s="1">
        <v>45880</v>
      </c>
      <c r="D537" t="s">
        <v>311</v>
      </c>
      <c r="E537" t="s">
        <v>312</v>
      </c>
      <c r="F537" t="s">
        <v>2047</v>
      </c>
      <c r="G537" t="s">
        <v>2048</v>
      </c>
      <c r="H537">
        <v>1541</v>
      </c>
      <c r="I537" t="s">
        <v>2049</v>
      </c>
      <c r="J537">
        <v>368</v>
      </c>
      <c r="K537" t="s">
        <v>5257</v>
      </c>
      <c r="L537" t="s">
        <v>431</v>
      </c>
      <c r="M537" t="s">
        <v>5010</v>
      </c>
      <c r="N537" t="s">
        <v>5011</v>
      </c>
      <c r="O537" t="s">
        <v>2050</v>
      </c>
      <c r="R537">
        <f>1</f>
        <v>1</v>
      </c>
      <c r="S537">
        <f>20.6</f>
        <v>20.6</v>
      </c>
      <c r="T537">
        <f>6.8</f>
        <v>6.8</v>
      </c>
      <c r="U537">
        <f>96</f>
        <v>96</v>
      </c>
      <c r="X537">
        <f>0</f>
        <v>0</v>
      </c>
      <c r="Y537" t="s">
        <v>157</v>
      </c>
      <c r="Z537">
        <f>0</f>
        <v>0</v>
      </c>
      <c r="AA537">
        <f>58</f>
        <v>58</v>
      </c>
      <c r="AB537">
        <f>79</f>
        <v>79</v>
      </c>
      <c r="AC537">
        <f>0</f>
        <v>0</v>
      </c>
      <c r="AD537">
        <f>0</f>
        <v>0</v>
      </c>
      <c r="AE537">
        <f>0</f>
        <v>0</v>
      </c>
      <c r="AH537" t="s">
        <v>157</v>
      </c>
      <c r="AI537" t="s">
        <v>238</v>
      </c>
      <c r="AL537" t="s">
        <v>164</v>
      </c>
      <c r="AM537" t="s">
        <v>165</v>
      </c>
      <c r="AN537">
        <f>3.3</f>
        <v>3.3</v>
      </c>
      <c r="AO537">
        <f>0.07</f>
        <v>7.0000000000000007E-2</v>
      </c>
      <c r="AP537">
        <f>7.8</f>
        <v>7.8</v>
      </c>
      <c r="AQ537">
        <f>9.7</f>
        <v>9.6999999999999993</v>
      </c>
      <c r="AR537" t="s">
        <v>157</v>
      </c>
      <c r="BI537">
        <f>1.3</f>
        <v>1.3</v>
      </c>
    </row>
    <row r="538" spans="1:61" x14ac:dyDescent="0.25">
      <c r="A538" t="s">
        <v>2051</v>
      </c>
      <c r="B538" t="s">
        <v>148</v>
      </c>
      <c r="C538" s="1">
        <v>45722</v>
      </c>
      <c r="D538" t="s">
        <v>175</v>
      </c>
      <c r="E538" t="s">
        <v>649</v>
      </c>
      <c r="F538" t="s">
        <v>685</v>
      </c>
      <c r="G538" t="s">
        <v>2052</v>
      </c>
      <c r="H538">
        <v>1531</v>
      </c>
      <c r="I538" t="s">
        <v>2052</v>
      </c>
      <c r="J538">
        <v>520</v>
      </c>
      <c r="K538" t="s">
        <v>5254</v>
      </c>
      <c r="L538" t="s">
        <v>4968</v>
      </c>
      <c r="M538" t="s">
        <v>6035</v>
      </c>
      <c r="N538" t="s">
        <v>6036</v>
      </c>
      <c r="O538" t="s">
        <v>2053</v>
      </c>
      <c r="R538">
        <f>1</f>
        <v>1</v>
      </c>
      <c r="S538">
        <f>8.3</f>
        <v>8.3000000000000007</v>
      </c>
      <c r="T538">
        <f>7.6</f>
        <v>7.6</v>
      </c>
      <c r="U538">
        <f>403</f>
        <v>403</v>
      </c>
      <c r="V538">
        <f>0.23</f>
        <v>0.23</v>
      </c>
      <c r="X538">
        <f>1</f>
        <v>1</v>
      </c>
      <c r="Y538">
        <f>0.1</f>
        <v>0.1</v>
      </c>
      <c r="Z538">
        <f>0</f>
        <v>0</v>
      </c>
      <c r="AA538" t="s">
        <v>158</v>
      </c>
      <c r="AB538" t="s">
        <v>158</v>
      </c>
      <c r="AD538">
        <f>0</f>
        <v>0</v>
      </c>
      <c r="AE538">
        <f>0</f>
        <v>0</v>
      </c>
    </row>
    <row r="539" spans="1:61" x14ac:dyDescent="0.25">
      <c r="A539" t="s">
        <v>2054</v>
      </c>
      <c r="B539" t="s">
        <v>148</v>
      </c>
      <c r="C539" s="1">
        <v>45721</v>
      </c>
      <c r="D539" t="s">
        <v>175</v>
      </c>
      <c r="E539" t="s">
        <v>176</v>
      </c>
      <c r="F539" t="s">
        <v>690</v>
      </c>
      <c r="G539" t="s">
        <v>2055</v>
      </c>
      <c r="H539">
        <v>1078</v>
      </c>
      <c r="I539" t="s">
        <v>2056</v>
      </c>
      <c r="J539">
        <v>389</v>
      </c>
      <c r="K539" t="s">
        <v>5254</v>
      </c>
      <c r="L539" t="s">
        <v>4963</v>
      </c>
      <c r="M539" t="s">
        <v>5491</v>
      </c>
      <c r="N539" t="s">
        <v>2057</v>
      </c>
      <c r="O539" t="s">
        <v>2058</v>
      </c>
      <c r="R539">
        <f>1</f>
        <v>1</v>
      </c>
      <c r="S539">
        <f>7.7</f>
        <v>7.7</v>
      </c>
      <c r="T539">
        <f>7.8</f>
        <v>7.8</v>
      </c>
      <c r="U539">
        <f>461</f>
        <v>461</v>
      </c>
      <c r="X539">
        <f>1</f>
        <v>1</v>
      </c>
      <c r="Y539" t="s">
        <v>157</v>
      </c>
      <c r="Z539">
        <f>0</f>
        <v>0</v>
      </c>
      <c r="AA539" t="s">
        <v>158</v>
      </c>
      <c r="AB539" t="s">
        <v>158</v>
      </c>
      <c r="AC539">
        <f>0</f>
        <v>0</v>
      </c>
      <c r="AD539">
        <f>0</f>
        <v>0</v>
      </c>
      <c r="AE539">
        <f>0</f>
        <v>0</v>
      </c>
    </row>
    <row r="540" spans="1:61" x14ac:dyDescent="0.25">
      <c r="A540" t="s">
        <v>2059</v>
      </c>
      <c r="B540" t="s">
        <v>268</v>
      </c>
      <c r="C540" s="1">
        <v>45721</v>
      </c>
      <c r="D540" t="s">
        <v>175</v>
      </c>
      <c r="E540" t="s">
        <v>176</v>
      </c>
      <c r="F540" t="s">
        <v>690</v>
      </c>
      <c r="G540" t="s">
        <v>6037</v>
      </c>
      <c r="H540">
        <v>1266</v>
      </c>
      <c r="I540" t="s">
        <v>6037</v>
      </c>
      <c r="J540">
        <v>736</v>
      </c>
      <c r="K540" t="s">
        <v>5257</v>
      </c>
      <c r="L540" t="s">
        <v>431</v>
      </c>
      <c r="M540" t="s">
        <v>5492</v>
      </c>
      <c r="N540" t="s">
        <v>5493</v>
      </c>
      <c r="O540" t="s">
        <v>2060</v>
      </c>
      <c r="R540">
        <f>1</f>
        <v>1</v>
      </c>
      <c r="S540">
        <f>12.8</f>
        <v>12.8</v>
      </c>
      <c r="T540">
        <f>7.8</f>
        <v>7.8</v>
      </c>
      <c r="U540">
        <f>433</f>
        <v>433</v>
      </c>
      <c r="V540">
        <f>0.26</f>
        <v>0.26</v>
      </c>
      <c r="X540">
        <f>1</f>
        <v>1</v>
      </c>
      <c r="Y540" t="s">
        <v>157</v>
      </c>
      <c r="Z540">
        <f>0</f>
        <v>0</v>
      </c>
      <c r="AA540" t="s">
        <v>158</v>
      </c>
      <c r="AB540">
        <f>124</f>
        <v>124</v>
      </c>
      <c r="AC540">
        <f>0</f>
        <v>0</v>
      </c>
      <c r="AD540">
        <f>0</f>
        <v>0</v>
      </c>
      <c r="AE540">
        <f>0</f>
        <v>0</v>
      </c>
    </row>
    <row r="541" spans="1:61" x14ac:dyDescent="0.25">
      <c r="A541" t="s">
        <v>2061</v>
      </c>
      <c r="B541" t="s">
        <v>148</v>
      </c>
      <c r="C541" s="1">
        <v>45790</v>
      </c>
      <c r="D541" t="s">
        <v>311</v>
      </c>
      <c r="E541" t="s">
        <v>150</v>
      </c>
      <c r="F541" t="s">
        <v>5012</v>
      </c>
      <c r="G541" t="s">
        <v>6038</v>
      </c>
      <c r="H541">
        <v>444</v>
      </c>
      <c r="I541" t="s">
        <v>6039</v>
      </c>
      <c r="J541">
        <v>160</v>
      </c>
      <c r="K541" t="s">
        <v>5254</v>
      </c>
      <c r="L541" t="s">
        <v>180</v>
      </c>
      <c r="M541" t="s">
        <v>5494</v>
      </c>
      <c r="N541" t="s">
        <v>5495</v>
      </c>
      <c r="O541" t="s">
        <v>2062</v>
      </c>
      <c r="R541">
        <f>1</f>
        <v>1</v>
      </c>
      <c r="S541">
        <f>16.1</f>
        <v>16.100000000000001</v>
      </c>
      <c r="T541">
        <f>7.4</f>
        <v>7.4</v>
      </c>
      <c r="U541">
        <f>466</f>
        <v>466</v>
      </c>
      <c r="X541">
        <f>0</f>
        <v>0</v>
      </c>
      <c r="Y541">
        <f>0.1</f>
        <v>0.1</v>
      </c>
      <c r="Z541">
        <f>0</f>
        <v>0</v>
      </c>
      <c r="AA541" t="s">
        <v>158</v>
      </c>
      <c r="AB541" t="s">
        <v>158</v>
      </c>
      <c r="AD541">
        <f>0</f>
        <v>0</v>
      </c>
      <c r="AE541">
        <f>0</f>
        <v>0</v>
      </c>
      <c r="AH541" t="s">
        <v>157</v>
      </c>
      <c r="BI541">
        <f>0.53</f>
        <v>0.53</v>
      </c>
    </row>
    <row r="542" spans="1:61" x14ac:dyDescent="0.25">
      <c r="A542" t="s">
        <v>2063</v>
      </c>
      <c r="B542" t="s">
        <v>148</v>
      </c>
      <c r="C542" s="1">
        <v>45764</v>
      </c>
      <c r="D542" t="s">
        <v>317</v>
      </c>
      <c r="E542" t="s">
        <v>318</v>
      </c>
      <c r="F542" t="s">
        <v>360</v>
      </c>
      <c r="G542" t="s">
        <v>2064</v>
      </c>
      <c r="H542">
        <v>1100</v>
      </c>
      <c r="I542" t="s">
        <v>2064</v>
      </c>
      <c r="J542">
        <v>223</v>
      </c>
      <c r="K542" t="s">
        <v>5331</v>
      </c>
      <c r="L542" t="s">
        <v>4948</v>
      </c>
      <c r="M542" t="s">
        <v>5496</v>
      </c>
      <c r="N542" t="s">
        <v>2065</v>
      </c>
      <c r="O542" t="s">
        <v>2066</v>
      </c>
      <c r="Q542" t="s">
        <v>329</v>
      </c>
      <c r="R542">
        <f>1</f>
        <v>1</v>
      </c>
      <c r="S542">
        <f>11.4</f>
        <v>11.4</v>
      </c>
      <c r="T542">
        <f>7.7</f>
        <v>7.7</v>
      </c>
      <c r="U542">
        <f>437</f>
        <v>437</v>
      </c>
      <c r="X542">
        <f>0</f>
        <v>0</v>
      </c>
      <c r="Y542">
        <f>0.11</f>
        <v>0.11</v>
      </c>
      <c r="Z542">
        <f>0</f>
        <v>0</v>
      </c>
      <c r="AA542">
        <f>2</f>
        <v>2</v>
      </c>
      <c r="AB542">
        <f>0</f>
        <v>0</v>
      </c>
      <c r="AC542">
        <f>0</f>
        <v>0</v>
      </c>
      <c r="AD542">
        <f>0</f>
        <v>0</v>
      </c>
      <c r="AE542">
        <f>0</f>
        <v>0</v>
      </c>
      <c r="AH542" t="s">
        <v>157</v>
      </c>
    </row>
    <row r="543" spans="1:61" x14ac:dyDescent="0.25">
      <c r="A543" t="s">
        <v>2067</v>
      </c>
      <c r="B543" t="s">
        <v>148</v>
      </c>
      <c r="C543" s="1">
        <v>45722</v>
      </c>
      <c r="D543" t="s">
        <v>317</v>
      </c>
      <c r="E543" t="s">
        <v>318</v>
      </c>
      <c r="F543" t="s">
        <v>2068</v>
      </c>
      <c r="G543" t="s">
        <v>2069</v>
      </c>
      <c r="H543">
        <v>1083</v>
      </c>
      <c r="I543" t="s">
        <v>2069</v>
      </c>
      <c r="J543">
        <v>260</v>
      </c>
      <c r="K543" t="s">
        <v>5254</v>
      </c>
      <c r="L543" t="s">
        <v>180</v>
      </c>
      <c r="M543" t="s">
        <v>6700</v>
      </c>
      <c r="N543" t="s">
        <v>2070</v>
      </c>
      <c r="O543" t="s">
        <v>2071</v>
      </c>
      <c r="Q543" t="s">
        <v>2072</v>
      </c>
      <c r="R543">
        <f>1</f>
        <v>1</v>
      </c>
      <c r="S543">
        <f>7</f>
        <v>7</v>
      </c>
      <c r="T543">
        <f>8.1</f>
        <v>8.1</v>
      </c>
      <c r="U543">
        <f>309</f>
        <v>309</v>
      </c>
      <c r="X543">
        <f>0</f>
        <v>0</v>
      </c>
      <c r="Y543">
        <f>0.12</f>
        <v>0.12</v>
      </c>
      <c r="Z543">
        <f>0</f>
        <v>0</v>
      </c>
      <c r="AA543">
        <f>0</f>
        <v>0</v>
      </c>
      <c r="AB543">
        <f>0</f>
        <v>0</v>
      </c>
      <c r="AD543">
        <f>0</f>
        <v>0</v>
      </c>
      <c r="AE543">
        <f>0</f>
        <v>0</v>
      </c>
      <c r="AH543" t="s">
        <v>157</v>
      </c>
      <c r="BI543" t="s">
        <v>167</v>
      </c>
    </row>
    <row r="544" spans="1:61" x14ac:dyDescent="0.25">
      <c r="A544" t="s">
        <v>2073</v>
      </c>
      <c r="B544" t="s">
        <v>148</v>
      </c>
      <c r="C544" s="1">
        <v>45722</v>
      </c>
      <c r="D544" t="s">
        <v>175</v>
      </c>
      <c r="E544" t="s">
        <v>176</v>
      </c>
      <c r="F544" t="s">
        <v>2074</v>
      </c>
      <c r="G544" t="s">
        <v>5497</v>
      </c>
      <c r="H544">
        <v>1575</v>
      </c>
      <c r="I544" t="s">
        <v>5497</v>
      </c>
      <c r="J544">
        <v>700</v>
      </c>
      <c r="K544" t="s">
        <v>5257</v>
      </c>
      <c r="L544" t="s">
        <v>431</v>
      </c>
      <c r="M544" t="s">
        <v>6040</v>
      </c>
      <c r="N544" t="s">
        <v>2075</v>
      </c>
      <c r="O544" t="s">
        <v>2076</v>
      </c>
      <c r="Q544" t="s">
        <v>6374</v>
      </c>
      <c r="R544">
        <f>1</f>
        <v>1</v>
      </c>
      <c r="S544">
        <f>6.7</f>
        <v>6.7</v>
      </c>
      <c r="T544">
        <f>7.5</f>
        <v>7.5</v>
      </c>
      <c r="U544">
        <f>572</f>
        <v>572</v>
      </c>
      <c r="X544">
        <f>0</f>
        <v>0</v>
      </c>
      <c r="Y544" t="s">
        <v>157</v>
      </c>
      <c r="Z544">
        <f>0</f>
        <v>0</v>
      </c>
      <c r="AA544" t="s">
        <v>158</v>
      </c>
      <c r="AB544" t="s">
        <v>158</v>
      </c>
      <c r="AC544">
        <f>0</f>
        <v>0</v>
      </c>
      <c r="AD544">
        <f>0</f>
        <v>0</v>
      </c>
      <c r="AE544">
        <f>0</f>
        <v>0</v>
      </c>
    </row>
    <row r="545" spans="1:61" x14ac:dyDescent="0.25">
      <c r="A545" t="s">
        <v>2077</v>
      </c>
      <c r="B545" t="s">
        <v>148</v>
      </c>
      <c r="C545" s="1">
        <v>45728</v>
      </c>
      <c r="D545" t="s">
        <v>175</v>
      </c>
      <c r="E545" t="s">
        <v>176</v>
      </c>
      <c r="F545" t="s">
        <v>5167</v>
      </c>
      <c r="G545" t="s">
        <v>2078</v>
      </c>
      <c r="H545">
        <v>1458</v>
      </c>
      <c r="I545" t="s">
        <v>2078</v>
      </c>
      <c r="J545">
        <v>420</v>
      </c>
      <c r="K545" t="s">
        <v>5257</v>
      </c>
      <c r="L545" t="s">
        <v>4966</v>
      </c>
      <c r="M545" t="s">
        <v>2079</v>
      </c>
      <c r="N545" t="s">
        <v>2080</v>
      </c>
      <c r="O545" t="s">
        <v>2081</v>
      </c>
      <c r="R545">
        <f>1</f>
        <v>1</v>
      </c>
      <c r="S545">
        <f>9.5</f>
        <v>9.5</v>
      </c>
      <c r="T545">
        <f>7.6</f>
        <v>7.6</v>
      </c>
      <c r="U545">
        <f>458</f>
        <v>458</v>
      </c>
      <c r="X545">
        <f>0</f>
        <v>0</v>
      </c>
      <c r="Y545" t="s">
        <v>157</v>
      </c>
      <c r="Z545">
        <f>0</f>
        <v>0</v>
      </c>
      <c r="AA545" t="s">
        <v>158</v>
      </c>
      <c r="AB545" t="s">
        <v>158</v>
      </c>
      <c r="AC545">
        <f>0</f>
        <v>0</v>
      </c>
      <c r="AD545">
        <f>0</f>
        <v>0</v>
      </c>
      <c r="AE545">
        <f>0</f>
        <v>0</v>
      </c>
      <c r="BI545">
        <f>0.22</f>
        <v>0.22</v>
      </c>
    </row>
    <row r="546" spans="1:61" x14ac:dyDescent="0.25">
      <c r="A546" t="s">
        <v>2082</v>
      </c>
      <c r="B546" t="s">
        <v>148</v>
      </c>
      <c r="C546" s="1">
        <v>45761</v>
      </c>
      <c r="D546" t="s">
        <v>618</v>
      </c>
      <c r="E546" t="s">
        <v>619</v>
      </c>
      <c r="F546" t="s">
        <v>730</v>
      </c>
      <c r="G546" t="s">
        <v>6701</v>
      </c>
      <c r="H546">
        <v>961</v>
      </c>
      <c r="I546" t="s">
        <v>6701</v>
      </c>
      <c r="J546">
        <v>200</v>
      </c>
      <c r="K546" t="s">
        <v>5257</v>
      </c>
      <c r="L546" t="s">
        <v>431</v>
      </c>
      <c r="M546" t="s">
        <v>4813</v>
      </c>
      <c r="N546" t="s">
        <v>4814</v>
      </c>
      <c r="O546" t="s">
        <v>2083</v>
      </c>
      <c r="R546">
        <f>1</f>
        <v>1</v>
      </c>
      <c r="S546">
        <f>9.8</f>
        <v>9.8000000000000007</v>
      </c>
      <c r="T546">
        <f>7.9</f>
        <v>7.9</v>
      </c>
      <c r="U546">
        <f>348</f>
        <v>348</v>
      </c>
      <c r="X546">
        <f>0</f>
        <v>0</v>
      </c>
      <c r="Y546">
        <f>0.1</f>
        <v>0.1</v>
      </c>
      <c r="Z546">
        <f>0</f>
        <v>0</v>
      </c>
      <c r="AA546" t="s">
        <v>158</v>
      </c>
      <c r="AB546" t="s">
        <v>158</v>
      </c>
      <c r="AC546">
        <f>0</f>
        <v>0</v>
      </c>
      <c r="AD546">
        <f>0</f>
        <v>0</v>
      </c>
      <c r="AE546">
        <f>0</f>
        <v>0</v>
      </c>
      <c r="AH546" t="s">
        <v>157</v>
      </c>
    </row>
    <row r="547" spans="1:61" x14ac:dyDescent="0.25">
      <c r="A547" t="s">
        <v>2084</v>
      </c>
      <c r="B547" t="s">
        <v>148</v>
      </c>
      <c r="C547" s="1">
        <v>45721</v>
      </c>
      <c r="D547" t="s">
        <v>175</v>
      </c>
      <c r="E547" t="s">
        <v>176</v>
      </c>
      <c r="F547" t="s">
        <v>5498</v>
      </c>
      <c r="G547" t="s">
        <v>5499</v>
      </c>
      <c r="H547">
        <v>1612</v>
      </c>
      <c r="I547" t="s">
        <v>5500</v>
      </c>
      <c r="J547">
        <v>600</v>
      </c>
      <c r="K547" t="s">
        <v>5254</v>
      </c>
      <c r="L547" t="s">
        <v>431</v>
      </c>
      <c r="M547" t="s">
        <v>5013</v>
      </c>
      <c r="N547" t="s">
        <v>5501</v>
      </c>
      <c r="O547" t="s">
        <v>2085</v>
      </c>
      <c r="R547">
        <f>1</f>
        <v>1</v>
      </c>
      <c r="S547">
        <f>7.7</f>
        <v>7.7</v>
      </c>
      <c r="T547">
        <f>7.5</f>
        <v>7.5</v>
      </c>
      <c r="U547">
        <f>461</f>
        <v>461</v>
      </c>
      <c r="V547">
        <f>0.25</f>
        <v>0.25</v>
      </c>
      <c r="X547">
        <f>0</f>
        <v>0</v>
      </c>
      <c r="Y547" t="s">
        <v>157</v>
      </c>
      <c r="Z547">
        <f>0</f>
        <v>0</v>
      </c>
      <c r="AA547" t="s">
        <v>158</v>
      </c>
      <c r="AB547" t="s">
        <v>158</v>
      </c>
      <c r="AD547">
        <f>0</f>
        <v>0</v>
      </c>
      <c r="AE547">
        <f>0</f>
        <v>0</v>
      </c>
    </row>
    <row r="548" spans="1:61" x14ac:dyDescent="0.25">
      <c r="A548" t="s">
        <v>2086</v>
      </c>
      <c r="B548" t="s">
        <v>268</v>
      </c>
      <c r="C548" s="1">
        <v>45733</v>
      </c>
      <c r="D548" t="s">
        <v>175</v>
      </c>
      <c r="E548" t="s">
        <v>176</v>
      </c>
      <c r="F548" t="s">
        <v>177</v>
      </c>
      <c r="G548" t="s">
        <v>2087</v>
      </c>
      <c r="H548">
        <v>1607</v>
      </c>
      <c r="I548" t="s">
        <v>2087</v>
      </c>
      <c r="J548">
        <v>574</v>
      </c>
      <c r="K548" t="s">
        <v>5254</v>
      </c>
      <c r="L548" t="s">
        <v>431</v>
      </c>
      <c r="M548" t="s">
        <v>5502</v>
      </c>
      <c r="N548" t="s">
        <v>2088</v>
      </c>
      <c r="O548" t="s">
        <v>2089</v>
      </c>
      <c r="R548">
        <f>1</f>
        <v>1</v>
      </c>
      <c r="S548">
        <f>9.6</f>
        <v>9.6</v>
      </c>
      <c r="T548">
        <f>7.7</f>
        <v>7.7</v>
      </c>
      <c r="U548">
        <f>422</f>
        <v>422</v>
      </c>
      <c r="V548" t="s">
        <v>207</v>
      </c>
      <c r="X548">
        <f>0</f>
        <v>0</v>
      </c>
      <c r="Y548">
        <f>0.5</f>
        <v>0.5</v>
      </c>
      <c r="Z548" t="s">
        <v>2090</v>
      </c>
      <c r="AA548">
        <f>169</f>
        <v>169</v>
      </c>
      <c r="AB548">
        <f>25</f>
        <v>25</v>
      </c>
      <c r="AD548">
        <f>0</f>
        <v>0</v>
      </c>
      <c r="AE548" t="s">
        <v>2090</v>
      </c>
    </row>
    <row r="549" spans="1:61" x14ac:dyDescent="0.25">
      <c r="A549" t="s">
        <v>2091</v>
      </c>
      <c r="B549" t="s">
        <v>148</v>
      </c>
      <c r="C549" s="1">
        <v>45729</v>
      </c>
      <c r="D549" t="s">
        <v>618</v>
      </c>
      <c r="E549" t="s">
        <v>619</v>
      </c>
      <c r="F549" t="s">
        <v>620</v>
      </c>
      <c r="G549" t="s">
        <v>4815</v>
      </c>
      <c r="H549">
        <v>1603</v>
      </c>
      <c r="I549" t="s">
        <v>4815</v>
      </c>
      <c r="J549">
        <v>177</v>
      </c>
      <c r="K549" t="s">
        <v>5257</v>
      </c>
      <c r="M549" t="s">
        <v>5503</v>
      </c>
      <c r="N549" t="s">
        <v>4816</v>
      </c>
      <c r="O549" t="s">
        <v>2092</v>
      </c>
      <c r="R549">
        <f>1</f>
        <v>1</v>
      </c>
      <c r="S549">
        <f>7.5</f>
        <v>7.5</v>
      </c>
      <c r="T549">
        <f>7.4</f>
        <v>7.4</v>
      </c>
      <c r="U549">
        <f>133</f>
        <v>133</v>
      </c>
      <c r="X549">
        <f>0</f>
        <v>0</v>
      </c>
      <c r="Y549">
        <f>0.1</f>
        <v>0.1</v>
      </c>
      <c r="Z549">
        <f>0</f>
        <v>0</v>
      </c>
      <c r="AA549" t="s">
        <v>158</v>
      </c>
      <c r="AB549" t="s">
        <v>158</v>
      </c>
      <c r="AC549">
        <f>0</f>
        <v>0</v>
      </c>
      <c r="AD549">
        <f>0</f>
        <v>0</v>
      </c>
      <c r="AE549">
        <f>0</f>
        <v>0</v>
      </c>
      <c r="AH549" t="s">
        <v>157</v>
      </c>
      <c r="BI549" t="s">
        <v>836</v>
      </c>
    </row>
    <row r="550" spans="1:61" x14ac:dyDescent="0.25">
      <c r="A550" t="s">
        <v>2093</v>
      </c>
      <c r="B550" t="s">
        <v>148</v>
      </c>
      <c r="C550" s="1">
        <v>45784</v>
      </c>
      <c r="D550" t="s">
        <v>269</v>
      </c>
      <c r="E550" t="s">
        <v>295</v>
      </c>
      <c r="F550" t="s">
        <v>5504</v>
      </c>
      <c r="G550" t="s">
        <v>5505</v>
      </c>
      <c r="H550">
        <v>311</v>
      </c>
      <c r="I550" t="s">
        <v>5506</v>
      </c>
      <c r="J550">
        <v>309</v>
      </c>
      <c r="K550" t="s">
        <v>5257</v>
      </c>
      <c r="L550" t="s">
        <v>431</v>
      </c>
      <c r="M550" t="s">
        <v>2094</v>
      </c>
      <c r="N550" t="s">
        <v>6041</v>
      </c>
      <c r="R550">
        <f>1</f>
        <v>1</v>
      </c>
      <c r="S550">
        <f>14.6</f>
        <v>14.6</v>
      </c>
      <c r="T550">
        <f>7.7</f>
        <v>7.7</v>
      </c>
      <c r="U550">
        <f>445</f>
        <v>445</v>
      </c>
      <c r="V550">
        <f>0.17</f>
        <v>0.17</v>
      </c>
      <c r="X550">
        <f>0</f>
        <v>0</v>
      </c>
      <c r="Y550">
        <f>0.24</f>
        <v>0.24</v>
      </c>
      <c r="Z550">
        <f>0</f>
        <v>0</v>
      </c>
      <c r="AA550" t="s">
        <v>158</v>
      </c>
      <c r="AB550" t="s">
        <v>158</v>
      </c>
      <c r="AC550">
        <f>0</f>
        <v>0</v>
      </c>
      <c r="AD550">
        <f>0</f>
        <v>0</v>
      </c>
      <c r="AE550">
        <f>0</f>
        <v>0</v>
      </c>
      <c r="AH550" t="s">
        <v>166</v>
      </c>
      <c r="BI550">
        <f>0.4</f>
        <v>0.4</v>
      </c>
    </row>
    <row r="551" spans="1:61" x14ac:dyDescent="0.25">
      <c r="A551" t="s">
        <v>2095</v>
      </c>
      <c r="B551" t="s">
        <v>148</v>
      </c>
      <c r="C551" s="1">
        <v>45729</v>
      </c>
      <c r="D551" t="s">
        <v>175</v>
      </c>
      <c r="E551" t="s">
        <v>176</v>
      </c>
      <c r="F551" t="s">
        <v>556</v>
      </c>
      <c r="G551" t="s">
        <v>2096</v>
      </c>
      <c r="H551">
        <v>1628</v>
      </c>
      <c r="I551" t="s">
        <v>2096</v>
      </c>
      <c r="J551">
        <v>828</v>
      </c>
      <c r="K551" t="s">
        <v>5254</v>
      </c>
      <c r="L551" t="s">
        <v>431</v>
      </c>
      <c r="M551" t="s">
        <v>6042</v>
      </c>
      <c r="N551" t="s">
        <v>5014</v>
      </c>
      <c r="O551" t="s">
        <v>2097</v>
      </c>
      <c r="R551">
        <f>1</f>
        <v>1</v>
      </c>
      <c r="S551">
        <f>10.1</f>
        <v>10.1</v>
      </c>
      <c r="T551">
        <f>7.5</f>
        <v>7.5</v>
      </c>
      <c r="U551">
        <f>549</f>
        <v>549</v>
      </c>
      <c r="V551">
        <f>0.08</f>
        <v>0.08</v>
      </c>
      <c r="X551">
        <f>0</f>
        <v>0</v>
      </c>
      <c r="Y551" t="s">
        <v>157</v>
      </c>
      <c r="Z551">
        <f>0</f>
        <v>0</v>
      </c>
      <c r="AA551" t="s">
        <v>158</v>
      </c>
      <c r="AB551" t="s">
        <v>158</v>
      </c>
      <c r="AD551">
        <f>0</f>
        <v>0</v>
      </c>
      <c r="AE551">
        <f>0</f>
        <v>0</v>
      </c>
    </row>
    <row r="552" spans="1:61" x14ac:dyDescent="0.25">
      <c r="A552" t="s">
        <v>2098</v>
      </c>
      <c r="B552" t="s">
        <v>148</v>
      </c>
      <c r="C552" s="1">
        <v>45729</v>
      </c>
      <c r="D552" t="s">
        <v>317</v>
      </c>
      <c r="E552" t="s">
        <v>318</v>
      </c>
      <c r="F552" t="s">
        <v>5507</v>
      </c>
      <c r="G552" t="s">
        <v>5508</v>
      </c>
      <c r="H552">
        <v>1634</v>
      </c>
      <c r="I552" t="s">
        <v>5509</v>
      </c>
      <c r="J552">
        <v>309</v>
      </c>
      <c r="K552" t="s">
        <v>5254</v>
      </c>
      <c r="M552" t="s">
        <v>5434</v>
      </c>
      <c r="N552" t="s">
        <v>5510</v>
      </c>
      <c r="O552" t="s">
        <v>2099</v>
      </c>
      <c r="Q552" t="s">
        <v>6340</v>
      </c>
      <c r="R552">
        <f>1</f>
        <v>1</v>
      </c>
      <c r="S552">
        <f>8.6</f>
        <v>8.6</v>
      </c>
      <c r="T552">
        <f>7.9</f>
        <v>7.9</v>
      </c>
      <c r="U552">
        <f>243</f>
        <v>243</v>
      </c>
      <c r="X552">
        <f>0</f>
        <v>0</v>
      </c>
      <c r="Y552">
        <f>0.16</f>
        <v>0.16</v>
      </c>
      <c r="Z552">
        <f>0</f>
        <v>0</v>
      </c>
      <c r="AA552">
        <f>7</f>
        <v>7</v>
      </c>
      <c r="AB552">
        <f>0</f>
        <v>0</v>
      </c>
      <c r="AD552">
        <f>0</f>
        <v>0</v>
      </c>
      <c r="AE552">
        <f>0</f>
        <v>0</v>
      </c>
      <c r="AH552" t="s">
        <v>157</v>
      </c>
      <c r="BI552" t="s">
        <v>167</v>
      </c>
    </row>
    <row r="553" spans="1:61" x14ac:dyDescent="0.25">
      <c r="A553" t="s">
        <v>2100</v>
      </c>
      <c r="B553" t="s">
        <v>148</v>
      </c>
      <c r="C553" s="1">
        <v>45719</v>
      </c>
      <c r="D553" t="s">
        <v>242</v>
      </c>
      <c r="E553" t="s">
        <v>295</v>
      </c>
      <c r="F553" t="s">
        <v>6577</v>
      </c>
      <c r="G553" t="s">
        <v>2101</v>
      </c>
      <c r="H553">
        <v>1635</v>
      </c>
      <c r="I553" t="s">
        <v>2101</v>
      </c>
      <c r="J553">
        <v>240</v>
      </c>
      <c r="K553" t="s">
        <v>5254</v>
      </c>
      <c r="L553" t="s">
        <v>431</v>
      </c>
      <c r="M553" t="s">
        <v>4817</v>
      </c>
      <c r="N553" t="s">
        <v>4818</v>
      </c>
      <c r="O553" t="s">
        <v>2102</v>
      </c>
      <c r="Q553" t="s">
        <v>6375</v>
      </c>
      <c r="R553">
        <f>1</f>
        <v>1</v>
      </c>
      <c r="S553">
        <f>9.2</f>
        <v>9.1999999999999993</v>
      </c>
      <c r="T553">
        <f>8.1</f>
        <v>8.1</v>
      </c>
      <c r="U553">
        <f>478</f>
        <v>478</v>
      </c>
      <c r="V553">
        <f>0.18</f>
        <v>0.18</v>
      </c>
      <c r="X553">
        <f>0</f>
        <v>0</v>
      </c>
      <c r="Y553" t="s">
        <v>157</v>
      </c>
      <c r="Z553">
        <f>0</f>
        <v>0</v>
      </c>
      <c r="AA553" t="s">
        <v>158</v>
      </c>
      <c r="AB553" t="s">
        <v>158</v>
      </c>
      <c r="AD553">
        <f>0</f>
        <v>0</v>
      </c>
      <c r="AE553">
        <f>0</f>
        <v>0</v>
      </c>
      <c r="AH553" t="s">
        <v>157</v>
      </c>
    </row>
    <row r="554" spans="1:61" x14ac:dyDescent="0.25">
      <c r="A554" t="s">
        <v>2103</v>
      </c>
      <c r="B554" t="s">
        <v>148</v>
      </c>
      <c r="C554" s="1">
        <v>45721</v>
      </c>
      <c r="D554" t="s">
        <v>317</v>
      </c>
      <c r="E554" t="s">
        <v>318</v>
      </c>
      <c r="F554" t="s">
        <v>319</v>
      </c>
      <c r="G554" t="s">
        <v>6043</v>
      </c>
      <c r="H554">
        <v>1636</v>
      </c>
      <c r="I554" t="s">
        <v>6043</v>
      </c>
      <c r="J554">
        <v>300</v>
      </c>
      <c r="K554" t="s">
        <v>5254</v>
      </c>
      <c r="M554" t="s">
        <v>2104</v>
      </c>
      <c r="N554" t="s">
        <v>6044</v>
      </c>
      <c r="O554" t="s">
        <v>2105</v>
      </c>
      <c r="Q554" t="s">
        <v>6301</v>
      </c>
      <c r="R554">
        <f>1</f>
        <v>1</v>
      </c>
      <c r="S554">
        <f>9</f>
        <v>9</v>
      </c>
      <c r="T554">
        <f>7.5</f>
        <v>7.5</v>
      </c>
      <c r="U554">
        <f>578</f>
        <v>578</v>
      </c>
      <c r="X554">
        <f>0</f>
        <v>0</v>
      </c>
      <c r="Y554" t="s">
        <v>157</v>
      </c>
      <c r="Z554">
        <f>0</f>
        <v>0</v>
      </c>
      <c r="AA554">
        <f>0</f>
        <v>0</v>
      </c>
      <c r="AB554">
        <f>0</f>
        <v>0</v>
      </c>
      <c r="AD554">
        <f>0</f>
        <v>0</v>
      </c>
      <c r="AE554">
        <f>0</f>
        <v>0</v>
      </c>
      <c r="AH554" t="s">
        <v>157</v>
      </c>
    </row>
    <row r="555" spans="1:61" x14ac:dyDescent="0.25">
      <c r="A555" t="s">
        <v>2106</v>
      </c>
      <c r="B555" t="s">
        <v>148</v>
      </c>
      <c r="C555" s="1">
        <v>45751</v>
      </c>
      <c r="D555" t="s">
        <v>242</v>
      </c>
      <c r="E555" t="s">
        <v>243</v>
      </c>
      <c r="F555" t="s">
        <v>244</v>
      </c>
      <c r="G555" t="s">
        <v>245</v>
      </c>
      <c r="H555">
        <v>718</v>
      </c>
      <c r="I555" t="s">
        <v>2107</v>
      </c>
      <c r="J555">
        <v>285</v>
      </c>
      <c r="K555" t="s">
        <v>5257</v>
      </c>
      <c r="L555" t="s">
        <v>726</v>
      </c>
      <c r="M555" t="s">
        <v>4819</v>
      </c>
      <c r="N555" t="s">
        <v>4820</v>
      </c>
      <c r="O555" t="s">
        <v>2108</v>
      </c>
      <c r="R555">
        <f>1</f>
        <v>1</v>
      </c>
      <c r="S555">
        <f>11.2</f>
        <v>11.2</v>
      </c>
      <c r="T555">
        <f>7.5</f>
        <v>7.5</v>
      </c>
      <c r="U555">
        <f>522</f>
        <v>522</v>
      </c>
      <c r="V555">
        <f>0.19</f>
        <v>0.19</v>
      </c>
      <c r="X555">
        <f>1</f>
        <v>1</v>
      </c>
      <c r="Y555" t="s">
        <v>157</v>
      </c>
      <c r="Z555">
        <f>0</f>
        <v>0</v>
      </c>
      <c r="AA555" t="s">
        <v>158</v>
      </c>
      <c r="AB555" t="s">
        <v>158</v>
      </c>
      <c r="AC555">
        <f>0</f>
        <v>0</v>
      </c>
      <c r="AD555">
        <f>0</f>
        <v>0</v>
      </c>
      <c r="AE555">
        <f>0</f>
        <v>0</v>
      </c>
      <c r="AH555" t="s">
        <v>157</v>
      </c>
    </row>
    <row r="556" spans="1:61" x14ac:dyDescent="0.25">
      <c r="A556" t="s">
        <v>2109</v>
      </c>
      <c r="B556" t="s">
        <v>148</v>
      </c>
      <c r="C556" s="1">
        <v>45790</v>
      </c>
      <c r="D556" t="s">
        <v>311</v>
      </c>
      <c r="E556" t="s">
        <v>312</v>
      </c>
      <c r="F556" t="s">
        <v>2110</v>
      </c>
      <c r="G556" t="s">
        <v>6045</v>
      </c>
      <c r="H556">
        <v>1249</v>
      </c>
      <c r="I556" t="s">
        <v>6045</v>
      </c>
      <c r="J556">
        <v>184</v>
      </c>
      <c r="K556" t="s">
        <v>5257</v>
      </c>
      <c r="L556" t="s">
        <v>431</v>
      </c>
      <c r="M556" t="s">
        <v>5511</v>
      </c>
      <c r="N556" t="s">
        <v>5512</v>
      </c>
      <c r="O556" t="s">
        <v>2111</v>
      </c>
      <c r="R556">
        <f>1</f>
        <v>1</v>
      </c>
      <c r="S556">
        <f>14.7</f>
        <v>14.7</v>
      </c>
      <c r="T556">
        <f>7</f>
        <v>7</v>
      </c>
      <c r="U556">
        <f>69</f>
        <v>69</v>
      </c>
      <c r="X556">
        <f>0</f>
        <v>0</v>
      </c>
      <c r="Y556" t="s">
        <v>157</v>
      </c>
      <c r="Z556">
        <f>0</f>
        <v>0</v>
      </c>
      <c r="AA556" t="s">
        <v>158</v>
      </c>
      <c r="AB556" t="s">
        <v>158</v>
      </c>
      <c r="AC556">
        <f>0</f>
        <v>0</v>
      </c>
      <c r="AD556">
        <f>0</f>
        <v>0</v>
      </c>
      <c r="AE556">
        <f>0</f>
        <v>0</v>
      </c>
      <c r="AH556" t="s">
        <v>157</v>
      </c>
      <c r="BI556">
        <f>0.24</f>
        <v>0.24</v>
      </c>
    </row>
    <row r="557" spans="1:61" x14ac:dyDescent="0.25">
      <c r="A557" t="s">
        <v>2112</v>
      </c>
      <c r="B557" t="s">
        <v>148</v>
      </c>
      <c r="C557" s="1">
        <v>45880</v>
      </c>
      <c r="D557" t="s">
        <v>618</v>
      </c>
      <c r="E557" t="s">
        <v>619</v>
      </c>
      <c r="F557" t="s">
        <v>730</v>
      </c>
      <c r="G557" t="s">
        <v>1560</v>
      </c>
      <c r="H557">
        <v>49</v>
      </c>
      <c r="I557" t="s">
        <v>1560</v>
      </c>
      <c r="J557">
        <v>350</v>
      </c>
      <c r="K557" t="s">
        <v>5257</v>
      </c>
      <c r="L557" t="s">
        <v>431</v>
      </c>
      <c r="M557" t="s">
        <v>2113</v>
      </c>
      <c r="N557" t="s">
        <v>6046</v>
      </c>
      <c r="O557" t="s">
        <v>2114</v>
      </c>
      <c r="R557">
        <f>1</f>
        <v>1</v>
      </c>
      <c r="S557">
        <f>19.1</f>
        <v>19.100000000000001</v>
      </c>
      <c r="T557">
        <f>8</f>
        <v>8</v>
      </c>
      <c r="U557">
        <f>375</f>
        <v>375</v>
      </c>
      <c r="X557">
        <f>0</f>
        <v>0</v>
      </c>
      <c r="Y557" t="s">
        <v>157</v>
      </c>
      <c r="Z557">
        <f>0</f>
        <v>0</v>
      </c>
      <c r="AA557" t="s">
        <v>158</v>
      </c>
      <c r="AB557" t="s">
        <v>158</v>
      </c>
      <c r="AC557">
        <f>0</f>
        <v>0</v>
      </c>
      <c r="AD557">
        <f>0</f>
        <v>0</v>
      </c>
      <c r="AE557">
        <f>0</f>
        <v>0</v>
      </c>
      <c r="AH557" t="s">
        <v>157</v>
      </c>
      <c r="AI557" t="s">
        <v>238</v>
      </c>
      <c r="AL557" t="s">
        <v>164</v>
      </c>
      <c r="AM557" t="s">
        <v>165</v>
      </c>
      <c r="AN557">
        <f>3.5</f>
        <v>3.5</v>
      </c>
      <c r="AO557">
        <f>0.07</f>
        <v>7.0000000000000007E-2</v>
      </c>
      <c r="AP557">
        <f>13</f>
        <v>13</v>
      </c>
      <c r="AQ557">
        <f>1.2</f>
        <v>1.2</v>
      </c>
      <c r="AR557" t="s">
        <v>157</v>
      </c>
    </row>
    <row r="558" spans="1:61" x14ac:dyDescent="0.25">
      <c r="A558" t="s">
        <v>2115</v>
      </c>
      <c r="B558" t="s">
        <v>148</v>
      </c>
      <c r="C558" s="1">
        <v>45770</v>
      </c>
      <c r="D558" t="s">
        <v>317</v>
      </c>
      <c r="E558" t="s">
        <v>176</v>
      </c>
      <c r="F558" t="s">
        <v>4821</v>
      </c>
      <c r="G558" t="s">
        <v>6702</v>
      </c>
      <c r="H558">
        <v>1659</v>
      </c>
      <c r="I558" t="s">
        <v>6703</v>
      </c>
      <c r="J558">
        <v>250</v>
      </c>
      <c r="K558" t="s">
        <v>4778</v>
      </c>
      <c r="L558" t="s">
        <v>431</v>
      </c>
      <c r="M558" t="s">
        <v>5513</v>
      </c>
      <c r="N558" t="s">
        <v>4822</v>
      </c>
      <c r="O558" t="s">
        <v>2116</v>
      </c>
      <c r="Q558" t="s">
        <v>329</v>
      </c>
      <c r="R558">
        <f>1</f>
        <v>1</v>
      </c>
      <c r="S558">
        <f>9.6</f>
        <v>9.6</v>
      </c>
      <c r="T558">
        <f>8</f>
        <v>8</v>
      </c>
      <c r="U558">
        <f>310</f>
        <v>310</v>
      </c>
      <c r="X558">
        <f>0</f>
        <v>0</v>
      </c>
      <c r="Y558">
        <f>0.53</f>
        <v>0.53</v>
      </c>
      <c r="Z558">
        <f>0</f>
        <v>0</v>
      </c>
      <c r="AA558">
        <f>1</f>
        <v>1</v>
      </c>
      <c r="AB558">
        <f>1</f>
        <v>1</v>
      </c>
      <c r="AC558">
        <f>0</f>
        <v>0</v>
      </c>
      <c r="AD558">
        <f>0</f>
        <v>0</v>
      </c>
      <c r="AE558">
        <f>0</f>
        <v>0</v>
      </c>
      <c r="AH558" t="s">
        <v>157</v>
      </c>
      <c r="BI558" t="s">
        <v>167</v>
      </c>
    </row>
    <row r="559" spans="1:61" x14ac:dyDescent="0.25">
      <c r="A559" t="s">
        <v>2117</v>
      </c>
      <c r="B559" t="s">
        <v>268</v>
      </c>
      <c r="C559" s="1">
        <v>45770</v>
      </c>
      <c r="D559" t="s">
        <v>317</v>
      </c>
      <c r="E559" t="s">
        <v>176</v>
      </c>
      <c r="F559" t="s">
        <v>5015</v>
      </c>
      <c r="G559" t="s">
        <v>6704</v>
      </c>
      <c r="H559">
        <v>1661</v>
      </c>
      <c r="I559" t="s">
        <v>6705</v>
      </c>
      <c r="J559">
        <v>350</v>
      </c>
      <c r="K559" t="s">
        <v>4778</v>
      </c>
      <c r="L559" t="s">
        <v>431</v>
      </c>
      <c r="M559" t="s">
        <v>5514</v>
      </c>
      <c r="N559" t="s">
        <v>2118</v>
      </c>
      <c r="O559" t="s">
        <v>2119</v>
      </c>
      <c r="Q559" t="s">
        <v>329</v>
      </c>
      <c r="R559">
        <f>1</f>
        <v>1</v>
      </c>
      <c r="S559">
        <f>11.7</f>
        <v>11.7</v>
      </c>
      <c r="T559">
        <f>7.8</f>
        <v>7.8</v>
      </c>
      <c r="U559">
        <f>271</f>
        <v>271</v>
      </c>
      <c r="X559">
        <f>0</f>
        <v>0</v>
      </c>
      <c r="Y559" t="s">
        <v>157</v>
      </c>
      <c r="Z559">
        <f>0</f>
        <v>0</v>
      </c>
      <c r="AA559">
        <f>1</f>
        <v>1</v>
      </c>
      <c r="AB559">
        <f>1</f>
        <v>1</v>
      </c>
      <c r="AC559">
        <f>0</f>
        <v>0</v>
      </c>
      <c r="AD559">
        <f>0</f>
        <v>0</v>
      </c>
      <c r="AE559">
        <f>6</f>
        <v>6</v>
      </c>
      <c r="AH559" t="s">
        <v>157</v>
      </c>
      <c r="BI559" t="s">
        <v>167</v>
      </c>
    </row>
    <row r="560" spans="1:61" x14ac:dyDescent="0.25">
      <c r="A560" t="s">
        <v>2120</v>
      </c>
      <c r="B560" t="s">
        <v>268</v>
      </c>
      <c r="C560" s="1">
        <v>45776</v>
      </c>
      <c r="D560" t="s">
        <v>317</v>
      </c>
      <c r="E560" t="s">
        <v>176</v>
      </c>
      <c r="F560" t="s">
        <v>5515</v>
      </c>
      <c r="G560" t="s">
        <v>6047</v>
      </c>
      <c r="H560">
        <v>1662</v>
      </c>
      <c r="I560" t="s">
        <v>6048</v>
      </c>
      <c r="J560">
        <v>330</v>
      </c>
      <c r="K560" t="s">
        <v>4778</v>
      </c>
      <c r="L560" t="s">
        <v>431</v>
      </c>
      <c r="M560" t="s">
        <v>2121</v>
      </c>
      <c r="N560" t="s">
        <v>2122</v>
      </c>
      <c r="O560" t="s">
        <v>2123</v>
      </c>
      <c r="Q560" t="s">
        <v>6301</v>
      </c>
      <c r="R560">
        <f>1</f>
        <v>1</v>
      </c>
      <c r="S560">
        <f>12</f>
        <v>12</v>
      </c>
      <c r="T560">
        <f>7.9</f>
        <v>7.9</v>
      </c>
      <c r="U560">
        <f>280</f>
        <v>280</v>
      </c>
      <c r="X560">
        <f>0</f>
        <v>0</v>
      </c>
      <c r="Y560">
        <f>0.42</f>
        <v>0.42</v>
      </c>
      <c r="Z560">
        <f>0</f>
        <v>0</v>
      </c>
      <c r="AA560">
        <f>3</f>
        <v>3</v>
      </c>
      <c r="AB560">
        <f>3</f>
        <v>3</v>
      </c>
      <c r="AC560">
        <f>1</f>
        <v>1</v>
      </c>
      <c r="AD560">
        <f>0</f>
        <v>0</v>
      </c>
      <c r="AE560">
        <f>0</f>
        <v>0</v>
      </c>
      <c r="AH560" t="s">
        <v>157</v>
      </c>
      <c r="BI560" t="s">
        <v>167</v>
      </c>
    </row>
    <row r="561" spans="1:148" x14ac:dyDescent="0.25">
      <c r="A561" t="s">
        <v>2124</v>
      </c>
      <c r="B561" t="s">
        <v>148</v>
      </c>
      <c r="C561" s="1">
        <v>45770</v>
      </c>
      <c r="D561" t="s">
        <v>317</v>
      </c>
      <c r="E561" t="s">
        <v>176</v>
      </c>
      <c r="F561" t="s">
        <v>6049</v>
      </c>
      <c r="G561" t="s">
        <v>6706</v>
      </c>
      <c r="H561">
        <v>1665</v>
      </c>
      <c r="I561" t="s">
        <v>6707</v>
      </c>
      <c r="J561">
        <v>320</v>
      </c>
      <c r="K561" t="s">
        <v>4778</v>
      </c>
      <c r="L561" t="s">
        <v>431</v>
      </c>
      <c r="M561" t="s">
        <v>6050</v>
      </c>
      <c r="N561" t="s">
        <v>6051</v>
      </c>
      <c r="O561" t="s">
        <v>2125</v>
      </c>
      <c r="Q561" t="s">
        <v>329</v>
      </c>
      <c r="R561">
        <f>1</f>
        <v>1</v>
      </c>
      <c r="S561">
        <f>12.6</f>
        <v>12.6</v>
      </c>
      <c r="T561">
        <f>7.6</f>
        <v>7.6</v>
      </c>
      <c r="U561">
        <f>319</f>
        <v>319</v>
      </c>
      <c r="X561">
        <f>0</f>
        <v>0</v>
      </c>
      <c r="Y561" t="s">
        <v>157</v>
      </c>
      <c r="Z561">
        <f>0</f>
        <v>0</v>
      </c>
      <c r="AA561">
        <f>7</f>
        <v>7</v>
      </c>
      <c r="AB561">
        <f>6</f>
        <v>6</v>
      </c>
      <c r="AC561">
        <f>0</f>
        <v>0</v>
      </c>
      <c r="AD561">
        <f>0</f>
        <v>0</v>
      </c>
      <c r="AE561">
        <f>0</f>
        <v>0</v>
      </c>
      <c r="AH561" t="s">
        <v>157</v>
      </c>
      <c r="BI561" t="s">
        <v>167</v>
      </c>
    </row>
    <row r="562" spans="1:148" x14ac:dyDescent="0.25">
      <c r="A562" t="s">
        <v>2126</v>
      </c>
      <c r="B562" t="s">
        <v>148</v>
      </c>
      <c r="C562" s="1">
        <v>45776</v>
      </c>
      <c r="D562" t="s">
        <v>317</v>
      </c>
      <c r="E562" t="s">
        <v>176</v>
      </c>
      <c r="F562" t="s">
        <v>4821</v>
      </c>
      <c r="G562" t="s">
        <v>6052</v>
      </c>
      <c r="H562">
        <v>1669</v>
      </c>
      <c r="I562" t="s">
        <v>6053</v>
      </c>
      <c r="J562">
        <v>210</v>
      </c>
      <c r="K562" t="s">
        <v>4778</v>
      </c>
      <c r="L562" t="s">
        <v>431</v>
      </c>
      <c r="M562" t="s">
        <v>5384</v>
      </c>
      <c r="N562" t="s">
        <v>5516</v>
      </c>
      <c r="O562" t="s">
        <v>2127</v>
      </c>
      <c r="Q562" t="s">
        <v>329</v>
      </c>
      <c r="R562">
        <f>1</f>
        <v>1</v>
      </c>
      <c r="S562">
        <f>10.4</f>
        <v>10.4</v>
      </c>
      <c r="T562">
        <f>7.4</f>
        <v>7.4</v>
      </c>
      <c r="U562">
        <f>401</f>
        <v>401</v>
      </c>
      <c r="X562">
        <f>0</f>
        <v>0</v>
      </c>
      <c r="Y562" t="s">
        <v>157</v>
      </c>
      <c r="Z562">
        <f>0</f>
        <v>0</v>
      </c>
      <c r="AA562">
        <f>5</f>
        <v>5</v>
      </c>
      <c r="AB562">
        <f>0</f>
        <v>0</v>
      </c>
      <c r="AC562">
        <f>0</f>
        <v>0</v>
      </c>
      <c r="AD562">
        <f>0</f>
        <v>0</v>
      </c>
      <c r="AE562">
        <f>0</f>
        <v>0</v>
      </c>
      <c r="AH562" t="s">
        <v>157</v>
      </c>
      <c r="BI562" t="s">
        <v>167</v>
      </c>
    </row>
    <row r="563" spans="1:148" x14ac:dyDescent="0.25">
      <c r="A563" t="s">
        <v>2128</v>
      </c>
      <c r="B563" t="s">
        <v>148</v>
      </c>
      <c r="C563" s="1">
        <v>45728</v>
      </c>
      <c r="D563" t="s">
        <v>618</v>
      </c>
      <c r="E563" t="s">
        <v>619</v>
      </c>
      <c r="F563" t="s">
        <v>730</v>
      </c>
      <c r="G563" t="s">
        <v>6054</v>
      </c>
      <c r="H563">
        <v>661</v>
      </c>
      <c r="I563" t="s">
        <v>6054</v>
      </c>
      <c r="J563">
        <v>200</v>
      </c>
      <c r="K563" t="s">
        <v>5254</v>
      </c>
      <c r="L563" t="s">
        <v>180</v>
      </c>
      <c r="M563" t="s">
        <v>5517</v>
      </c>
      <c r="N563" t="s">
        <v>5518</v>
      </c>
      <c r="O563" t="s">
        <v>2129</v>
      </c>
      <c r="R563">
        <f>1</f>
        <v>1</v>
      </c>
      <c r="S563">
        <f>6.8</f>
        <v>6.8</v>
      </c>
      <c r="T563">
        <f>8</f>
        <v>8</v>
      </c>
      <c r="U563">
        <f>413</f>
        <v>413</v>
      </c>
      <c r="X563">
        <f>0</f>
        <v>0</v>
      </c>
      <c r="Y563">
        <f>0.1</f>
        <v>0.1</v>
      </c>
      <c r="Z563">
        <f>0</f>
        <v>0</v>
      </c>
      <c r="AA563" t="s">
        <v>158</v>
      </c>
      <c r="AB563" t="s">
        <v>158</v>
      </c>
      <c r="AD563">
        <f>0</f>
        <v>0</v>
      </c>
      <c r="AE563">
        <f>0</f>
        <v>0</v>
      </c>
      <c r="AH563" t="s">
        <v>157</v>
      </c>
    </row>
    <row r="564" spans="1:148" x14ac:dyDescent="0.25">
      <c r="A564" t="s">
        <v>2130</v>
      </c>
      <c r="B564" t="s">
        <v>148</v>
      </c>
      <c r="C564" s="1">
        <v>45726</v>
      </c>
      <c r="D564" t="s">
        <v>242</v>
      </c>
      <c r="E564" t="s">
        <v>243</v>
      </c>
      <c r="F564" t="s">
        <v>884</v>
      </c>
      <c r="G564" t="s">
        <v>6579</v>
      </c>
      <c r="H564">
        <v>1809</v>
      </c>
      <c r="I564" t="s">
        <v>6708</v>
      </c>
      <c r="J564">
        <v>280</v>
      </c>
      <c r="K564" t="s">
        <v>5254</v>
      </c>
      <c r="L564" t="s">
        <v>393</v>
      </c>
      <c r="M564" t="s">
        <v>5519</v>
      </c>
      <c r="N564" t="s">
        <v>6055</v>
      </c>
      <c r="O564" t="s">
        <v>2131</v>
      </c>
      <c r="R564">
        <f>1</f>
        <v>1</v>
      </c>
      <c r="S564">
        <f>8.4</f>
        <v>8.4</v>
      </c>
      <c r="T564">
        <f>7.9</f>
        <v>7.9</v>
      </c>
      <c r="U564">
        <f>504</f>
        <v>504</v>
      </c>
      <c r="X564">
        <f>0</f>
        <v>0</v>
      </c>
      <c r="Y564" t="s">
        <v>157</v>
      </c>
      <c r="Z564">
        <f>0</f>
        <v>0</v>
      </c>
      <c r="AA564" t="s">
        <v>158</v>
      </c>
      <c r="AB564" t="s">
        <v>158</v>
      </c>
      <c r="AD564">
        <f>0</f>
        <v>0</v>
      </c>
      <c r="AE564">
        <f>0</f>
        <v>0</v>
      </c>
      <c r="AH564" t="s">
        <v>157</v>
      </c>
    </row>
    <row r="565" spans="1:148" x14ac:dyDescent="0.25">
      <c r="A565" t="s">
        <v>2132</v>
      </c>
      <c r="B565" t="s">
        <v>148</v>
      </c>
      <c r="C565" s="1">
        <v>45782</v>
      </c>
      <c r="D565" t="s">
        <v>269</v>
      </c>
      <c r="E565" t="s">
        <v>270</v>
      </c>
      <c r="F565" t="s">
        <v>754</v>
      </c>
      <c r="G565" t="s">
        <v>2133</v>
      </c>
      <c r="H565">
        <v>139</v>
      </c>
      <c r="I565" t="s">
        <v>2133</v>
      </c>
      <c r="J565">
        <v>380</v>
      </c>
      <c r="K565" t="s">
        <v>5257</v>
      </c>
      <c r="L565" t="s">
        <v>4947</v>
      </c>
      <c r="M565" t="s">
        <v>5520</v>
      </c>
      <c r="N565" t="s">
        <v>6056</v>
      </c>
      <c r="O565" t="s">
        <v>2134</v>
      </c>
      <c r="Q565" t="s">
        <v>6376</v>
      </c>
      <c r="R565">
        <f>1</f>
        <v>1</v>
      </c>
      <c r="S565">
        <f>13.1</f>
        <v>13.1</v>
      </c>
      <c r="T565">
        <f>7.7</f>
        <v>7.7</v>
      </c>
      <c r="U565">
        <f>436</f>
        <v>436</v>
      </c>
      <c r="V565">
        <f>0.27</f>
        <v>0.27</v>
      </c>
      <c r="X565">
        <f>0</f>
        <v>0</v>
      </c>
      <c r="Y565">
        <f>0.42</f>
        <v>0.42</v>
      </c>
      <c r="Z565">
        <f>0</f>
        <v>0</v>
      </c>
      <c r="AA565" t="s">
        <v>158</v>
      </c>
      <c r="AB565" t="s">
        <v>158</v>
      </c>
      <c r="AC565">
        <f>0</f>
        <v>0</v>
      </c>
      <c r="AD565">
        <f>0</f>
        <v>0</v>
      </c>
      <c r="AE565">
        <f>0</f>
        <v>0</v>
      </c>
      <c r="AH565" t="s">
        <v>166</v>
      </c>
    </row>
    <row r="566" spans="1:148" x14ac:dyDescent="0.25">
      <c r="A566" t="s">
        <v>2135</v>
      </c>
      <c r="B566" t="s">
        <v>148</v>
      </c>
      <c r="C566" s="1">
        <v>45727</v>
      </c>
      <c r="D566" t="s">
        <v>175</v>
      </c>
      <c r="E566" t="s">
        <v>176</v>
      </c>
      <c r="F566" t="s">
        <v>1637</v>
      </c>
      <c r="G566" t="s">
        <v>2136</v>
      </c>
      <c r="H566">
        <v>177</v>
      </c>
      <c r="I566" t="s">
        <v>2136</v>
      </c>
      <c r="J566">
        <v>831</v>
      </c>
      <c r="K566" t="s">
        <v>5254</v>
      </c>
      <c r="L566" t="s">
        <v>154</v>
      </c>
      <c r="M566" t="s">
        <v>6709</v>
      </c>
      <c r="N566" t="s">
        <v>2137</v>
      </c>
      <c r="O566" t="s">
        <v>2138</v>
      </c>
      <c r="R566">
        <f>1</f>
        <v>1</v>
      </c>
      <c r="S566">
        <f>9.7</f>
        <v>9.6999999999999993</v>
      </c>
      <c r="T566">
        <f>7.8</f>
        <v>7.8</v>
      </c>
      <c r="U566">
        <f>474</f>
        <v>474</v>
      </c>
      <c r="V566">
        <f>0.17</f>
        <v>0.17</v>
      </c>
      <c r="X566">
        <f>1</f>
        <v>1</v>
      </c>
      <c r="Y566" t="s">
        <v>157</v>
      </c>
      <c r="Z566">
        <f>0</f>
        <v>0</v>
      </c>
      <c r="AA566" t="s">
        <v>158</v>
      </c>
      <c r="AB566" t="s">
        <v>158</v>
      </c>
      <c r="AD566">
        <f>0</f>
        <v>0</v>
      </c>
      <c r="AE566">
        <f>0</f>
        <v>0</v>
      </c>
    </row>
    <row r="567" spans="1:148" x14ac:dyDescent="0.25">
      <c r="A567" t="s">
        <v>2139</v>
      </c>
      <c r="B567" t="s">
        <v>148</v>
      </c>
      <c r="C567" s="1">
        <v>45727</v>
      </c>
      <c r="D567" t="s">
        <v>175</v>
      </c>
      <c r="E567" t="s">
        <v>176</v>
      </c>
      <c r="F567" t="s">
        <v>4773</v>
      </c>
      <c r="G567" t="s">
        <v>2140</v>
      </c>
      <c r="H567">
        <v>1018</v>
      </c>
      <c r="I567" t="s">
        <v>2141</v>
      </c>
      <c r="J567">
        <v>326</v>
      </c>
      <c r="K567" t="s">
        <v>5254</v>
      </c>
      <c r="L567" t="s">
        <v>4966</v>
      </c>
      <c r="M567" t="s">
        <v>5521</v>
      </c>
      <c r="N567" t="s">
        <v>2142</v>
      </c>
      <c r="O567" t="s">
        <v>2143</v>
      </c>
      <c r="R567">
        <f>1</f>
        <v>1</v>
      </c>
      <c r="S567">
        <f>7.9</f>
        <v>7.9</v>
      </c>
      <c r="T567">
        <f>7.2</f>
        <v>7.2</v>
      </c>
      <c r="U567">
        <f>614</f>
        <v>614</v>
      </c>
      <c r="X567">
        <f>0</f>
        <v>0</v>
      </c>
      <c r="Y567" t="s">
        <v>157</v>
      </c>
      <c r="Z567">
        <f>0</f>
        <v>0</v>
      </c>
      <c r="AA567" t="s">
        <v>158</v>
      </c>
      <c r="AB567" t="s">
        <v>158</v>
      </c>
      <c r="AD567">
        <f>0</f>
        <v>0</v>
      </c>
      <c r="AE567">
        <f>0</f>
        <v>0</v>
      </c>
    </row>
    <row r="568" spans="1:148" x14ac:dyDescent="0.25">
      <c r="A568" t="s">
        <v>2144</v>
      </c>
      <c r="B568" t="s">
        <v>268</v>
      </c>
      <c r="C568" s="1">
        <v>45721</v>
      </c>
      <c r="D568" t="s">
        <v>311</v>
      </c>
      <c r="E568" t="s">
        <v>312</v>
      </c>
      <c r="F568" t="s">
        <v>1465</v>
      </c>
      <c r="G568" t="s">
        <v>5522</v>
      </c>
      <c r="H568">
        <v>1678</v>
      </c>
      <c r="I568" t="s">
        <v>5522</v>
      </c>
      <c r="J568">
        <v>240</v>
      </c>
      <c r="K568" t="s">
        <v>5257</v>
      </c>
      <c r="M568" t="s">
        <v>5523</v>
      </c>
      <c r="N568" t="s">
        <v>2145</v>
      </c>
      <c r="O568" t="s">
        <v>2146</v>
      </c>
      <c r="R568">
        <f>1</f>
        <v>1</v>
      </c>
      <c r="S568">
        <f>7.5</f>
        <v>7.5</v>
      </c>
      <c r="T568">
        <f>6.7</f>
        <v>6.7</v>
      </c>
      <c r="U568">
        <f>226</f>
        <v>226</v>
      </c>
      <c r="X568">
        <f>0</f>
        <v>0</v>
      </c>
      <c r="Y568" t="s">
        <v>157</v>
      </c>
      <c r="Z568">
        <f>0</f>
        <v>0</v>
      </c>
      <c r="AA568">
        <f>10</f>
        <v>10</v>
      </c>
      <c r="AB568">
        <f>17</f>
        <v>17</v>
      </c>
      <c r="AC568">
        <f>0</f>
        <v>0</v>
      </c>
      <c r="AD568">
        <f>0</f>
        <v>0</v>
      </c>
      <c r="AE568">
        <f>52</f>
        <v>52</v>
      </c>
      <c r="AH568" t="s">
        <v>157</v>
      </c>
    </row>
    <row r="569" spans="1:148" x14ac:dyDescent="0.25">
      <c r="A569" t="s">
        <v>2147</v>
      </c>
      <c r="B569" t="s">
        <v>268</v>
      </c>
      <c r="C569" s="1">
        <v>45733</v>
      </c>
      <c r="D569" t="s">
        <v>175</v>
      </c>
      <c r="E569" t="s">
        <v>176</v>
      </c>
      <c r="F569" t="s">
        <v>6615</v>
      </c>
      <c r="G569" t="s">
        <v>5168</v>
      </c>
      <c r="H569">
        <v>587</v>
      </c>
      <c r="I569" t="s">
        <v>5168</v>
      </c>
      <c r="J569">
        <v>703</v>
      </c>
      <c r="K569" t="s">
        <v>5254</v>
      </c>
      <c r="L569" t="s">
        <v>4947</v>
      </c>
      <c r="M569" t="s">
        <v>5524</v>
      </c>
      <c r="N569" t="s">
        <v>2148</v>
      </c>
      <c r="O569" t="s">
        <v>2149</v>
      </c>
      <c r="R569">
        <f>1</f>
        <v>1</v>
      </c>
      <c r="S569">
        <f>10.8</f>
        <v>10.8</v>
      </c>
      <c r="T569">
        <f>7.6</f>
        <v>7.6</v>
      </c>
      <c r="U569">
        <f>507</f>
        <v>507</v>
      </c>
      <c r="X569">
        <f>0</f>
        <v>0</v>
      </c>
      <c r="Y569" t="s">
        <v>157</v>
      </c>
      <c r="Z569">
        <f>0</f>
        <v>0</v>
      </c>
      <c r="AA569" t="s">
        <v>158</v>
      </c>
      <c r="AB569" t="s">
        <v>158</v>
      </c>
      <c r="AD569">
        <f>0</f>
        <v>0</v>
      </c>
      <c r="AE569">
        <f>50</f>
        <v>50</v>
      </c>
    </row>
    <row r="570" spans="1:148" x14ac:dyDescent="0.25">
      <c r="A570" t="s">
        <v>2150</v>
      </c>
      <c r="B570" t="s">
        <v>148</v>
      </c>
      <c r="C570" s="1">
        <v>45758</v>
      </c>
      <c r="D570" t="s">
        <v>311</v>
      </c>
      <c r="E570" t="s">
        <v>312</v>
      </c>
      <c r="F570" t="s">
        <v>1465</v>
      </c>
      <c r="G570" t="s">
        <v>6057</v>
      </c>
      <c r="H570">
        <v>1553</v>
      </c>
      <c r="I570" t="s">
        <v>6057</v>
      </c>
      <c r="J570">
        <v>350</v>
      </c>
      <c r="K570" t="s">
        <v>5257</v>
      </c>
      <c r="M570" t="s">
        <v>2151</v>
      </c>
      <c r="N570" t="s">
        <v>6058</v>
      </c>
      <c r="O570" t="s">
        <v>2152</v>
      </c>
      <c r="R570">
        <f>1</f>
        <v>1</v>
      </c>
      <c r="S570">
        <f>10.5</f>
        <v>10.5</v>
      </c>
      <c r="T570">
        <f>7.1</f>
        <v>7.1</v>
      </c>
      <c r="U570">
        <f>95</f>
        <v>95</v>
      </c>
      <c r="X570">
        <f>0</f>
        <v>0</v>
      </c>
      <c r="Y570" t="s">
        <v>157</v>
      </c>
      <c r="Z570">
        <f>0</f>
        <v>0</v>
      </c>
      <c r="AA570" t="s">
        <v>158</v>
      </c>
      <c r="AB570" t="s">
        <v>158</v>
      </c>
      <c r="AC570">
        <f>0</f>
        <v>0</v>
      </c>
      <c r="AD570">
        <f>0</f>
        <v>0</v>
      </c>
      <c r="AE570">
        <f>0</f>
        <v>0</v>
      </c>
      <c r="AH570" t="s">
        <v>157</v>
      </c>
    </row>
    <row r="571" spans="1:148" x14ac:dyDescent="0.25">
      <c r="A571" t="s">
        <v>2153</v>
      </c>
      <c r="B571" t="s">
        <v>268</v>
      </c>
      <c r="C571" s="1">
        <v>45839</v>
      </c>
      <c r="D571" t="s">
        <v>175</v>
      </c>
      <c r="E571" t="s">
        <v>649</v>
      </c>
      <c r="F571" t="s">
        <v>1191</v>
      </c>
      <c r="G571" t="s">
        <v>2154</v>
      </c>
      <c r="H571">
        <v>1683</v>
      </c>
      <c r="I571" t="s">
        <v>2155</v>
      </c>
      <c r="J571">
        <v>686</v>
      </c>
      <c r="K571" t="s">
        <v>5254</v>
      </c>
      <c r="L571" t="s">
        <v>431</v>
      </c>
      <c r="M571" t="s">
        <v>5525</v>
      </c>
      <c r="N571" t="s">
        <v>2156</v>
      </c>
      <c r="O571" t="s">
        <v>2157</v>
      </c>
      <c r="R571">
        <f>1</f>
        <v>1</v>
      </c>
      <c r="T571">
        <f>8</f>
        <v>8</v>
      </c>
      <c r="U571">
        <f>399</f>
        <v>399</v>
      </c>
      <c r="X571">
        <f>0</f>
        <v>0</v>
      </c>
      <c r="Y571" t="s">
        <v>157</v>
      </c>
      <c r="Z571">
        <f>0</f>
        <v>0</v>
      </c>
      <c r="AA571">
        <f>63</f>
        <v>63</v>
      </c>
      <c r="AB571" t="s">
        <v>705</v>
      </c>
      <c r="AD571">
        <f>0</f>
        <v>0</v>
      </c>
      <c r="AE571">
        <f>0</f>
        <v>0</v>
      </c>
      <c r="AH571" t="s">
        <v>157</v>
      </c>
      <c r="AI571" t="s">
        <v>238</v>
      </c>
      <c r="AL571" t="s">
        <v>164</v>
      </c>
      <c r="AM571" t="s">
        <v>165</v>
      </c>
      <c r="AN571">
        <f>4.4</f>
        <v>4.4000000000000004</v>
      </c>
      <c r="AO571">
        <f>0.09</f>
        <v>0.09</v>
      </c>
      <c r="AP571">
        <f>10</f>
        <v>10</v>
      </c>
      <c r="AQ571">
        <f>2.7</f>
        <v>2.7</v>
      </c>
      <c r="AR571" t="s">
        <v>157</v>
      </c>
      <c r="AS571">
        <f>1.6</f>
        <v>1.6</v>
      </c>
      <c r="AY571" t="s">
        <v>167</v>
      </c>
      <c r="AZ571" t="s">
        <v>158</v>
      </c>
      <c r="BA571" t="s">
        <v>216</v>
      </c>
      <c r="BB571" t="s">
        <v>158</v>
      </c>
      <c r="BC571" t="s">
        <v>166</v>
      </c>
      <c r="BD571" t="s">
        <v>167</v>
      </c>
      <c r="BE571">
        <f>0.018</f>
        <v>1.7999999999999999E-2</v>
      </c>
      <c r="BF571" t="s">
        <v>168</v>
      </c>
      <c r="BG571" t="s">
        <v>167</v>
      </c>
      <c r="BH571" t="s">
        <v>167</v>
      </c>
      <c r="BK571">
        <f>0.33</f>
        <v>0.33</v>
      </c>
      <c r="EL571">
        <f>0.76</f>
        <v>0.76</v>
      </c>
      <c r="EM571" t="s">
        <v>166</v>
      </c>
      <c r="EN571">
        <f>0.69</f>
        <v>0.69</v>
      </c>
      <c r="EO571">
        <f>0.68</f>
        <v>0.68</v>
      </c>
      <c r="ER571">
        <f>2.1</f>
        <v>2.1</v>
      </c>
    </row>
    <row r="572" spans="1:148" x14ac:dyDescent="0.25">
      <c r="A572" t="s">
        <v>2158</v>
      </c>
      <c r="B572" t="s">
        <v>148</v>
      </c>
      <c r="C572" s="1">
        <v>45751</v>
      </c>
      <c r="D572" t="s">
        <v>175</v>
      </c>
      <c r="E572" t="s">
        <v>649</v>
      </c>
      <c r="F572" t="s">
        <v>1191</v>
      </c>
      <c r="G572" t="s">
        <v>2159</v>
      </c>
      <c r="H572">
        <v>1684</v>
      </c>
      <c r="I572" t="s">
        <v>2160</v>
      </c>
      <c r="J572">
        <v>372</v>
      </c>
      <c r="K572" t="s">
        <v>5331</v>
      </c>
      <c r="L572" t="s">
        <v>431</v>
      </c>
      <c r="M572" t="s">
        <v>5526</v>
      </c>
      <c r="N572" t="s">
        <v>2161</v>
      </c>
      <c r="O572" t="s">
        <v>2162</v>
      </c>
      <c r="R572">
        <f>1</f>
        <v>1</v>
      </c>
      <c r="S572">
        <f>9.8</f>
        <v>9.8000000000000007</v>
      </c>
      <c r="T572">
        <f>7.9</f>
        <v>7.9</v>
      </c>
      <c r="U572">
        <f>350</f>
        <v>350</v>
      </c>
      <c r="V572">
        <f>0.35</f>
        <v>0.35</v>
      </c>
      <c r="X572">
        <f>0</f>
        <v>0</v>
      </c>
      <c r="Y572" t="s">
        <v>157</v>
      </c>
      <c r="Z572">
        <f>0</f>
        <v>0</v>
      </c>
      <c r="AA572" t="s">
        <v>158</v>
      </c>
      <c r="AB572" t="s">
        <v>158</v>
      </c>
      <c r="AC572">
        <f>0</f>
        <v>0</v>
      </c>
      <c r="AD572">
        <f>0</f>
        <v>0</v>
      </c>
      <c r="AE572">
        <f>0</f>
        <v>0</v>
      </c>
      <c r="AH572" t="s">
        <v>157</v>
      </c>
    </row>
    <row r="573" spans="1:148" x14ac:dyDescent="0.25">
      <c r="A573" t="s">
        <v>2163</v>
      </c>
      <c r="B573" t="s">
        <v>148</v>
      </c>
      <c r="C573" s="1">
        <v>45742</v>
      </c>
      <c r="D573" t="s">
        <v>317</v>
      </c>
      <c r="E573" t="s">
        <v>318</v>
      </c>
      <c r="F573" t="s">
        <v>338</v>
      </c>
      <c r="G573" t="s">
        <v>2164</v>
      </c>
      <c r="H573">
        <v>57</v>
      </c>
      <c r="I573" t="s">
        <v>2165</v>
      </c>
      <c r="J573">
        <v>350</v>
      </c>
      <c r="K573" t="s">
        <v>5254</v>
      </c>
      <c r="L573" t="s">
        <v>393</v>
      </c>
      <c r="M573" t="s">
        <v>5169</v>
      </c>
      <c r="N573" t="s">
        <v>2166</v>
      </c>
      <c r="O573" t="s">
        <v>2167</v>
      </c>
      <c r="Q573" t="s">
        <v>6301</v>
      </c>
      <c r="R573">
        <f>1</f>
        <v>1</v>
      </c>
      <c r="S573">
        <f>6.1</f>
        <v>6.1</v>
      </c>
      <c r="T573">
        <f>8</f>
        <v>8</v>
      </c>
      <c r="U573">
        <f>247</f>
        <v>247</v>
      </c>
      <c r="X573">
        <f>0</f>
        <v>0</v>
      </c>
      <c r="Y573" t="s">
        <v>157</v>
      </c>
      <c r="Z573">
        <f>0</f>
        <v>0</v>
      </c>
      <c r="AA573">
        <f>3</f>
        <v>3</v>
      </c>
      <c r="AB573">
        <f>0</f>
        <v>0</v>
      </c>
      <c r="AD573">
        <f>0</f>
        <v>0</v>
      </c>
      <c r="AE573">
        <f>0</f>
        <v>0</v>
      </c>
      <c r="AH573" t="s">
        <v>157</v>
      </c>
    </row>
    <row r="574" spans="1:148" x14ac:dyDescent="0.25">
      <c r="A574" t="s">
        <v>2168</v>
      </c>
      <c r="B574" t="s">
        <v>148</v>
      </c>
      <c r="C574" s="1">
        <v>45862</v>
      </c>
      <c r="D574" t="s">
        <v>222</v>
      </c>
      <c r="E574" t="s">
        <v>223</v>
      </c>
      <c r="F574" t="s">
        <v>469</v>
      </c>
      <c r="G574" t="s">
        <v>5170</v>
      </c>
      <c r="H574">
        <v>418</v>
      </c>
      <c r="I574" t="s">
        <v>5170</v>
      </c>
      <c r="J574">
        <v>172</v>
      </c>
      <c r="K574" t="s">
        <v>5257</v>
      </c>
      <c r="L574" t="s">
        <v>393</v>
      </c>
      <c r="M574" t="s">
        <v>5527</v>
      </c>
      <c r="N574" t="s">
        <v>4823</v>
      </c>
      <c r="O574" t="s">
        <v>2169</v>
      </c>
      <c r="R574">
        <f>1</f>
        <v>1</v>
      </c>
      <c r="S574">
        <f>22.1</f>
        <v>22.1</v>
      </c>
      <c r="T574">
        <f>7.9</f>
        <v>7.9</v>
      </c>
      <c r="U574">
        <f>349</f>
        <v>349</v>
      </c>
      <c r="X574">
        <f>1</f>
        <v>1</v>
      </c>
      <c r="Y574">
        <f>0.14</f>
        <v>0.14000000000000001</v>
      </c>
      <c r="Z574">
        <f>0</f>
        <v>0</v>
      </c>
      <c r="AA574">
        <f>2</f>
        <v>2</v>
      </c>
      <c r="AB574">
        <f>0</f>
        <v>0</v>
      </c>
      <c r="AC574">
        <f>0</f>
        <v>0</v>
      </c>
      <c r="AD574">
        <f>0</f>
        <v>0</v>
      </c>
      <c r="AE574">
        <f>0</f>
        <v>0</v>
      </c>
      <c r="AH574" t="s">
        <v>166</v>
      </c>
    </row>
    <row r="575" spans="1:148" x14ac:dyDescent="0.25">
      <c r="A575" t="s">
        <v>2170</v>
      </c>
      <c r="B575" t="s">
        <v>148</v>
      </c>
      <c r="C575" s="1">
        <v>45817</v>
      </c>
      <c r="D575" t="s">
        <v>222</v>
      </c>
      <c r="E575" t="s">
        <v>223</v>
      </c>
      <c r="F575" t="s">
        <v>469</v>
      </c>
      <c r="G575" t="s">
        <v>5171</v>
      </c>
      <c r="H575">
        <v>271</v>
      </c>
      <c r="I575" t="s">
        <v>5171</v>
      </c>
      <c r="J575">
        <v>129</v>
      </c>
      <c r="K575" t="s">
        <v>5257</v>
      </c>
      <c r="L575" t="s">
        <v>431</v>
      </c>
      <c r="M575" t="s">
        <v>5487</v>
      </c>
      <c r="N575" t="s">
        <v>5016</v>
      </c>
      <c r="O575" t="s">
        <v>2171</v>
      </c>
      <c r="R575">
        <f>1</f>
        <v>1</v>
      </c>
      <c r="S575">
        <f>16.2</f>
        <v>16.2</v>
      </c>
      <c r="T575">
        <f>8.2</f>
        <v>8.1999999999999993</v>
      </c>
      <c r="U575">
        <f>240</f>
        <v>240</v>
      </c>
      <c r="V575">
        <f>0.06</f>
        <v>0.06</v>
      </c>
      <c r="X575">
        <f>1</f>
        <v>1</v>
      </c>
      <c r="Y575">
        <f>0.2</f>
        <v>0.2</v>
      </c>
      <c r="Z575">
        <f>0</f>
        <v>0</v>
      </c>
      <c r="AA575">
        <f>0</f>
        <v>0</v>
      </c>
      <c r="AB575">
        <f>0</f>
        <v>0</v>
      </c>
      <c r="AC575">
        <f>0</f>
        <v>0</v>
      </c>
      <c r="AD575">
        <f>0</f>
        <v>0</v>
      </c>
      <c r="AE575">
        <f>0</f>
        <v>0</v>
      </c>
      <c r="AH575" t="s">
        <v>166</v>
      </c>
      <c r="AI575">
        <f>0.3</f>
        <v>0.3</v>
      </c>
      <c r="AL575" t="s">
        <v>168</v>
      </c>
      <c r="AM575" t="s">
        <v>164</v>
      </c>
      <c r="AN575">
        <f>2.4</f>
        <v>2.4</v>
      </c>
      <c r="AO575">
        <f>0.05</f>
        <v>0.05</v>
      </c>
      <c r="AP575">
        <f>4.8</f>
        <v>4.8</v>
      </c>
      <c r="AQ575" t="s">
        <v>167</v>
      </c>
      <c r="AR575" t="s">
        <v>167</v>
      </c>
    </row>
    <row r="576" spans="1:148" x14ac:dyDescent="0.25">
      <c r="A576" t="s">
        <v>2172</v>
      </c>
      <c r="B576" t="s">
        <v>148</v>
      </c>
      <c r="C576" s="1">
        <v>45889</v>
      </c>
      <c r="D576" t="s">
        <v>222</v>
      </c>
      <c r="E576" t="s">
        <v>223</v>
      </c>
      <c r="F576" t="s">
        <v>469</v>
      </c>
      <c r="G576" t="s">
        <v>6710</v>
      </c>
      <c r="H576">
        <v>265</v>
      </c>
      <c r="I576" t="s">
        <v>6710</v>
      </c>
      <c r="J576">
        <v>143</v>
      </c>
      <c r="K576" t="s">
        <v>5257</v>
      </c>
      <c r="L576" t="s">
        <v>431</v>
      </c>
      <c r="M576" t="s">
        <v>5528</v>
      </c>
      <c r="N576" t="s">
        <v>4824</v>
      </c>
      <c r="O576" t="s">
        <v>2173</v>
      </c>
      <c r="R576">
        <f>1</f>
        <v>1</v>
      </c>
      <c r="S576">
        <f>12.2</f>
        <v>12.2</v>
      </c>
      <c r="T576">
        <f>8</f>
        <v>8</v>
      </c>
      <c r="U576">
        <f>249</f>
        <v>249</v>
      </c>
      <c r="V576">
        <f>0.05</f>
        <v>0.05</v>
      </c>
      <c r="X576">
        <f>1</f>
        <v>1</v>
      </c>
      <c r="Y576">
        <f>0.1</f>
        <v>0.1</v>
      </c>
      <c r="Z576">
        <f>0</f>
        <v>0</v>
      </c>
      <c r="AA576">
        <f>0</f>
        <v>0</v>
      </c>
      <c r="AB576">
        <f>0</f>
        <v>0</v>
      </c>
      <c r="AC576">
        <f>0</f>
        <v>0</v>
      </c>
      <c r="AD576">
        <f>0</f>
        <v>0</v>
      </c>
      <c r="AE576">
        <f>0</f>
        <v>0</v>
      </c>
      <c r="AH576" t="s">
        <v>166</v>
      </c>
    </row>
    <row r="577" spans="1:148" x14ac:dyDescent="0.25">
      <c r="A577" t="s">
        <v>2174</v>
      </c>
      <c r="B577" t="s">
        <v>148</v>
      </c>
      <c r="C577" s="1">
        <v>45726</v>
      </c>
      <c r="D577" t="s">
        <v>242</v>
      </c>
      <c r="E577" t="s">
        <v>243</v>
      </c>
      <c r="F577" t="s">
        <v>884</v>
      </c>
      <c r="G577" t="s">
        <v>6579</v>
      </c>
      <c r="H577">
        <v>1817</v>
      </c>
      <c r="I577" t="s">
        <v>2175</v>
      </c>
      <c r="J577">
        <v>219</v>
      </c>
      <c r="K577" t="s">
        <v>5254</v>
      </c>
      <c r="L577" t="s">
        <v>431</v>
      </c>
      <c r="M577" t="s">
        <v>6711</v>
      </c>
      <c r="N577" t="s">
        <v>2176</v>
      </c>
      <c r="O577" t="s">
        <v>2177</v>
      </c>
      <c r="R577">
        <f>1</f>
        <v>1</v>
      </c>
      <c r="S577">
        <f>9.1</f>
        <v>9.1</v>
      </c>
      <c r="T577">
        <f>8.1</f>
        <v>8.1</v>
      </c>
      <c r="U577">
        <f>265</f>
        <v>265</v>
      </c>
      <c r="X577">
        <f>0</f>
        <v>0</v>
      </c>
      <c r="Y577">
        <f>0.21</f>
        <v>0.21</v>
      </c>
      <c r="Z577">
        <f>0</f>
        <v>0</v>
      </c>
      <c r="AA577" t="s">
        <v>158</v>
      </c>
      <c r="AB577" t="s">
        <v>158</v>
      </c>
      <c r="AD577">
        <f>0</f>
        <v>0</v>
      </c>
      <c r="AE577">
        <f>0</f>
        <v>0</v>
      </c>
      <c r="AH577" t="s">
        <v>157</v>
      </c>
    </row>
    <row r="578" spans="1:148" x14ac:dyDescent="0.25">
      <c r="A578" t="s">
        <v>2178</v>
      </c>
      <c r="B578" t="s">
        <v>148</v>
      </c>
      <c r="C578" s="1">
        <v>45812</v>
      </c>
      <c r="D578" t="s">
        <v>311</v>
      </c>
      <c r="E578" t="s">
        <v>312</v>
      </c>
      <c r="F578" t="s">
        <v>1465</v>
      </c>
      <c r="G578" t="s">
        <v>5172</v>
      </c>
      <c r="H578">
        <v>1203</v>
      </c>
      <c r="I578" t="s">
        <v>5172</v>
      </c>
      <c r="J578">
        <v>324</v>
      </c>
      <c r="K578" t="s">
        <v>5257</v>
      </c>
      <c r="L578" t="s">
        <v>431</v>
      </c>
      <c r="M578" t="s">
        <v>2179</v>
      </c>
      <c r="N578" t="s">
        <v>5017</v>
      </c>
      <c r="O578" t="s">
        <v>2180</v>
      </c>
      <c r="R578">
        <f>1</f>
        <v>1</v>
      </c>
      <c r="S578">
        <f>15.9</f>
        <v>15.9</v>
      </c>
      <c r="T578">
        <f>7.2</f>
        <v>7.2</v>
      </c>
      <c r="U578">
        <f>326</f>
        <v>326</v>
      </c>
      <c r="X578">
        <f>0</f>
        <v>0</v>
      </c>
      <c r="Y578" t="s">
        <v>157</v>
      </c>
      <c r="Z578">
        <f>0</f>
        <v>0</v>
      </c>
      <c r="AA578" t="s">
        <v>158</v>
      </c>
      <c r="AB578" t="s">
        <v>158</v>
      </c>
      <c r="AC578">
        <f>0</f>
        <v>0</v>
      </c>
      <c r="AD578">
        <f>0</f>
        <v>0</v>
      </c>
      <c r="AE578">
        <f>0</f>
        <v>0</v>
      </c>
      <c r="AH578" t="s">
        <v>157</v>
      </c>
    </row>
    <row r="579" spans="1:148" x14ac:dyDescent="0.25">
      <c r="A579" t="s">
        <v>2181</v>
      </c>
      <c r="B579" t="s">
        <v>148</v>
      </c>
      <c r="C579" s="1">
        <v>45721</v>
      </c>
      <c r="D579" t="s">
        <v>242</v>
      </c>
      <c r="E579" t="s">
        <v>243</v>
      </c>
      <c r="F579" t="s">
        <v>6712</v>
      </c>
      <c r="G579" t="s">
        <v>2182</v>
      </c>
      <c r="H579">
        <v>861</v>
      </c>
      <c r="I579" t="s">
        <v>2182</v>
      </c>
      <c r="J579">
        <v>300</v>
      </c>
      <c r="K579" t="s">
        <v>5254</v>
      </c>
      <c r="L579" t="s">
        <v>4758</v>
      </c>
      <c r="M579" t="s">
        <v>5529</v>
      </c>
      <c r="N579" t="s">
        <v>2183</v>
      </c>
      <c r="O579" t="s">
        <v>2184</v>
      </c>
      <c r="R579">
        <f>1</f>
        <v>1</v>
      </c>
      <c r="S579">
        <f>8.1</f>
        <v>8.1</v>
      </c>
      <c r="T579">
        <f>8.1</f>
        <v>8.1</v>
      </c>
      <c r="U579">
        <f>325</f>
        <v>325</v>
      </c>
      <c r="X579">
        <f>0</f>
        <v>0</v>
      </c>
      <c r="Y579">
        <f>0.86</f>
        <v>0.86</v>
      </c>
      <c r="Z579">
        <f>0</f>
        <v>0</v>
      </c>
      <c r="AA579" t="s">
        <v>158</v>
      </c>
      <c r="AB579" t="s">
        <v>158</v>
      </c>
      <c r="AD579">
        <f>0</f>
        <v>0</v>
      </c>
      <c r="AE579">
        <f>0</f>
        <v>0</v>
      </c>
      <c r="AH579" t="s">
        <v>157</v>
      </c>
      <c r="BI579">
        <f>0.16</f>
        <v>0.16</v>
      </c>
    </row>
    <row r="580" spans="1:148" x14ac:dyDescent="0.25">
      <c r="A580" t="s">
        <v>2185</v>
      </c>
      <c r="B580" t="s">
        <v>268</v>
      </c>
      <c r="C580" s="1">
        <v>45785</v>
      </c>
      <c r="D580" t="s">
        <v>242</v>
      </c>
      <c r="E580" t="s">
        <v>243</v>
      </c>
      <c r="F580" t="s">
        <v>391</v>
      </c>
      <c r="G580" t="s">
        <v>2186</v>
      </c>
      <c r="H580">
        <v>1633</v>
      </c>
      <c r="I580" t="s">
        <v>2186</v>
      </c>
      <c r="J580">
        <v>252</v>
      </c>
      <c r="K580" t="s">
        <v>5254</v>
      </c>
      <c r="L580" t="s">
        <v>431</v>
      </c>
      <c r="M580" t="s">
        <v>1003</v>
      </c>
      <c r="N580" t="s">
        <v>2187</v>
      </c>
      <c r="Q580" t="s">
        <v>6340</v>
      </c>
      <c r="R580">
        <f>1</f>
        <v>1</v>
      </c>
      <c r="S580">
        <f>13.3</f>
        <v>13.3</v>
      </c>
      <c r="T580">
        <f>7.9</f>
        <v>7.9</v>
      </c>
      <c r="U580">
        <f>438</f>
        <v>438</v>
      </c>
      <c r="V580">
        <f>0.19</f>
        <v>0.19</v>
      </c>
      <c r="X580">
        <f>0</f>
        <v>0</v>
      </c>
      <c r="Y580" t="s">
        <v>157</v>
      </c>
      <c r="Z580">
        <f>0</f>
        <v>0</v>
      </c>
      <c r="AA580" t="s">
        <v>705</v>
      </c>
      <c r="AB580">
        <f>35</f>
        <v>35</v>
      </c>
      <c r="AD580">
        <f>0</f>
        <v>0</v>
      </c>
      <c r="AE580">
        <f>0</f>
        <v>0</v>
      </c>
      <c r="AH580" t="s">
        <v>157</v>
      </c>
    </row>
    <row r="581" spans="1:148" x14ac:dyDescent="0.25">
      <c r="A581" t="s">
        <v>2188</v>
      </c>
      <c r="B581" t="s">
        <v>148</v>
      </c>
      <c r="C581" s="1">
        <v>45783</v>
      </c>
      <c r="D581" t="s">
        <v>311</v>
      </c>
      <c r="E581" t="s">
        <v>312</v>
      </c>
      <c r="F581" t="s">
        <v>4780</v>
      </c>
      <c r="G581" t="s">
        <v>2189</v>
      </c>
      <c r="H581">
        <v>1034</v>
      </c>
      <c r="I581" t="s">
        <v>2190</v>
      </c>
      <c r="J581">
        <v>150</v>
      </c>
      <c r="K581" t="s">
        <v>5257</v>
      </c>
      <c r="L581" t="s">
        <v>4775</v>
      </c>
      <c r="M581" t="s">
        <v>2191</v>
      </c>
      <c r="N581" t="s">
        <v>2192</v>
      </c>
      <c r="O581" t="s">
        <v>2193</v>
      </c>
      <c r="R581">
        <f>1</f>
        <v>1</v>
      </c>
      <c r="S581">
        <f>15.8</f>
        <v>15.8</v>
      </c>
      <c r="T581">
        <f>7.6</f>
        <v>7.6</v>
      </c>
      <c r="U581">
        <f>272</f>
        <v>272</v>
      </c>
      <c r="X581">
        <f>0</f>
        <v>0</v>
      </c>
      <c r="Y581" t="s">
        <v>157</v>
      </c>
      <c r="Z581">
        <f>0</f>
        <v>0</v>
      </c>
      <c r="AA581" t="s">
        <v>158</v>
      </c>
      <c r="AB581" t="s">
        <v>158</v>
      </c>
      <c r="AC581">
        <f>0</f>
        <v>0</v>
      </c>
      <c r="AD581">
        <f>0</f>
        <v>0</v>
      </c>
      <c r="AE581">
        <f>0</f>
        <v>0</v>
      </c>
      <c r="AH581" t="s">
        <v>157</v>
      </c>
    </row>
    <row r="582" spans="1:148" x14ac:dyDescent="0.25">
      <c r="A582" t="s">
        <v>2194</v>
      </c>
      <c r="B582" t="s">
        <v>148</v>
      </c>
      <c r="C582" s="1">
        <v>45785</v>
      </c>
      <c r="D582" t="s">
        <v>175</v>
      </c>
      <c r="E582" t="s">
        <v>176</v>
      </c>
      <c r="F582" t="s">
        <v>556</v>
      </c>
      <c r="G582" t="s">
        <v>2195</v>
      </c>
      <c r="H582">
        <v>181</v>
      </c>
      <c r="I582" t="s">
        <v>2195</v>
      </c>
      <c r="J582">
        <v>632</v>
      </c>
      <c r="K582" t="s">
        <v>5254</v>
      </c>
      <c r="L582" t="s">
        <v>431</v>
      </c>
      <c r="M582" t="s">
        <v>6059</v>
      </c>
      <c r="N582" t="s">
        <v>6060</v>
      </c>
      <c r="O582" t="s">
        <v>2196</v>
      </c>
      <c r="R582">
        <f>1</f>
        <v>1</v>
      </c>
      <c r="S582">
        <f>14.1</f>
        <v>14.1</v>
      </c>
      <c r="T582">
        <f>7.5</f>
        <v>7.5</v>
      </c>
      <c r="U582">
        <f>543</f>
        <v>543</v>
      </c>
      <c r="V582">
        <f>0.05</f>
        <v>0.05</v>
      </c>
      <c r="X582">
        <f>0</f>
        <v>0</v>
      </c>
      <c r="Y582" t="s">
        <v>157</v>
      </c>
      <c r="Z582">
        <f>0</f>
        <v>0</v>
      </c>
      <c r="AA582" t="s">
        <v>158</v>
      </c>
      <c r="AB582" t="s">
        <v>158</v>
      </c>
      <c r="AD582">
        <f>0</f>
        <v>0</v>
      </c>
      <c r="AE582">
        <f>0</f>
        <v>0</v>
      </c>
      <c r="AH582" t="s">
        <v>157</v>
      </c>
      <c r="AI582" t="s">
        <v>238</v>
      </c>
      <c r="AL582" t="s">
        <v>164</v>
      </c>
      <c r="AM582" t="s">
        <v>165</v>
      </c>
      <c r="AN582">
        <f>4.4</f>
        <v>4.4000000000000004</v>
      </c>
      <c r="AO582">
        <f>0.09</f>
        <v>0.09</v>
      </c>
      <c r="AP582">
        <f>13</f>
        <v>13</v>
      </c>
      <c r="AQ582">
        <f>2.3</f>
        <v>2.2999999999999998</v>
      </c>
      <c r="AR582" t="s">
        <v>157</v>
      </c>
      <c r="AS582">
        <f>0.88</f>
        <v>0.88</v>
      </c>
      <c r="AY582" t="s">
        <v>167</v>
      </c>
      <c r="AZ582" t="s">
        <v>158</v>
      </c>
      <c r="BA582" t="s">
        <v>216</v>
      </c>
      <c r="BB582" t="s">
        <v>158</v>
      </c>
      <c r="BC582" t="s">
        <v>166</v>
      </c>
      <c r="BD582" t="s">
        <v>167</v>
      </c>
      <c r="BE582" t="s">
        <v>266</v>
      </c>
      <c r="BF582" t="s">
        <v>168</v>
      </c>
      <c r="BG582" t="s">
        <v>167</v>
      </c>
      <c r="BH582" t="s">
        <v>167</v>
      </c>
      <c r="BK582">
        <f>0.21</f>
        <v>0.21</v>
      </c>
      <c r="EL582">
        <f>1</f>
        <v>1</v>
      </c>
      <c r="EM582" t="s">
        <v>166</v>
      </c>
      <c r="EN582">
        <f>0.78</f>
        <v>0.78</v>
      </c>
      <c r="EO582">
        <f>0.38</f>
        <v>0.38</v>
      </c>
      <c r="ER582">
        <f>2.2</f>
        <v>2.2000000000000002</v>
      </c>
    </row>
    <row r="583" spans="1:148" x14ac:dyDescent="0.25">
      <c r="A583" t="s">
        <v>2197</v>
      </c>
      <c r="B583" t="s">
        <v>148</v>
      </c>
      <c r="C583" s="1">
        <v>45756</v>
      </c>
      <c r="D583" t="s">
        <v>242</v>
      </c>
      <c r="E583" t="s">
        <v>243</v>
      </c>
      <c r="F583" t="s">
        <v>5284</v>
      </c>
      <c r="G583" t="s">
        <v>6713</v>
      </c>
      <c r="H583">
        <v>1153</v>
      </c>
      <c r="I583" t="s">
        <v>2198</v>
      </c>
      <c r="J583">
        <v>277</v>
      </c>
      <c r="K583" t="s">
        <v>5257</v>
      </c>
      <c r="L583" t="s">
        <v>393</v>
      </c>
      <c r="M583" t="s">
        <v>5399</v>
      </c>
      <c r="N583" t="s">
        <v>2199</v>
      </c>
      <c r="O583" t="s">
        <v>2200</v>
      </c>
      <c r="Q583" t="s">
        <v>6377</v>
      </c>
      <c r="R583">
        <f>1</f>
        <v>1</v>
      </c>
      <c r="S583">
        <f>15.4</f>
        <v>15.4</v>
      </c>
      <c r="T583">
        <f>8</f>
        <v>8</v>
      </c>
      <c r="U583">
        <f>474</f>
        <v>474</v>
      </c>
      <c r="V583">
        <f>0.1</f>
        <v>0.1</v>
      </c>
      <c r="X583">
        <f>1</f>
        <v>1</v>
      </c>
      <c r="Y583" t="s">
        <v>157</v>
      </c>
      <c r="Z583">
        <f>0</f>
        <v>0</v>
      </c>
      <c r="AA583" t="s">
        <v>158</v>
      </c>
      <c r="AB583" t="s">
        <v>158</v>
      </c>
      <c r="AC583">
        <f>0</f>
        <v>0</v>
      </c>
      <c r="AD583">
        <f>0</f>
        <v>0</v>
      </c>
      <c r="AE583">
        <f>0</f>
        <v>0</v>
      </c>
      <c r="AH583" t="s">
        <v>157</v>
      </c>
    </row>
    <row r="584" spans="1:148" x14ac:dyDescent="0.25">
      <c r="A584" t="s">
        <v>2201</v>
      </c>
      <c r="B584" t="s">
        <v>148</v>
      </c>
      <c r="C584" s="1">
        <v>45751</v>
      </c>
      <c r="D584" t="s">
        <v>618</v>
      </c>
      <c r="E584" t="s">
        <v>619</v>
      </c>
      <c r="F584" t="s">
        <v>620</v>
      </c>
      <c r="G584" t="s">
        <v>5173</v>
      </c>
      <c r="H584">
        <v>957</v>
      </c>
      <c r="I584" t="s">
        <v>5173</v>
      </c>
      <c r="J584">
        <v>250</v>
      </c>
      <c r="K584" t="s">
        <v>5257</v>
      </c>
      <c r="L584" t="s">
        <v>4724</v>
      </c>
      <c r="M584" t="s">
        <v>5018</v>
      </c>
      <c r="N584" t="s">
        <v>5019</v>
      </c>
      <c r="O584" t="s">
        <v>2202</v>
      </c>
      <c r="R584">
        <f>1</f>
        <v>1</v>
      </c>
      <c r="S584">
        <f>10.5</f>
        <v>10.5</v>
      </c>
      <c r="T584">
        <f>7.6</f>
        <v>7.6</v>
      </c>
      <c r="U584">
        <f>173</f>
        <v>173</v>
      </c>
      <c r="X584">
        <f>0</f>
        <v>0</v>
      </c>
      <c r="Y584">
        <f>0.1</f>
        <v>0.1</v>
      </c>
      <c r="Z584">
        <f>0</f>
        <v>0</v>
      </c>
      <c r="AA584" t="s">
        <v>158</v>
      </c>
      <c r="AB584" t="s">
        <v>158</v>
      </c>
      <c r="AC584">
        <f>0</f>
        <v>0</v>
      </c>
      <c r="AD584">
        <f>0</f>
        <v>0</v>
      </c>
      <c r="AE584">
        <f>0</f>
        <v>0</v>
      </c>
      <c r="AH584" t="s">
        <v>157</v>
      </c>
    </row>
    <row r="585" spans="1:148" x14ac:dyDescent="0.25">
      <c r="A585" t="s">
        <v>2203</v>
      </c>
      <c r="B585" t="s">
        <v>148</v>
      </c>
      <c r="C585" s="1">
        <v>45726</v>
      </c>
      <c r="D585" t="s">
        <v>618</v>
      </c>
      <c r="E585" t="s">
        <v>619</v>
      </c>
      <c r="F585" t="s">
        <v>620</v>
      </c>
      <c r="G585" t="s">
        <v>1080</v>
      </c>
      <c r="H585">
        <v>45</v>
      </c>
      <c r="I585" t="s">
        <v>2204</v>
      </c>
      <c r="J585">
        <v>250</v>
      </c>
      <c r="K585" t="s">
        <v>5254</v>
      </c>
      <c r="L585" t="s">
        <v>180</v>
      </c>
      <c r="M585" t="s">
        <v>2205</v>
      </c>
      <c r="N585" t="s">
        <v>2206</v>
      </c>
      <c r="O585" t="s">
        <v>2207</v>
      </c>
      <c r="R585">
        <f>1</f>
        <v>1</v>
      </c>
      <c r="S585">
        <f>12.1</f>
        <v>12.1</v>
      </c>
      <c r="T585">
        <f>7.5</f>
        <v>7.5</v>
      </c>
      <c r="U585">
        <f>532</f>
        <v>532</v>
      </c>
      <c r="X585">
        <f>0</f>
        <v>0</v>
      </c>
      <c r="Y585">
        <f>0.1</f>
        <v>0.1</v>
      </c>
      <c r="Z585">
        <f>0</f>
        <v>0</v>
      </c>
      <c r="AA585" t="s">
        <v>158</v>
      </c>
      <c r="AB585" t="s">
        <v>158</v>
      </c>
      <c r="AD585">
        <f>0</f>
        <v>0</v>
      </c>
      <c r="AE585">
        <f>0</f>
        <v>0</v>
      </c>
      <c r="AH585" t="s">
        <v>157</v>
      </c>
    </row>
    <row r="586" spans="1:148" x14ac:dyDescent="0.25">
      <c r="A586" t="s">
        <v>2208</v>
      </c>
      <c r="B586" t="s">
        <v>148</v>
      </c>
      <c r="C586" s="1">
        <v>45733</v>
      </c>
      <c r="D586" t="s">
        <v>618</v>
      </c>
      <c r="E586" t="s">
        <v>619</v>
      </c>
      <c r="F586" t="s">
        <v>620</v>
      </c>
      <c r="G586" t="s">
        <v>1080</v>
      </c>
      <c r="H586">
        <v>41</v>
      </c>
      <c r="I586" t="s">
        <v>5174</v>
      </c>
      <c r="J586">
        <v>160</v>
      </c>
      <c r="K586" t="s">
        <v>5254</v>
      </c>
      <c r="L586" t="s">
        <v>180</v>
      </c>
      <c r="M586" t="s">
        <v>6714</v>
      </c>
      <c r="N586" t="s">
        <v>5020</v>
      </c>
      <c r="O586" t="s">
        <v>2209</v>
      </c>
      <c r="R586">
        <f>1</f>
        <v>1</v>
      </c>
      <c r="S586">
        <f>11.4</f>
        <v>11.4</v>
      </c>
      <c r="T586">
        <f>7.4</f>
        <v>7.4</v>
      </c>
      <c r="U586">
        <f>527</f>
        <v>527</v>
      </c>
      <c r="X586">
        <f>0</f>
        <v>0</v>
      </c>
      <c r="Y586">
        <f>0.1</f>
        <v>0.1</v>
      </c>
      <c r="Z586">
        <f>0</f>
        <v>0</v>
      </c>
      <c r="AA586" t="s">
        <v>158</v>
      </c>
      <c r="AB586" t="s">
        <v>158</v>
      </c>
      <c r="AD586">
        <f>0</f>
        <v>0</v>
      </c>
      <c r="AE586">
        <f>0</f>
        <v>0</v>
      </c>
      <c r="AH586" t="s">
        <v>157</v>
      </c>
    </row>
    <row r="587" spans="1:148" x14ac:dyDescent="0.25">
      <c r="A587" t="s">
        <v>2210</v>
      </c>
      <c r="B587" t="s">
        <v>148</v>
      </c>
      <c r="C587" s="1">
        <v>45761</v>
      </c>
      <c r="D587" t="s">
        <v>222</v>
      </c>
      <c r="E587" t="s">
        <v>223</v>
      </c>
      <c r="F587" t="s">
        <v>469</v>
      </c>
      <c r="G587" t="s">
        <v>2211</v>
      </c>
      <c r="H587">
        <v>268</v>
      </c>
      <c r="I587" t="s">
        <v>2211</v>
      </c>
      <c r="J587">
        <v>138</v>
      </c>
      <c r="K587" t="s">
        <v>5257</v>
      </c>
      <c r="L587" t="s">
        <v>431</v>
      </c>
      <c r="M587" t="s">
        <v>5530</v>
      </c>
      <c r="N587" t="s">
        <v>2212</v>
      </c>
      <c r="O587" t="s">
        <v>2213</v>
      </c>
      <c r="R587">
        <f>1</f>
        <v>1</v>
      </c>
      <c r="S587">
        <f>10</f>
        <v>10</v>
      </c>
      <c r="T587">
        <f>8</f>
        <v>8</v>
      </c>
      <c r="U587">
        <f>270</f>
        <v>270</v>
      </c>
      <c r="V587">
        <f>0.06</f>
        <v>0.06</v>
      </c>
      <c r="X587">
        <f>1</f>
        <v>1</v>
      </c>
      <c r="Y587">
        <f>0.21</f>
        <v>0.21</v>
      </c>
      <c r="Z587">
        <f>0</f>
        <v>0</v>
      </c>
      <c r="AA587">
        <f>0</f>
        <v>0</v>
      </c>
      <c r="AB587">
        <f>0</f>
        <v>0</v>
      </c>
      <c r="AC587">
        <f>0</f>
        <v>0</v>
      </c>
      <c r="AD587">
        <f>0</f>
        <v>0</v>
      </c>
      <c r="AE587">
        <f>0</f>
        <v>0</v>
      </c>
      <c r="AH587" t="s">
        <v>166</v>
      </c>
    </row>
    <row r="588" spans="1:148" x14ac:dyDescent="0.25">
      <c r="A588" t="s">
        <v>2214</v>
      </c>
      <c r="B588" t="s">
        <v>148</v>
      </c>
      <c r="C588" s="1">
        <v>45726</v>
      </c>
      <c r="D588" t="s">
        <v>317</v>
      </c>
      <c r="E588" t="s">
        <v>318</v>
      </c>
      <c r="F588" t="s">
        <v>847</v>
      </c>
      <c r="G588" t="s">
        <v>2215</v>
      </c>
      <c r="H588">
        <v>71</v>
      </c>
      <c r="I588" t="s">
        <v>2215</v>
      </c>
      <c r="J588">
        <v>250</v>
      </c>
      <c r="K588" t="s">
        <v>5254</v>
      </c>
      <c r="L588" t="s">
        <v>180</v>
      </c>
      <c r="M588" t="s">
        <v>2216</v>
      </c>
      <c r="N588" t="s">
        <v>5531</v>
      </c>
      <c r="O588" t="s">
        <v>2217</v>
      </c>
      <c r="Q588" t="s">
        <v>6378</v>
      </c>
      <c r="R588">
        <f>1</f>
        <v>1</v>
      </c>
      <c r="S588">
        <f>6.7</f>
        <v>6.7</v>
      </c>
      <c r="T588">
        <f>7.7</f>
        <v>7.7</v>
      </c>
      <c r="U588">
        <f>295</f>
        <v>295</v>
      </c>
      <c r="X588">
        <f>0</f>
        <v>0</v>
      </c>
      <c r="Y588" t="s">
        <v>157</v>
      </c>
      <c r="Z588">
        <f>0</f>
        <v>0</v>
      </c>
      <c r="AA588">
        <f>3</f>
        <v>3</v>
      </c>
      <c r="AB588">
        <f>0</f>
        <v>0</v>
      </c>
      <c r="AD588">
        <f>0</f>
        <v>0</v>
      </c>
      <c r="AE588">
        <f>0</f>
        <v>0</v>
      </c>
      <c r="AH588" t="s">
        <v>157</v>
      </c>
    </row>
    <row r="589" spans="1:148" x14ac:dyDescent="0.25">
      <c r="A589" t="s">
        <v>2218</v>
      </c>
      <c r="B589" t="s">
        <v>148</v>
      </c>
      <c r="C589" s="1">
        <v>45733</v>
      </c>
      <c r="D589" t="s">
        <v>175</v>
      </c>
      <c r="E589" t="s">
        <v>176</v>
      </c>
      <c r="F589" t="s">
        <v>6615</v>
      </c>
      <c r="G589" t="s">
        <v>2219</v>
      </c>
      <c r="H589">
        <v>586</v>
      </c>
      <c r="I589" t="s">
        <v>2220</v>
      </c>
      <c r="J589">
        <v>537</v>
      </c>
      <c r="K589" t="s">
        <v>5254</v>
      </c>
      <c r="M589" t="s">
        <v>2221</v>
      </c>
      <c r="N589" t="s">
        <v>2222</v>
      </c>
      <c r="R589">
        <f>1</f>
        <v>1</v>
      </c>
      <c r="S589">
        <f>8.5</f>
        <v>8.5</v>
      </c>
      <c r="T589">
        <f>7.7</f>
        <v>7.7</v>
      </c>
      <c r="U589">
        <f>351</f>
        <v>351</v>
      </c>
      <c r="X589">
        <f>0</f>
        <v>0</v>
      </c>
      <c r="Y589" t="s">
        <v>157</v>
      </c>
      <c r="Z589">
        <f>0</f>
        <v>0</v>
      </c>
      <c r="AA589" t="s">
        <v>158</v>
      </c>
      <c r="AB589" t="s">
        <v>158</v>
      </c>
      <c r="AD589">
        <f>0</f>
        <v>0</v>
      </c>
      <c r="AE589">
        <f>0</f>
        <v>0</v>
      </c>
    </row>
    <row r="590" spans="1:148" x14ac:dyDescent="0.25">
      <c r="A590" t="s">
        <v>2223</v>
      </c>
      <c r="B590" t="s">
        <v>148</v>
      </c>
      <c r="C590" s="1">
        <v>45785</v>
      </c>
      <c r="D590" t="s">
        <v>222</v>
      </c>
      <c r="E590" t="s">
        <v>223</v>
      </c>
      <c r="F590" t="s">
        <v>4723</v>
      </c>
      <c r="G590" t="s">
        <v>2224</v>
      </c>
      <c r="H590">
        <v>415</v>
      </c>
      <c r="I590" t="s">
        <v>2224</v>
      </c>
      <c r="J590">
        <v>148</v>
      </c>
      <c r="K590" t="s">
        <v>5257</v>
      </c>
      <c r="L590" t="s">
        <v>431</v>
      </c>
      <c r="M590" t="s">
        <v>6061</v>
      </c>
      <c r="N590" t="s">
        <v>2225</v>
      </c>
      <c r="Q590" t="s">
        <v>5532</v>
      </c>
      <c r="R590">
        <f>1</f>
        <v>1</v>
      </c>
      <c r="S590">
        <f>15.3</f>
        <v>15.3</v>
      </c>
      <c r="T590">
        <f>7.7</f>
        <v>7.7</v>
      </c>
      <c r="U590">
        <f>363</f>
        <v>363</v>
      </c>
      <c r="X590">
        <f>1</f>
        <v>1</v>
      </c>
      <c r="Y590">
        <f>0.12</f>
        <v>0.12</v>
      </c>
      <c r="Z590">
        <f>0</f>
        <v>0</v>
      </c>
      <c r="AA590">
        <f>6</f>
        <v>6</v>
      </c>
      <c r="AB590">
        <f>0</f>
        <v>0</v>
      </c>
      <c r="AD590">
        <f>0</f>
        <v>0</v>
      </c>
      <c r="AE590">
        <f>0</f>
        <v>0</v>
      </c>
      <c r="AH590" t="s">
        <v>166</v>
      </c>
    </row>
    <row r="591" spans="1:148" x14ac:dyDescent="0.25">
      <c r="A591" t="s">
        <v>2226</v>
      </c>
      <c r="B591" t="s">
        <v>148</v>
      </c>
      <c r="C591" s="1">
        <v>45720</v>
      </c>
      <c r="D591" t="s">
        <v>222</v>
      </c>
      <c r="E591" t="s">
        <v>223</v>
      </c>
      <c r="F591" t="s">
        <v>4938</v>
      </c>
      <c r="G591" t="s">
        <v>5175</v>
      </c>
      <c r="H591">
        <v>1278</v>
      </c>
      <c r="I591" t="s">
        <v>5175</v>
      </c>
      <c r="J591">
        <v>150</v>
      </c>
      <c r="K591" t="s">
        <v>5257</v>
      </c>
      <c r="L591" t="s">
        <v>5001</v>
      </c>
      <c r="M591" t="s">
        <v>6715</v>
      </c>
      <c r="N591" t="s">
        <v>5533</v>
      </c>
      <c r="Q591" t="s">
        <v>6379</v>
      </c>
      <c r="R591">
        <f>1</f>
        <v>1</v>
      </c>
      <c r="S591">
        <f>11.5</f>
        <v>11.5</v>
      </c>
      <c r="T591">
        <f>8</f>
        <v>8</v>
      </c>
      <c r="U591">
        <f>223</f>
        <v>223</v>
      </c>
      <c r="X591">
        <f>1</f>
        <v>1</v>
      </c>
      <c r="Y591">
        <f>0.12</f>
        <v>0.12</v>
      </c>
      <c r="Z591">
        <f>0</f>
        <v>0</v>
      </c>
      <c r="AA591">
        <f>25</f>
        <v>25</v>
      </c>
      <c r="AB591">
        <f>3</f>
        <v>3</v>
      </c>
      <c r="AD591">
        <f>0</f>
        <v>0</v>
      </c>
      <c r="AE591">
        <f>0</f>
        <v>0</v>
      </c>
      <c r="AH591" t="s">
        <v>166</v>
      </c>
    </row>
    <row r="592" spans="1:148" x14ac:dyDescent="0.25">
      <c r="A592" t="s">
        <v>2227</v>
      </c>
      <c r="B592" t="s">
        <v>148</v>
      </c>
      <c r="C592" s="1">
        <v>45750</v>
      </c>
      <c r="D592" t="s">
        <v>311</v>
      </c>
      <c r="E592" t="s">
        <v>312</v>
      </c>
      <c r="F592" t="s">
        <v>4780</v>
      </c>
      <c r="G592" t="s">
        <v>2228</v>
      </c>
      <c r="H592">
        <v>1801</v>
      </c>
      <c r="I592" t="s">
        <v>2229</v>
      </c>
      <c r="J592">
        <v>145</v>
      </c>
      <c r="K592" t="s">
        <v>5257</v>
      </c>
      <c r="L592" t="s">
        <v>4775</v>
      </c>
      <c r="M592" t="s">
        <v>2230</v>
      </c>
      <c r="N592" t="s">
        <v>4825</v>
      </c>
      <c r="O592" t="s">
        <v>2231</v>
      </c>
      <c r="R592">
        <f>1</f>
        <v>1</v>
      </c>
      <c r="S592">
        <f>9.5</f>
        <v>9.5</v>
      </c>
      <c r="T592">
        <f>7.1</f>
        <v>7.1</v>
      </c>
      <c r="U592">
        <f>109</f>
        <v>109</v>
      </c>
      <c r="X592">
        <f>0</f>
        <v>0</v>
      </c>
      <c r="Y592" t="s">
        <v>157</v>
      </c>
      <c r="Z592">
        <f>0</f>
        <v>0</v>
      </c>
      <c r="AA592" t="s">
        <v>158</v>
      </c>
      <c r="AB592" t="s">
        <v>158</v>
      </c>
      <c r="AD592">
        <f>0</f>
        <v>0</v>
      </c>
      <c r="AE592">
        <f>0</f>
        <v>0</v>
      </c>
      <c r="AH592" t="s">
        <v>157</v>
      </c>
    </row>
    <row r="593" spans="1:61" x14ac:dyDescent="0.25">
      <c r="A593" t="s">
        <v>2232</v>
      </c>
      <c r="B593" t="s">
        <v>148</v>
      </c>
      <c r="C593" s="1">
        <v>45783</v>
      </c>
      <c r="D593" t="s">
        <v>311</v>
      </c>
      <c r="E593" t="s">
        <v>312</v>
      </c>
      <c r="F593" t="s">
        <v>4780</v>
      </c>
      <c r="G593" t="s">
        <v>2233</v>
      </c>
      <c r="H593">
        <v>1802</v>
      </c>
      <c r="I593" t="s">
        <v>2234</v>
      </c>
      <c r="J593">
        <v>375</v>
      </c>
      <c r="K593" t="s">
        <v>5257</v>
      </c>
      <c r="L593" t="s">
        <v>4775</v>
      </c>
      <c r="M593" t="s">
        <v>6062</v>
      </c>
      <c r="N593" t="s">
        <v>4826</v>
      </c>
      <c r="O593" t="s">
        <v>2235</v>
      </c>
      <c r="R593">
        <f>1</f>
        <v>1</v>
      </c>
      <c r="S593">
        <f>15.5</f>
        <v>15.5</v>
      </c>
      <c r="T593">
        <f>7.4</f>
        <v>7.4</v>
      </c>
      <c r="U593">
        <f>359</f>
        <v>359</v>
      </c>
      <c r="X593">
        <f>0</f>
        <v>0</v>
      </c>
      <c r="Y593" t="s">
        <v>157</v>
      </c>
      <c r="Z593">
        <f>0</f>
        <v>0</v>
      </c>
      <c r="AA593" t="s">
        <v>158</v>
      </c>
      <c r="AB593" t="s">
        <v>158</v>
      </c>
      <c r="AD593">
        <f>0</f>
        <v>0</v>
      </c>
      <c r="AE593">
        <f>0</f>
        <v>0</v>
      </c>
      <c r="AH593" t="s">
        <v>157</v>
      </c>
    </row>
    <row r="594" spans="1:61" x14ac:dyDescent="0.25">
      <c r="A594" t="s">
        <v>2236</v>
      </c>
      <c r="B594" t="s">
        <v>148</v>
      </c>
      <c r="C594" s="1">
        <v>45726</v>
      </c>
      <c r="D594" t="s">
        <v>189</v>
      </c>
      <c r="E594" t="s">
        <v>284</v>
      </c>
      <c r="F594" t="s">
        <v>6063</v>
      </c>
      <c r="G594" t="s">
        <v>6064</v>
      </c>
      <c r="H594">
        <v>1796</v>
      </c>
      <c r="I594" t="s">
        <v>6064</v>
      </c>
      <c r="J594">
        <v>120</v>
      </c>
      <c r="K594" t="s">
        <v>5254</v>
      </c>
      <c r="L594" t="s">
        <v>5001</v>
      </c>
      <c r="M594" t="s">
        <v>6065</v>
      </c>
      <c r="N594" t="s">
        <v>6066</v>
      </c>
      <c r="R594">
        <f>1</f>
        <v>1</v>
      </c>
      <c r="S594">
        <f>9.1</f>
        <v>9.1</v>
      </c>
      <c r="T594">
        <f>7.9</f>
        <v>7.9</v>
      </c>
      <c r="U594">
        <f>346</f>
        <v>346</v>
      </c>
      <c r="X594">
        <f>0</f>
        <v>0</v>
      </c>
      <c r="Y594">
        <f>0.5</f>
        <v>0.5</v>
      </c>
      <c r="Z594">
        <f>0</f>
        <v>0</v>
      </c>
      <c r="AA594">
        <f>11</f>
        <v>11</v>
      </c>
      <c r="AB594">
        <f>4</f>
        <v>4</v>
      </c>
      <c r="AD594">
        <f>0</f>
        <v>0</v>
      </c>
      <c r="AE594">
        <f>0</f>
        <v>0</v>
      </c>
      <c r="AH594" t="s">
        <v>157</v>
      </c>
    </row>
    <row r="595" spans="1:61" x14ac:dyDescent="0.25">
      <c r="A595" t="s">
        <v>2237</v>
      </c>
      <c r="B595" t="s">
        <v>148</v>
      </c>
      <c r="C595" s="1">
        <v>45785</v>
      </c>
      <c r="D595" t="s">
        <v>149</v>
      </c>
      <c r="E595" t="s">
        <v>150</v>
      </c>
      <c r="F595" t="s">
        <v>151</v>
      </c>
      <c r="G595" t="s">
        <v>152</v>
      </c>
      <c r="H595">
        <v>10</v>
      </c>
      <c r="I595" t="s">
        <v>153</v>
      </c>
      <c r="J595">
        <v>41336</v>
      </c>
      <c r="K595" t="s">
        <v>5254</v>
      </c>
      <c r="L595" t="s">
        <v>154</v>
      </c>
      <c r="M595" t="s">
        <v>5534</v>
      </c>
      <c r="N595" t="s">
        <v>5535</v>
      </c>
      <c r="Q595" t="s">
        <v>6380</v>
      </c>
      <c r="R595">
        <f>1</f>
        <v>1</v>
      </c>
      <c r="S595">
        <f>14.9</f>
        <v>14.9</v>
      </c>
      <c r="T595">
        <f>7.5</f>
        <v>7.5</v>
      </c>
      <c r="U595">
        <f>537</f>
        <v>537</v>
      </c>
      <c r="X595">
        <f>0</f>
        <v>0</v>
      </c>
      <c r="Y595">
        <f>0.1</f>
        <v>0.1</v>
      </c>
      <c r="Z595">
        <f>0</f>
        <v>0</v>
      </c>
      <c r="AA595">
        <f>16</f>
        <v>16</v>
      </c>
      <c r="AB595" t="s">
        <v>158</v>
      </c>
      <c r="AD595">
        <f>0</f>
        <v>0</v>
      </c>
      <c r="AE595">
        <f>0</f>
        <v>0</v>
      </c>
      <c r="AH595" t="s">
        <v>157</v>
      </c>
      <c r="BI595">
        <f>2.5</f>
        <v>2.5</v>
      </c>
    </row>
    <row r="596" spans="1:61" x14ac:dyDescent="0.25">
      <c r="A596" t="s">
        <v>2238</v>
      </c>
      <c r="B596" t="s">
        <v>148</v>
      </c>
      <c r="C596" s="1">
        <v>45735</v>
      </c>
      <c r="D596" t="s">
        <v>175</v>
      </c>
      <c r="E596" t="s">
        <v>176</v>
      </c>
      <c r="F596" t="s">
        <v>4827</v>
      </c>
      <c r="G596" t="s">
        <v>2239</v>
      </c>
      <c r="H596">
        <v>739</v>
      </c>
      <c r="I596" t="s">
        <v>2240</v>
      </c>
      <c r="J596">
        <v>207</v>
      </c>
      <c r="K596" t="s">
        <v>5257</v>
      </c>
      <c r="L596" t="s">
        <v>431</v>
      </c>
      <c r="M596" t="s">
        <v>2241</v>
      </c>
      <c r="N596" t="s">
        <v>2242</v>
      </c>
      <c r="O596" t="s">
        <v>2243</v>
      </c>
      <c r="R596">
        <f>1</f>
        <v>1</v>
      </c>
      <c r="S596">
        <f>8</f>
        <v>8</v>
      </c>
      <c r="T596">
        <f>6.6</f>
        <v>6.6</v>
      </c>
      <c r="U596">
        <f>217</f>
        <v>217</v>
      </c>
      <c r="X596">
        <f>0</f>
        <v>0</v>
      </c>
      <c r="Y596">
        <f>2.8</f>
        <v>2.8</v>
      </c>
      <c r="Z596">
        <f>0</f>
        <v>0</v>
      </c>
      <c r="AA596" t="s">
        <v>158</v>
      </c>
      <c r="AB596" t="s">
        <v>158</v>
      </c>
      <c r="AC596">
        <f>0</f>
        <v>0</v>
      </c>
      <c r="AD596">
        <f>0</f>
        <v>0</v>
      </c>
      <c r="AE596">
        <f>0</f>
        <v>0</v>
      </c>
      <c r="BI596">
        <f>0.78</f>
        <v>0.78</v>
      </c>
    </row>
    <row r="597" spans="1:61" x14ac:dyDescent="0.25">
      <c r="A597" t="s">
        <v>2244</v>
      </c>
      <c r="B597" t="s">
        <v>148</v>
      </c>
      <c r="C597" s="1">
        <v>45734</v>
      </c>
      <c r="D597" t="s">
        <v>189</v>
      </c>
      <c r="E597" t="s">
        <v>190</v>
      </c>
      <c r="F597" t="s">
        <v>5849</v>
      </c>
      <c r="G597" t="s">
        <v>6716</v>
      </c>
      <c r="H597">
        <v>752</v>
      </c>
      <c r="I597" t="s">
        <v>6716</v>
      </c>
      <c r="J597">
        <v>60</v>
      </c>
      <c r="K597" t="s">
        <v>5257</v>
      </c>
      <c r="L597" t="s">
        <v>180</v>
      </c>
      <c r="M597" t="s">
        <v>1216</v>
      </c>
      <c r="N597" t="s">
        <v>6717</v>
      </c>
      <c r="O597" t="s">
        <v>2245</v>
      </c>
      <c r="R597">
        <f>1</f>
        <v>1</v>
      </c>
      <c r="S597">
        <f>9.7</f>
        <v>9.6999999999999993</v>
      </c>
      <c r="T597">
        <f>7.4</f>
        <v>7.4</v>
      </c>
      <c r="U597">
        <f>155</f>
        <v>155</v>
      </c>
      <c r="X597">
        <f>0</f>
        <v>0</v>
      </c>
      <c r="Y597">
        <f>0.09</f>
        <v>0.09</v>
      </c>
      <c r="Z597">
        <f>0</f>
        <v>0</v>
      </c>
      <c r="AA597">
        <f>3</f>
        <v>3</v>
      </c>
      <c r="AB597">
        <f>4</f>
        <v>4</v>
      </c>
      <c r="AC597">
        <f>0</f>
        <v>0</v>
      </c>
      <c r="AD597">
        <f>0</f>
        <v>0</v>
      </c>
      <c r="AE597">
        <f>0</f>
        <v>0</v>
      </c>
      <c r="AH597" t="s">
        <v>157</v>
      </c>
    </row>
    <row r="598" spans="1:61" x14ac:dyDescent="0.25">
      <c r="A598" t="s">
        <v>2246</v>
      </c>
      <c r="B598" t="s">
        <v>268</v>
      </c>
      <c r="C598" s="1">
        <v>45726</v>
      </c>
      <c r="D598" t="s">
        <v>189</v>
      </c>
      <c r="E598" t="s">
        <v>284</v>
      </c>
      <c r="F598" t="s">
        <v>1762</v>
      </c>
      <c r="G598" t="s">
        <v>2247</v>
      </c>
      <c r="H598">
        <v>757</v>
      </c>
      <c r="I598" t="s">
        <v>2247</v>
      </c>
      <c r="J598">
        <v>54</v>
      </c>
      <c r="K598" t="s">
        <v>5257</v>
      </c>
      <c r="L598" t="s">
        <v>180</v>
      </c>
      <c r="M598" t="s">
        <v>1216</v>
      </c>
      <c r="N598" t="s">
        <v>6067</v>
      </c>
      <c r="O598" t="s">
        <v>2248</v>
      </c>
      <c r="Q598" t="s">
        <v>6381</v>
      </c>
      <c r="R598">
        <f>1</f>
        <v>1</v>
      </c>
      <c r="S598">
        <f>10.6</f>
        <v>10.6</v>
      </c>
      <c r="T598">
        <f>7.6</f>
        <v>7.6</v>
      </c>
      <c r="U598">
        <f>298</f>
        <v>298</v>
      </c>
      <c r="X598">
        <f>0</f>
        <v>0</v>
      </c>
      <c r="Y598">
        <f>0.66</f>
        <v>0.66</v>
      </c>
      <c r="Z598">
        <f>1</f>
        <v>1</v>
      </c>
      <c r="AA598">
        <f>110</f>
        <v>110</v>
      </c>
      <c r="AB598">
        <f>1</f>
        <v>1</v>
      </c>
      <c r="AC598">
        <f>0</f>
        <v>0</v>
      </c>
      <c r="AD598">
        <f>0</f>
        <v>0</v>
      </c>
      <c r="AE598">
        <f>5</f>
        <v>5</v>
      </c>
      <c r="AH598" t="s">
        <v>157</v>
      </c>
      <c r="BI598">
        <f>0.46</f>
        <v>0.46</v>
      </c>
    </row>
    <row r="599" spans="1:61" x14ac:dyDescent="0.25">
      <c r="A599" t="s">
        <v>2249</v>
      </c>
      <c r="B599" t="s">
        <v>268</v>
      </c>
      <c r="C599" s="1">
        <v>45798</v>
      </c>
      <c r="D599" t="s">
        <v>189</v>
      </c>
      <c r="E599" t="s">
        <v>190</v>
      </c>
      <c r="F599" t="s">
        <v>6718</v>
      </c>
      <c r="G599" t="s">
        <v>2250</v>
      </c>
      <c r="H599">
        <v>766</v>
      </c>
      <c r="I599" t="s">
        <v>2250</v>
      </c>
      <c r="J599">
        <v>50</v>
      </c>
      <c r="K599" t="s">
        <v>5257</v>
      </c>
      <c r="L599" t="s">
        <v>180</v>
      </c>
      <c r="M599" t="s">
        <v>1216</v>
      </c>
      <c r="N599" t="s">
        <v>5176</v>
      </c>
      <c r="O599" t="s">
        <v>2251</v>
      </c>
      <c r="R599">
        <f>1</f>
        <v>1</v>
      </c>
      <c r="S599">
        <f>16</f>
        <v>16</v>
      </c>
      <c r="T599">
        <f>7.5</f>
        <v>7.5</v>
      </c>
      <c r="U599">
        <f>467</f>
        <v>467</v>
      </c>
      <c r="X599">
        <f>0</f>
        <v>0</v>
      </c>
      <c r="Y599">
        <f>1.49</f>
        <v>1.49</v>
      </c>
      <c r="Z599" t="s">
        <v>1845</v>
      </c>
      <c r="AA599" t="s">
        <v>705</v>
      </c>
      <c r="AB599">
        <f>110</f>
        <v>110</v>
      </c>
      <c r="AC599">
        <f>0</f>
        <v>0</v>
      </c>
      <c r="AD599">
        <f>39</f>
        <v>39</v>
      </c>
      <c r="AE599" t="s">
        <v>1845</v>
      </c>
      <c r="AH599" t="s">
        <v>157</v>
      </c>
      <c r="AI599">
        <f>0.96</f>
        <v>0.96</v>
      </c>
      <c r="AL599" t="s">
        <v>216</v>
      </c>
      <c r="AM599">
        <f>0.0024</f>
        <v>2.3999999999999998E-3</v>
      </c>
      <c r="AN599">
        <f>1.26</f>
        <v>1.26</v>
      </c>
      <c r="AO599">
        <f>0.026</f>
        <v>2.5999999999999999E-2</v>
      </c>
      <c r="AP599">
        <f>13.5</f>
        <v>13.5</v>
      </c>
      <c r="AQ599">
        <f>3.06</f>
        <v>3.06</v>
      </c>
      <c r="AR599" t="s">
        <v>209</v>
      </c>
      <c r="BI599">
        <f>4.6</f>
        <v>4.5999999999999996</v>
      </c>
    </row>
    <row r="600" spans="1:61" x14ac:dyDescent="0.25">
      <c r="A600" t="s">
        <v>2252</v>
      </c>
      <c r="B600" t="s">
        <v>148</v>
      </c>
      <c r="C600" s="1">
        <v>45729</v>
      </c>
      <c r="D600" t="s">
        <v>317</v>
      </c>
      <c r="E600" t="s">
        <v>318</v>
      </c>
      <c r="F600" t="s">
        <v>319</v>
      </c>
      <c r="G600" t="s">
        <v>5177</v>
      </c>
      <c r="H600">
        <v>897</v>
      </c>
      <c r="I600" t="s">
        <v>5177</v>
      </c>
      <c r="J600">
        <v>107</v>
      </c>
      <c r="K600" t="s">
        <v>5254</v>
      </c>
      <c r="L600" t="s">
        <v>180</v>
      </c>
      <c r="M600" t="s">
        <v>5536</v>
      </c>
      <c r="N600" t="s">
        <v>2253</v>
      </c>
      <c r="O600" t="s">
        <v>2254</v>
      </c>
      <c r="Q600" t="s">
        <v>6382</v>
      </c>
      <c r="R600">
        <f>1</f>
        <v>1</v>
      </c>
      <c r="S600">
        <f>8.5</f>
        <v>8.5</v>
      </c>
      <c r="T600">
        <f>8.1</f>
        <v>8.1</v>
      </c>
      <c r="U600">
        <f>225</f>
        <v>225</v>
      </c>
      <c r="X600">
        <f>0</f>
        <v>0</v>
      </c>
      <c r="Y600" t="s">
        <v>157</v>
      </c>
      <c r="Z600">
        <f>0</f>
        <v>0</v>
      </c>
      <c r="AA600">
        <f>3</f>
        <v>3</v>
      </c>
      <c r="AB600">
        <f>2</f>
        <v>2</v>
      </c>
      <c r="AD600">
        <f>0</f>
        <v>0</v>
      </c>
      <c r="AE600">
        <f>0</f>
        <v>0</v>
      </c>
      <c r="AH600" t="s">
        <v>157</v>
      </c>
    </row>
    <row r="601" spans="1:61" x14ac:dyDescent="0.25">
      <c r="A601" t="s">
        <v>2255</v>
      </c>
      <c r="B601" t="s">
        <v>148</v>
      </c>
      <c r="C601" s="1">
        <v>45733</v>
      </c>
      <c r="D601" t="s">
        <v>317</v>
      </c>
      <c r="E601" t="s">
        <v>318</v>
      </c>
      <c r="F601" t="s">
        <v>6564</v>
      </c>
      <c r="G601" t="s">
        <v>6068</v>
      </c>
      <c r="H601">
        <v>84</v>
      </c>
      <c r="I601" t="s">
        <v>6068</v>
      </c>
      <c r="J601">
        <v>117</v>
      </c>
      <c r="K601" t="s">
        <v>5254</v>
      </c>
      <c r="L601" t="s">
        <v>180</v>
      </c>
      <c r="M601" t="s">
        <v>5537</v>
      </c>
      <c r="N601" t="s">
        <v>5538</v>
      </c>
      <c r="O601" t="s">
        <v>2256</v>
      </c>
      <c r="Q601" t="s">
        <v>329</v>
      </c>
      <c r="R601">
        <f>1</f>
        <v>1</v>
      </c>
      <c r="S601">
        <f>7.3</f>
        <v>7.3</v>
      </c>
      <c r="T601">
        <f>7.8</f>
        <v>7.8</v>
      </c>
      <c r="U601">
        <f>304</f>
        <v>304</v>
      </c>
      <c r="X601">
        <f>0</f>
        <v>0</v>
      </c>
      <c r="Y601" t="s">
        <v>157</v>
      </c>
      <c r="Z601">
        <f>0</f>
        <v>0</v>
      </c>
      <c r="AA601">
        <f>3</f>
        <v>3</v>
      </c>
      <c r="AB601">
        <f>2</f>
        <v>2</v>
      </c>
      <c r="AD601">
        <f>0</f>
        <v>0</v>
      </c>
      <c r="AE601">
        <f>0</f>
        <v>0</v>
      </c>
      <c r="AH601" t="s">
        <v>157</v>
      </c>
    </row>
    <row r="602" spans="1:61" x14ac:dyDescent="0.25">
      <c r="A602" t="s">
        <v>2257</v>
      </c>
      <c r="B602" t="s">
        <v>148</v>
      </c>
      <c r="C602" s="1">
        <v>45737</v>
      </c>
      <c r="D602" t="s">
        <v>242</v>
      </c>
      <c r="E602" t="s">
        <v>243</v>
      </c>
      <c r="F602" t="s">
        <v>6719</v>
      </c>
      <c r="G602" t="s">
        <v>5178</v>
      </c>
      <c r="H602">
        <v>855</v>
      </c>
      <c r="I602" t="s">
        <v>5178</v>
      </c>
      <c r="J602">
        <v>150</v>
      </c>
      <c r="K602" t="s">
        <v>5254</v>
      </c>
      <c r="L602" t="s">
        <v>180</v>
      </c>
      <c r="M602" t="s">
        <v>5539</v>
      </c>
      <c r="N602" t="s">
        <v>5021</v>
      </c>
      <c r="O602" t="s">
        <v>2258</v>
      </c>
      <c r="R602">
        <f>1</f>
        <v>1</v>
      </c>
      <c r="S602">
        <f>8.1</f>
        <v>8.1</v>
      </c>
      <c r="T602">
        <f>7.6</f>
        <v>7.6</v>
      </c>
      <c r="U602">
        <f>357</f>
        <v>357</v>
      </c>
      <c r="X602">
        <f>1</f>
        <v>1</v>
      </c>
      <c r="Y602" t="s">
        <v>157</v>
      </c>
      <c r="Z602">
        <f>0</f>
        <v>0</v>
      </c>
      <c r="AA602" t="s">
        <v>158</v>
      </c>
      <c r="AB602" t="s">
        <v>158</v>
      </c>
      <c r="AD602">
        <f>0</f>
        <v>0</v>
      </c>
      <c r="AE602">
        <f>0</f>
        <v>0</v>
      </c>
      <c r="AH602" t="s">
        <v>157</v>
      </c>
      <c r="BI602">
        <f>1.8</f>
        <v>1.8</v>
      </c>
    </row>
    <row r="603" spans="1:61" x14ac:dyDescent="0.25">
      <c r="A603" t="s">
        <v>2259</v>
      </c>
      <c r="B603" t="s">
        <v>148</v>
      </c>
      <c r="C603" s="1">
        <v>45741</v>
      </c>
      <c r="D603" t="s">
        <v>242</v>
      </c>
      <c r="E603" t="s">
        <v>243</v>
      </c>
      <c r="F603" t="s">
        <v>244</v>
      </c>
      <c r="G603" t="s">
        <v>245</v>
      </c>
      <c r="H603">
        <v>1827</v>
      </c>
      <c r="I603" t="s">
        <v>6720</v>
      </c>
      <c r="J603">
        <v>127</v>
      </c>
      <c r="K603" t="s">
        <v>5331</v>
      </c>
      <c r="L603" t="s">
        <v>393</v>
      </c>
      <c r="M603" t="s">
        <v>6721</v>
      </c>
      <c r="N603" t="s">
        <v>2260</v>
      </c>
      <c r="O603" t="s">
        <v>2261</v>
      </c>
      <c r="R603">
        <f>1</f>
        <v>1</v>
      </c>
      <c r="S603">
        <f>10.2</f>
        <v>10.199999999999999</v>
      </c>
      <c r="T603">
        <f>7.7</f>
        <v>7.7</v>
      </c>
      <c r="U603">
        <f>474</f>
        <v>474</v>
      </c>
      <c r="X603">
        <f>1</f>
        <v>1</v>
      </c>
      <c r="Y603" t="s">
        <v>157</v>
      </c>
      <c r="Z603">
        <f>0</f>
        <v>0</v>
      </c>
      <c r="AA603" t="s">
        <v>158</v>
      </c>
      <c r="AB603" t="s">
        <v>158</v>
      </c>
      <c r="AD603">
        <f>0</f>
        <v>0</v>
      </c>
      <c r="AE603">
        <f>0</f>
        <v>0</v>
      </c>
      <c r="AH603" t="s">
        <v>157</v>
      </c>
      <c r="BI603">
        <f>0.6</f>
        <v>0.6</v>
      </c>
    </row>
    <row r="604" spans="1:61" x14ac:dyDescent="0.25">
      <c r="A604" t="s">
        <v>2262</v>
      </c>
      <c r="B604" t="s">
        <v>148</v>
      </c>
      <c r="C604" s="1">
        <v>45748</v>
      </c>
      <c r="D604" t="s">
        <v>175</v>
      </c>
      <c r="E604" t="s">
        <v>270</v>
      </c>
      <c r="F604" t="s">
        <v>354</v>
      </c>
      <c r="G604" t="s">
        <v>6722</v>
      </c>
      <c r="H604">
        <v>674</v>
      </c>
      <c r="I604" t="s">
        <v>6722</v>
      </c>
      <c r="J604">
        <v>281</v>
      </c>
      <c r="K604" t="s">
        <v>5254</v>
      </c>
      <c r="L604" t="s">
        <v>4966</v>
      </c>
      <c r="M604" t="s">
        <v>6069</v>
      </c>
      <c r="N604" t="s">
        <v>2263</v>
      </c>
      <c r="O604" t="s">
        <v>2264</v>
      </c>
      <c r="R604">
        <f>1</f>
        <v>1</v>
      </c>
      <c r="S604">
        <f>12.4</f>
        <v>12.4</v>
      </c>
      <c r="T604">
        <f>7.5</f>
        <v>7.5</v>
      </c>
      <c r="U604">
        <f>404</f>
        <v>404</v>
      </c>
      <c r="X604">
        <f>0</f>
        <v>0</v>
      </c>
      <c r="Y604" t="s">
        <v>207</v>
      </c>
      <c r="Z604">
        <f>0</f>
        <v>0</v>
      </c>
      <c r="AA604" t="s">
        <v>158</v>
      </c>
      <c r="AB604" t="s">
        <v>158</v>
      </c>
      <c r="AD604">
        <f>0</f>
        <v>0</v>
      </c>
      <c r="AE604">
        <f>0</f>
        <v>0</v>
      </c>
    </row>
    <row r="605" spans="1:61" x14ac:dyDescent="0.25">
      <c r="A605" t="s">
        <v>2265</v>
      </c>
      <c r="B605" t="s">
        <v>148</v>
      </c>
      <c r="C605" s="1">
        <v>45897</v>
      </c>
      <c r="D605" t="s">
        <v>222</v>
      </c>
      <c r="E605" t="s">
        <v>223</v>
      </c>
      <c r="F605" t="s">
        <v>469</v>
      </c>
      <c r="G605" t="s">
        <v>2266</v>
      </c>
      <c r="H605">
        <v>414</v>
      </c>
      <c r="I605" t="s">
        <v>2266</v>
      </c>
      <c r="J605">
        <v>126</v>
      </c>
      <c r="K605" t="s">
        <v>5257</v>
      </c>
      <c r="L605" t="s">
        <v>431</v>
      </c>
      <c r="M605" t="s">
        <v>790</v>
      </c>
      <c r="N605" t="s">
        <v>5540</v>
      </c>
      <c r="O605" t="s">
        <v>2267</v>
      </c>
      <c r="Q605" t="s">
        <v>6298</v>
      </c>
      <c r="R605">
        <f>1</f>
        <v>1</v>
      </c>
      <c r="S605">
        <f>18.2</f>
        <v>18.2</v>
      </c>
      <c r="T605">
        <f>8.2</f>
        <v>8.1999999999999993</v>
      </c>
      <c r="U605">
        <f>209</f>
        <v>209</v>
      </c>
      <c r="V605" t="s">
        <v>209</v>
      </c>
      <c r="X605">
        <f>1</f>
        <v>1</v>
      </c>
      <c r="Y605">
        <f>0.16</f>
        <v>0.16</v>
      </c>
      <c r="Z605">
        <f>0</f>
        <v>0</v>
      </c>
      <c r="AA605">
        <f>0</f>
        <v>0</v>
      </c>
      <c r="AB605">
        <f>0</f>
        <v>0</v>
      </c>
      <c r="AC605">
        <f>0</f>
        <v>0</v>
      </c>
      <c r="AD605">
        <f>0</f>
        <v>0</v>
      </c>
      <c r="AE605">
        <f>0</f>
        <v>0</v>
      </c>
      <c r="AH605" t="s">
        <v>166</v>
      </c>
    </row>
    <row r="606" spans="1:61" x14ac:dyDescent="0.25">
      <c r="A606" t="s">
        <v>2268</v>
      </c>
      <c r="B606" t="s">
        <v>268</v>
      </c>
      <c r="C606" s="1">
        <v>45734</v>
      </c>
      <c r="D606" t="s">
        <v>175</v>
      </c>
      <c r="E606" t="s">
        <v>270</v>
      </c>
      <c r="F606" t="s">
        <v>354</v>
      </c>
      <c r="G606" t="s">
        <v>5179</v>
      </c>
      <c r="H606">
        <v>690</v>
      </c>
      <c r="I606" t="s">
        <v>5179</v>
      </c>
      <c r="J606">
        <v>288</v>
      </c>
      <c r="K606" t="s">
        <v>5254</v>
      </c>
      <c r="L606" t="s">
        <v>180</v>
      </c>
      <c r="M606" t="s">
        <v>2269</v>
      </c>
      <c r="N606" t="s">
        <v>5180</v>
      </c>
      <c r="O606" t="s">
        <v>2270</v>
      </c>
      <c r="R606">
        <f>1</f>
        <v>1</v>
      </c>
      <c r="S606">
        <f>9</f>
        <v>9</v>
      </c>
      <c r="T606">
        <f>7.8</f>
        <v>7.8</v>
      </c>
      <c r="U606">
        <f>372</f>
        <v>372</v>
      </c>
      <c r="X606">
        <f>0</f>
        <v>0</v>
      </c>
      <c r="Y606" t="s">
        <v>207</v>
      </c>
      <c r="Z606">
        <f>0</f>
        <v>0</v>
      </c>
      <c r="AA606">
        <f>145</f>
        <v>145</v>
      </c>
      <c r="AB606">
        <f>129</f>
        <v>129</v>
      </c>
      <c r="AD606">
        <f>0</f>
        <v>0</v>
      </c>
      <c r="AE606">
        <f>0</f>
        <v>0</v>
      </c>
    </row>
    <row r="607" spans="1:61" x14ac:dyDescent="0.25">
      <c r="A607" t="s">
        <v>2271</v>
      </c>
      <c r="B607" t="s">
        <v>148</v>
      </c>
      <c r="C607" s="1">
        <v>45747</v>
      </c>
      <c r="D607" t="s">
        <v>175</v>
      </c>
      <c r="E607" t="s">
        <v>176</v>
      </c>
      <c r="F607" t="s">
        <v>556</v>
      </c>
      <c r="G607" t="s">
        <v>2272</v>
      </c>
      <c r="H607">
        <v>345</v>
      </c>
      <c r="I607" t="s">
        <v>2273</v>
      </c>
      <c r="J607">
        <v>204</v>
      </c>
      <c r="K607" t="s">
        <v>5331</v>
      </c>
      <c r="L607" t="s">
        <v>393</v>
      </c>
      <c r="M607" t="s">
        <v>5541</v>
      </c>
      <c r="N607" t="s">
        <v>2274</v>
      </c>
      <c r="O607" t="s">
        <v>2275</v>
      </c>
      <c r="Q607" t="s">
        <v>6313</v>
      </c>
      <c r="R607">
        <f>1</f>
        <v>1</v>
      </c>
      <c r="S607">
        <f>9.9</f>
        <v>9.9</v>
      </c>
      <c r="T607">
        <f>7.3</f>
        <v>7.3</v>
      </c>
      <c r="U607">
        <f>182</f>
        <v>182</v>
      </c>
      <c r="X607">
        <f>1</f>
        <v>1</v>
      </c>
      <c r="Y607">
        <f>0.1</f>
        <v>0.1</v>
      </c>
      <c r="Z607">
        <f>0</f>
        <v>0</v>
      </c>
      <c r="AA607" t="s">
        <v>158</v>
      </c>
      <c r="AB607" t="s">
        <v>158</v>
      </c>
      <c r="AC607">
        <f>0</f>
        <v>0</v>
      </c>
      <c r="AD607">
        <f>0</f>
        <v>0</v>
      </c>
      <c r="AE607">
        <f>0</f>
        <v>0</v>
      </c>
    </row>
    <row r="608" spans="1:61" x14ac:dyDescent="0.25">
      <c r="A608" t="s">
        <v>2276</v>
      </c>
      <c r="B608" t="s">
        <v>148</v>
      </c>
      <c r="C608" s="1">
        <v>45723</v>
      </c>
      <c r="D608" t="s">
        <v>175</v>
      </c>
      <c r="E608" t="s">
        <v>176</v>
      </c>
      <c r="F608" t="s">
        <v>1681</v>
      </c>
      <c r="G608" t="s">
        <v>2277</v>
      </c>
      <c r="H608">
        <v>937</v>
      </c>
      <c r="I608" t="s">
        <v>2277</v>
      </c>
      <c r="J608">
        <v>182</v>
      </c>
      <c r="K608" t="s">
        <v>5254</v>
      </c>
      <c r="L608" t="s">
        <v>180</v>
      </c>
      <c r="M608" t="s">
        <v>5384</v>
      </c>
      <c r="N608" t="s">
        <v>2278</v>
      </c>
      <c r="O608" t="s">
        <v>2279</v>
      </c>
      <c r="Q608" t="s">
        <v>6383</v>
      </c>
      <c r="R608">
        <f>1</f>
        <v>1</v>
      </c>
      <c r="S608">
        <f>8</f>
        <v>8</v>
      </c>
      <c r="T608">
        <f>7.2</f>
        <v>7.2</v>
      </c>
      <c r="U608">
        <f>431</f>
        <v>431</v>
      </c>
      <c r="X608">
        <f>0</f>
        <v>0</v>
      </c>
      <c r="Y608" t="s">
        <v>157</v>
      </c>
      <c r="Z608">
        <f>0</f>
        <v>0</v>
      </c>
      <c r="AA608" t="s">
        <v>158</v>
      </c>
      <c r="AB608">
        <f>27</f>
        <v>27</v>
      </c>
      <c r="AD608">
        <f>0</f>
        <v>0</v>
      </c>
      <c r="AE608">
        <f>0</f>
        <v>0</v>
      </c>
    </row>
    <row r="609" spans="1:61" x14ac:dyDescent="0.25">
      <c r="A609" t="s">
        <v>2280</v>
      </c>
      <c r="B609" t="s">
        <v>148</v>
      </c>
      <c r="C609" s="1">
        <v>45749</v>
      </c>
      <c r="D609" t="s">
        <v>618</v>
      </c>
      <c r="E609" t="s">
        <v>619</v>
      </c>
      <c r="F609" t="s">
        <v>5022</v>
      </c>
      <c r="G609" t="s">
        <v>5181</v>
      </c>
      <c r="H609">
        <v>944</v>
      </c>
      <c r="I609" t="s">
        <v>5181</v>
      </c>
      <c r="J609">
        <v>60</v>
      </c>
      <c r="K609" t="s">
        <v>5257</v>
      </c>
      <c r="L609" t="s">
        <v>393</v>
      </c>
      <c r="M609" t="s">
        <v>6070</v>
      </c>
      <c r="N609" t="s">
        <v>5023</v>
      </c>
      <c r="O609" t="s">
        <v>2281</v>
      </c>
      <c r="R609">
        <f>1</f>
        <v>1</v>
      </c>
      <c r="S609">
        <f>8.1</f>
        <v>8.1</v>
      </c>
      <c r="T609">
        <f>7.6</f>
        <v>7.6</v>
      </c>
      <c r="U609">
        <f>378</f>
        <v>378</v>
      </c>
      <c r="V609" t="s">
        <v>157</v>
      </c>
      <c r="X609">
        <f>0</f>
        <v>0</v>
      </c>
      <c r="Y609">
        <f>0.1</f>
        <v>0.1</v>
      </c>
      <c r="Z609">
        <f>0</f>
        <v>0</v>
      </c>
      <c r="AA609" t="s">
        <v>158</v>
      </c>
      <c r="AB609" t="s">
        <v>158</v>
      </c>
      <c r="AC609">
        <f>0</f>
        <v>0</v>
      </c>
      <c r="AD609">
        <f>0</f>
        <v>0</v>
      </c>
      <c r="AE609">
        <f>0</f>
        <v>0</v>
      </c>
      <c r="AH609" t="s">
        <v>157</v>
      </c>
    </row>
    <row r="610" spans="1:61" x14ac:dyDescent="0.25">
      <c r="A610" t="s">
        <v>2282</v>
      </c>
      <c r="B610" t="s">
        <v>148</v>
      </c>
      <c r="C610" s="1">
        <v>45755</v>
      </c>
      <c r="D610" t="s">
        <v>618</v>
      </c>
      <c r="E610" t="s">
        <v>619</v>
      </c>
      <c r="F610" t="s">
        <v>6723</v>
      </c>
      <c r="G610" t="s">
        <v>6724</v>
      </c>
      <c r="H610">
        <v>946</v>
      </c>
      <c r="I610" t="s">
        <v>6724</v>
      </c>
      <c r="J610">
        <v>112</v>
      </c>
      <c r="K610" t="s">
        <v>5257</v>
      </c>
      <c r="L610" t="s">
        <v>431</v>
      </c>
      <c r="M610" t="s">
        <v>6725</v>
      </c>
      <c r="N610" t="s">
        <v>6726</v>
      </c>
      <c r="O610" t="s">
        <v>2283</v>
      </c>
      <c r="R610">
        <f>1</f>
        <v>1</v>
      </c>
      <c r="S610">
        <f>9.6</f>
        <v>9.6</v>
      </c>
      <c r="T610">
        <f>7.5</f>
        <v>7.5</v>
      </c>
      <c r="U610">
        <f>182</f>
        <v>182</v>
      </c>
      <c r="V610">
        <f>0.14</f>
        <v>0.14000000000000001</v>
      </c>
      <c r="X610">
        <f>0</f>
        <v>0</v>
      </c>
      <c r="Y610">
        <f>0.1</f>
        <v>0.1</v>
      </c>
      <c r="Z610">
        <f>0</f>
        <v>0</v>
      </c>
      <c r="AA610" t="s">
        <v>158</v>
      </c>
      <c r="AB610" t="s">
        <v>158</v>
      </c>
      <c r="AC610">
        <f>0</f>
        <v>0</v>
      </c>
      <c r="AD610">
        <f>0</f>
        <v>0</v>
      </c>
      <c r="AE610">
        <f>0</f>
        <v>0</v>
      </c>
      <c r="AH610" t="s">
        <v>157</v>
      </c>
      <c r="BI610" t="s">
        <v>836</v>
      </c>
    </row>
    <row r="611" spans="1:61" x14ac:dyDescent="0.25">
      <c r="A611" t="s">
        <v>2284</v>
      </c>
      <c r="B611" t="s">
        <v>148</v>
      </c>
      <c r="C611" s="1">
        <v>45751</v>
      </c>
      <c r="D611" t="s">
        <v>618</v>
      </c>
      <c r="E611" t="s">
        <v>619</v>
      </c>
      <c r="F611" t="s">
        <v>620</v>
      </c>
      <c r="G611" t="s">
        <v>2285</v>
      </c>
      <c r="H611">
        <v>947</v>
      </c>
      <c r="I611" t="s">
        <v>2285</v>
      </c>
      <c r="J611">
        <v>70</v>
      </c>
      <c r="K611" t="s">
        <v>5254</v>
      </c>
      <c r="L611" t="s">
        <v>393</v>
      </c>
      <c r="M611" t="s">
        <v>6071</v>
      </c>
      <c r="N611" t="s">
        <v>2286</v>
      </c>
      <c r="O611" t="s">
        <v>2287</v>
      </c>
      <c r="R611">
        <f>1</f>
        <v>1</v>
      </c>
      <c r="S611">
        <f>8.6</f>
        <v>8.6</v>
      </c>
      <c r="T611">
        <f>7.4</f>
        <v>7.4</v>
      </c>
      <c r="U611">
        <f>137</f>
        <v>137</v>
      </c>
      <c r="V611" t="s">
        <v>157</v>
      </c>
      <c r="X611">
        <f>0</f>
        <v>0</v>
      </c>
      <c r="Y611">
        <f>0.1</f>
        <v>0.1</v>
      </c>
      <c r="Z611">
        <f>0</f>
        <v>0</v>
      </c>
      <c r="AA611" t="s">
        <v>158</v>
      </c>
      <c r="AB611" t="s">
        <v>158</v>
      </c>
      <c r="AD611">
        <f>0</f>
        <v>0</v>
      </c>
      <c r="AE611">
        <f>0</f>
        <v>0</v>
      </c>
      <c r="AH611" t="s">
        <v>157</v>
      </c>
    </row>
    <row r="612" spans="1:61" x14ac:dyDescent="0.25">
      <c r="A612" t="s">
        <v>2288</v>
      </c>
      <c r="B612" t="s">
        <v>148</v>
      </c>
      <c r="C612" s="1">
        <v>45722</v>
      </c>
      <c r="D612" t="s">
        <v>175</v>
      </c>
      <c r="E612" t="s">
        <v>649</v>
      </c>
      <c r="F612" t="s">
        <v>685</v>
      </c>
      <c r="G612" t="s">
        <v>2289</v>
      </c>
      <c r="H612">
        <v>955</v>
      </c>
      <c r="I612" t="s">
        <v>2289</v>
      </c>
      <c r="J612">
        <v>250</v>
      </c>
      <c r="K612" t="s">
        <v>5257</v>
      </c>
      <c r="L612" t="s">
        <v>393</v>
      </c>
      <c r="M612" t="s">
        <v>2290</v>
      </c>
      <c r="N612" t="s">
        <v>6727</v>
      </c>
      <c r="O612" t="s">
        <v>2291</v>
      </c>
      <c r="R612">
        <f>1</f>
        <v>1</v>
      </c>
      <c r="S612">
        <f>10.4</f>
        <v>10.4</v>
      </c>
      <c r="T612">
        <f>7.6</f>
        <v>7.6</v>
      </c>
      <c r="U612">
        <f>453</f>
        <v>453</v>
      </c>
      <c r="V612">
        <f>0.19</f>
        <v>0.19</v>
      </c>
      <c r="X612">
        <f>1</f>
        <v>1</v>
      </c>
      <c r="Y612" t="s">
        <v>157</v>
      </c>
      <c r="Z612">
        <f>0</f>
        <v>0</v>
      </c>
      <c r="AA612" t="s">
        <v>158</v>
      </c>
      <c r="AB612" t="s">
        <v>158</v>
      </c>
      <c r="AC612">
        <f>0</f>
        <v>0</v>
      </c>
      <c r="AD612">
        <f>0</f>
        <v>0</v>
      </c>
      <c r="AE612">
        <f>0</f>
        <v>0</v>
      </c>
    </row>
    <row r="613" spans="1:61" x14ac:dyDescent="0.25">
      <c r="A613" t="s">
        <v>2292</v>
      </c>
      <c r="B613" t="s">
        <v>148</v>
      </c>
      <c r="C613" s="1">
        <v>45882</v>
      </c>
      <c r="D613" t="s">
        <v>618</v>
      </c>
      <c r="E613" t="s">
        <v>619</v>
      </c>
      <c r="F613" t="s">
        <v>5317</v>
      </c>
      <c r="G613" t="s">
        <v>6728</v>
      </c>
      <c r="H613">
        <v>1726</v>
      </c>
      <c r="I613" t="s">
        <v>6728</v>
      </c>
      <c r="J613">
        <v>96</v>
      </c>
      <c r="K613" t="s">
        <v>5257</v>
      </c>
      <c r="M613" t="s">
        <v>6729</v>
      </c>
      <c r="N613" t="s">
        <v>6730</v>
      </c>
      <c r="O613" t="s">
        <v>2293</v>
      </c>
      <c r="R613">
        <f>1</f>
        <v>1</v>
      </c>
      <c r="S613">
        <f>19.4</f>
        <v>19.399999999999999</v>
      </c>
      <c r="T613">
        <f>7.8</f>
        <v>7.8</v>
      </c>
      <c r="U613">
        <f>467</f>
        <v>467</v>
      </c>
      <c r="X613">
        <f>0</f>
        <v>0</v>
      </c>
      <c r="Y613" t="s">
        <v>157</v>
      </c>
      <c r="Z613">
        <f>0</f>
        <v>0</v>
      </c>
      <c r="AA613" t="s">
        <v>158</v>
      </c>
      <c r="AB613" t="s">
        <v>158</v>
      </c>
      <c r="AC613">
        <f>0</f>
        <v>0</v>
      </c>
      <c r="AD613">
        <f>0</f>
        <v>0</v>
      </c>
      <c r="AE613">
        <f>0</f>
        <v>0</v>
      </c>
      <c r="AH613" t="s">
        <v>157</v>
      </c>
      <c r="BI613">
        <f>1.8</f>
        <v>1.8</v>
      </c>
    </row>
    <row r="614" spans="1:61" x14ac:dyDescent="0.25">
      <c r="A614" t="s">
        <v>2294</v>
      </c>
      <c r="B614" t="s">
        <v>148</v>
      </c>
      <c r="C614" s="1">
        <v>45761</v>
      </c>
      <c r="D614" t="s">
        <v>618</v>
      </c>
      <c r="E614" t="s">
        <v>619</v>
      </c>
      <c r="F614" t="s">
        <v>730</v>
      </c>
      <c r="G614" t="s">
        <v>2295</v>
      </c>
      <c r="H614">
        <v>994</v>
      </c>
      <c r="I614" t="s">
        <v>2295</v>
      </c>
      <c r="J614">
        <v>70</v>
      </c>
      <c r="K614" t="s">
        <v>5254</v>
      </c>
      <c r="L614" t="s">
        <v>431</v>
      </c>
      <c r="M614" t="s">
        <v>6072</v>
      </c>
      <c r="N614" t="s">
        <v>2296</v>
      </c>
      <c r="O614" t="s">
        <v>2297</v>
      </c>
      <c r="R614">
        <f>1</f>
        <v>1</v>
      </c>
      <c r="S614">
        <f>10.3</f>
        <v>10.3</v>
      </c>
      <c r="T614">
        <f>7.7</f>
        <v>7.7</v>
      </c>
      <c r="U614">
        <f>393</f>
        <v>393</v>
      </c>
      <c r="V614">
        <f>0.11</f>
        <v>0.11</v>
      </c>
      <c r="X614">
        <f>0</f>
        <v>0</v>
      </c>
      <c r="Y614">
        <f>0.1</f>
        <v>0.1</v>
      </c>
      <c r="Z614">
        <f>0</f>
        <v>0</v>
      </c>
      <c r="AA614" t="s">
        <v>158</v>
      </c>
      <c r="AB614" t="s">
        <v>158</v>
      </c>
      <c r="AD614">
        <f>0</f>
        <v>0</v>
      </c>
      <c r="AE614">
        <f>0</f>
        <v>0</v>
      </c>
      <c r="AH614" t="s">
        <v>157</v>
      </c>
    </row>
    <row r="615" spans="1:61" x14ac:dyDescent="0.25">
      <c r="A615" t="s">
        <v>2298</v>
      </c>
      <c r="B615" t="s">
        <v>148</v>
      </c>
      <c r="C615" s="1">
        <v>45741</v>
      </c>
      <c r="D615" t="s">
        <v>317</v>
      </c>
      <c r="E615" t="s">
        <v>318</v>
      </c>
      <c r="F615" t="s">
        <v>5542</v>
      </c>
      <c r="G615" t="s">
        <v>6731</v>
      </c>
      <c r="H615">
        <v>353</v>
      </c>
      <c r="I615" t="s">
        <v>6731</v>
      </c>
      <c r="J615">
        <v>120</v>
      </c>
      <c r="K615" t="s">
        <v>5254</v>
      </c>
      <c r="L615" t="s">
        <v>180</v>
      </c>
      <c r="M615" t="s">
        <v>5543</v>
      </c>
      <c r="N615" t="s">
        <v>5544</v>
      </c>
      <c r="O615" t="s">
        <v>2299</v>
      </c>
      <c r="Q615" t="s">
        <v>329</v>
      </c>
      <c r="R615">
        <f>1</f>
        <v>1</v>
      </c>
      <c r="S615">
        <f>7.5</f>
        <v>7.5</v>
      </c>
      <c r="T615">
        <f>7.6</f>
        <v>7.6</v>
      </c>
      <c r="U615">
        <f>228</f>
        <v>228</v>
      </c>
      <c r="X615">
        <f>0</f>
        <v>0</v>
      </c>
      <c r="Y615" t="s">
        <v>157</v>
      </c>
      <c r="Z615">
        <f>0</f>
        <v>0</v>
      </c>
      <c r="AA615">
        <f>0</f>
        <v>0</v>
      </c>
      <c r="AB615">
        <f>0</f>
        <v>0</v>
      </c>
      <c r="AD615">
        <f>0</f>
        <v>0</v>
      </c>
      <c r="AE615">
        <f>0</f>
        <v>0</v>
      </c>
      <c r="AH615" t="s">
        <v>157</v>
      </c>
      <c r="BI615" t="s">
        <v>167</v>
      </c>
    </row>
    <row r="616" spans="1:61" x14ac:dyDescent="0.25">
      <c r="A616" t="s">
        <v>2300</v>
      </c>
      <c r="B616" t="s">
        <v>148</v>
      </c>
      <c r="C616" s="1">
        <v>45727</v>
      </c>
      <c r="D616" t="s">
        <v>317</v>
      </c>
      <c r="E616" t="s">
        <v>318</v>
      </c>
      <c r="F616" t="s">
        <v>5796</v>
      </c>
      <c r="G616" t="s">
        <v>6073</v>
      </c>
      <c r="H616">
        <v>359</v>
      </c>
      <c r="I616" t="s">
        <v>6074</v>
      </c>
      <c r="J616">
        <v>193</v>
      </c>
      <c r="K616" t="s">
        <v>5254</v>
      </c>
      <c r="L616" t="s">
        <v>4948</v>
      </c>
      <c r="M616" t="s">
        <v>5545</v>
      </c>
      <c r="N616" t="s">
        <v>5546</v>
      </c>
      <c r="O616" t="s">
        <v>2301</v>
      </c>
      <c r="Q616" t="s">
        <v>329</v>
      </c>
      <c r="R616">
        <f>1</f>
        <v>1</v>
      </c>
      <c r="S616">
        <f>8.1</f>
        <v>8.1</v>
      </c>
      <c r="T616">
        <f>7.8</f>
        <v>7.8</v>
      </c>
      <c r="U616">
        <f>286</f>
        <v>286</v>
      </c>
      <c r="X616">
        <f>0</f>
        <v>0</v>
      </c>
      <c r="Y616" t="s">
        <v>157</v>
      </c>
      <c r="Z616">
        <f>0</f>
        <v>0</v>
      </c>
      <c r="AA616">
        <f>4</f>
        <v>4</v>
      </c>
      <c r="AB616">
        <f>0</f>
        <v>0</v>
      </c>
      <c r="AD616">
        <f>0</f>
        <v>0</v>
      </c>
      <c r="AE616">
        <f>0</f>
        <v>0</v>
      </c>
      <c r="AH616" t="s">
        <v>157</v>
      </c>
    </row>
    <row r="617" spans="1:61" x14ac:dyDescent="0.25">
      <c r="A617" t="s">
        <v>2302</v>
      </c>
      <c r="B617" t="s">
        <v>148</v>
      </c>
      <c r="C617" s="1">
        <v>45742</v>
      </c>
      <c r="D617" t="s">
        <v>317</v>
      </c>
      <c r="E617" t="s">
        <v>318</v>
      </c>
      <c r="F617" t="s">
        <v>2303</v>
      </c>
      <c r="G617" t="s">
        <v>2304</v>
      </c>
      <c r="H617">
        <v>352</v>
      </c>
      <c r="I617" t="s">
        <v>2304</v>
      </c>
      <c r="J617">
        <v>106</v>
      </c>
      <c r="K617" t="s">
        <v>5254</v>
      </c>
      <c r="L617" t="s">
        <v>180</v>
      </c>
      <c r="M617" t="s">
        <v>2305</v>
      </c>
      <c r="N617" t="s">
        <v>6075</v>
      </c>
      <c r="O617" t="s">
        <v>2306</v>
      </c>
      <c r="Q617" t="s">
        <v>6384</v>
      </c>
      <c r="R617">
        <f>1</f>
        <v>1</v>
      </c>
      <c r="S617">
        <f>9.7</f>
        <v>9.6999999999999993</v>
      </c>
      <c r="T617">
        <f>7</f>
        <v>7</v>
      </c>
      <c r="U617">
        <f>44</f>
        <v>44</v>
      </c>
      <c r="X617">
        <f>0</f>
        <v>0</v>
      </c>
      <c r="Y617" t="s">
        <v>157</v>
      </c>
      <c r="Z617">
        <f>0</f>
        <v>0</v>
      </c>
      <c r="AA617">
        <f>2</f>
        <v>2</v>
      </c>
      <c r="AB617">
        <f>0</f>
        <v>0</v>
      </c>
      <c r="AD617">
        <f>0</f>
        <v>0</v>
      </c>
      <c r="AE617">
        <f>0</f>
        <v>0</v>
      </c>
      <c r="AH617" t="s">
        <v>157</v>
      </c>
      <c r="BI617" t="s">
        <v>167</v>
      </c>
    </row>
    <row r="618" spans="1:61" x14ac:dyDescent="0.25">
      <c r="A618" t="s">
        <v>2307</v>
      </c>
      <c r="B618" t="s">
        <v>268</v>
      </c>
      <c r="C618" s="1">
        <v>45743</v>
      </c>
      <c r="D618" t="s">
        <v>175</v>
      </c>
      <c r="E618" t="s">
        <v>176</v>
      </c>
      <c r="F618" t="s">
        <v>4828</v>
      </c>
      <c r="G618" t="s">
        <v>6732</v>
      </c>
      <c r="H618">
        <v>1005</v>
      </c>
      <c r="I618" t="s">
        <v>6732</v>
      </c>
      <c r="J618">
        <v>230</v>
      </c>
      <c r="K618" t="s">
        <v>5257</v>
      </c>
      <c r="L618" t="s">
        <v>180</v>
      </c>
      <c r="M618" t="s">
        <v>5182</v>
      </c>
      <c r="N618" t="s">
        <v>4829</v>
      </c>
      <c r="O618" t="s">
        <v>2308</v>
      </c>
      <c r="Q618" t="s">
        <v>6332</v>
      </c>
      <c r="R618">
        <f>1</f>
        <v>1</v>
      </c>
      <c r="S618">
        <f>12.3</f>
        <v>12.3</v>
      </c>
      <c r="T618">
        <f>7.3</f>
        <v>7.3</v>
      </c>
      <c r="U618">
        <f>546</f>
        <v>546</v>
      </c>
      <c r="X618">
        <f>0</f>
        <v>0</v>
      </c>
      <c r="Y618">
        <f>1.3</f>
        <v>1.3</v>
      </c>
      <c r="Z618">
        <f>0</f>
        <v>0</v>
      </c>
      <c r="AA618">
        <f>32</f>
        <v>32</v>
      </c>
      <c r="AB618">
        <f>14</f>
        <v>14</v>
      </c>
      <c r="AC618">
        <f>0</f>
        <v>0</v>
      </c>
      <c r="AD618">
        <f>0</f>
        <v>0</v>
      </c>
      <c r="AE618">
        <f>0</f>
        <v>0</v>
      </c>
      <c r="BI618">
        <f>15</f>
        <v>15</v>
      </c>
    </row>
    <row r="619" spans="1:61" x14ac:dyDescent="0.25">
      <c r="A619" t="s">
        <v>2309</v>
      </c>
      <c r="B619" t="s">
        <v>148</v>
      </c>
      <c r="C619" s="1">
        <v>45748</v>
      </c>
      <c r="D619" t="s">
        <v>242</v>
      </c>
      <c r="E619" t="s">
        <v>243</v>
      </c>
      <c r="F619" t="s">
        <v>2310</v>
      </c>
      <c r="G619" t="s">
        <v>2311</v>
      </c>
      <c r="H619">
        <v>1017</v>
      </c>
      <c r="I619" t="s">
        <v>2312</v>
      </c>
      <c r="J619">
        <v>150</v>
      </c>
      <c r="K619" t="s">
        <v>5254</v>
      </c>
      <c r="L619" t="s">
        <v>180</v>
      </c>
      <c r="M619" t="s">
        <v>5547</v>
      </c>
      <c r="N619" t="s">
        <v>2313</v>
      </c>
      <c r="O619" t="s">
        <v>2314</v>
      </c>
      <c r="Q619" t="s">
        <v>6365</v>
      </c>
      <c r="R619">
        <f>1</f>
        <v>1</v>
      </c>
      <c r="S619">
        <f>9.1</f>
        <v>9.1</v>
      </c>
      <c r="T619">
        <f>7.6</f>
        <v>7.6</v>
      </c>
      <c r="U619">
        <f>404</f>
        <v>404</v>
      </c>
      <c r="X619">
        <f>0</f>
        <v>0</v>
      </c>
      <c r="Y619">
        <f>0.74</f>
        <v>0.74</v>
      </c>
      <c r="Z619">
        <f>0</f>
        <v>0</v>
      </c>
      <c r="AA619" t="s">
        <v>158</v>
      </c>
      <c r="AB619" t="s">
        <v>158</v>
      </c>
      <c r="AD619">
        <f>0</f>
        <v>0</v>
      </c>
      <c r="AE619">
        <f>0</f>
        <v>0</v>
      </c>
      <c r="AH619" t="s">
        <v>157</v>
      </c>
      <c r="BI619">
        <f>0.32</f>
        <v>0.32</v>
      </c>
    </row>
    <row r="620" spans="1:61" x14ac:dyDescent="0.25">
      <c r="A620" t="s">
        <v>2315</v>
      </c>
      <c r="B620" t="s">
        <v>148</v>
      </c>
      <c r="C620" s="1">
        <v>45735</v>
      </c>
      <c r="D620" t="s">
        <v>317</v>
      </c>
      <c r="E620" t="s">
        <v>318</v>
      </c>
      <c r="F620" t="s">
        <v>6566</v>
      </c>
      <c r="G620" t="s">
        <v>2316</v>
      </c>
      <c r="H620">
        <v>624</v>
      </c>
      <c r="I620" t="s">
        <v>2316</v>
      </c>
      <c r="J620">
        <v>100</v>
      </c>
      <c r="K620" t="s">
        <v>5254</v>
      </c>
      <c r="L620" t="s">
        <v>4966</v>
      </c>
      <c r="M620" t="s">
        <v>2317</v>
      </c>
      <c r="N620" t="s">
        <v>5183</v>
      </c>
      <c r="O620" t="s">
        <v>2318</v>
      </c>
      <c r="Q620" t="s">
        <v>6385</v>
      </c>
      <c r="R620">
        <f>1</f>
        <v>1</v>
      </c>
      <c r="S620">
        <f>8</f>
        <v>8</v>
      </c>
      <c r="T620">
        <f>7.4</f>
        <v>7.4</v>
      </c>
      <c r="U620">
        <f>106</f>
        <v>106</v>
      </c>
      <c r="X620">
        <f>0</f>
        <v>0</v>
      </c>
      <c r="Y620">
        <f>0.25</f>
        <v>0.25</v>
      </c>
      <c r="Z620">
        <f>0</f>
        <v>0</v>
      </c>
      <c r="AA620">
        <f>26</f>
        <v>26</v>
      </c>
      <c r="AB620">
        <f>1</f>
        <v>1</v>
      </c>
      <c r="AD620">
        <f>0</f>
        <v>0</v>
      </c>
      <c r="AE620">
        <f>0</f>
        <v>0</v>
      </c>
      <c r="AH620" t="s">
        <v>157</v>
      </c>
    </row>
    <row r="621" spans="1:61" x14ac:dyDescent="0.25">
      <c r="A621" t="s">
        <v>2319</v>
      </c>
      <c r="B621" t="s">
        <v>148</v>
      </c>
      <c r="C621" s="1">
        <v>45783</v>
      </c>
      <c r="D621" t="s">
        <v>175</v>
      </c>
      <c r="E621" t="s">
        <v>176</v>
      </c>
      <c r="F621" t="s">
        <v>1332</v>
      </c>
      <c r="G621" t="s">
        <v>6733</v>
      </c>
      <c r="H621">
        <v>570</v>
      </c>
      <c r="I621" t="s">
        <v>6733</v>
      </c>
      <c r="J621">
        <v>296</v>
      </c>
      <c r="K621" t="s">
        <v>5257</v>
      </c>
      <c r="L621" t="s">
        <v>431</v>
      </c>
      <c r="M621" t="s">
        <v>6734</v>
      </c>
      <c r="N621" t="s">
        <v>6735</v>
      </c>
      <c r="O621" t="s">
        <v>2320</v>
      </c>
      <c r="Q621" t="s">
        <v>6311</v>
      </c>
      <c r="R621">
        <f>1</f>
        <v>1</v>
      </c>
      <c r="S621">
        <f>10.6</f>
        <v>10.6</v>
      </c>
      <c r="T621">
        <f>7.3</f>
        <v>7.3</v>
      </c>
      <c r="U621">
        <f>65</f>
        <v>65</v>
      </c>
      <c r="X621">
        <f>0</f>
        <v>0</v>
      </c>
      <c r="Y621" t="s">
        <v>157</v>
      </c>
      <c r="Z621">
        <f>0</f>
        <v>0</v>
      </c>
      <c r="AA621" t="s">
        <v>158</v>
      </c>
      <c r="AB621">
        <f>88</f>
        <v>88</v>
      </c>
      <c r="AC621">
        <f>0</f>
        <v>0</v>
      </c>
      <c r="AD621">
        <f>0</f>
        <v>0</v>
      </c>
      <c r="AE621">
        <f>0</f>
        <v>0</v>
      </c>
      <c r="AH621" t="s">
        <v>157</v>
      </c>
    </row>
    <row r="622" spans="1:61" x14ac:dyDescent="0.25">
      <c r="A622" t="s">
        <v>2321</v>
      </c>
      <c r="B622" t="s">
        <v>148</v>
      </c>
      <c r="C622" s="1">
        <v>45743</v>
      </c>
      <c r="D622" t="s">
        <v>311</v>
      </c>
      <c r="E622" t="s">
        <v>312</v>
      </c>
      <c r="F622" t="s">
        <v>4780</v>
      </c>
      <c r="G622" t="s">
        <v>6654</v>
      </c>
      <c r="H622">
        <v>1491</v>
      </c>
      <c r="I622" t="s">
        <v>2322</v>
      </c>
      <c r="J622">
        <v>118</v>
      </c>
      <c r="K622" t="s">
        <v>5257</v>
      </c>
      <c r="L622" t="s">
        <v>4775</v>
      </c>
      <c r="M622" t="s">
        <v>2323</v>
      </c>
      <c r="N622" t="s">
        <v>4830</v>
      </c>
      <c r="O622" t="s">
        <v>2324</v>
      </c>
      <c r="R622">
        <f>1</f>
        <v>1</v>
      </c>
      <c r="S622">
        <f>9.6</f>
        <v>9.6</v>
      </c>
      <c r="T622">
        <f>7.5</f>
        <v>7.5</v>
      </c>
      <c r="U622">
        <f>44</f>
        <v>44</v>
      </c>
      <c r="X622">
        <f>0</f>
        <v>0</v>
      </c>
      <c r="Y622" t="s">
        <v>157</v>
      </c>
      <c r="Z622">
        <f>0</f>
        <v>0</v>
      </c>
      <c r="AA622" t="s">
        <v>158</v>
      </c>
      <c r="AB622" t="s">
        <v>158</v>
      </c>
      <c r="AC622">
        <f>0</f>
        <v>0</v>
      </c>
      <c r="AD622">
        <f>0</f>
        <v>0</v>
      </c>
      <c r="AE622">
        <f>0</f>
        <v>0</v>
      </c>
      <c r="AH622" t="s">
        <v>157</v>
      </c>
    </row>
    <row r="623" spans="1:61" x14ac:dyDescent="0.25">
      <c r="A623" t="s">
        <v>2325</v>
      </c>
      <c r="B623" t="s">
        <v>148</v>
      </c>
      <c r="C623" s="1">
        <v>45751</v>
      </c>
      <c r="D623" t="s">
        <v>317</v>
      </c>
      <c r="E623" t="s">
        <v>318</v>
      </c>
      <c r="F623" t="s">
        <v>6576</v>
      </c>
      <c r="G623" t="s">
        <v>2326</v>
      </c>
      <c r="H623">
        <v>1090</v>
      </c>
      <c r="I623" t="s">
        <v>2326</v>
      </c>
      <c r="J623">
        <v>128</v>
      </c>
      <c r="K623" t="s">
        <v>5254</v>
      </c>
      <c r="L623" t="s">
        <v>180</v>
      </c>
      <c r="M623" t="s">
        <v>5548</v>
      </c>
      <c r="N623" t="s">
        <v>2327</v>
      </c>
      <c r="O623" t="s">
        <v>2328</v>
      </c>
      <c r="Q623" t="s">
        <v>347</v>
      </c>
      <c r="R623">
        <f>1</f>
        <v>1</v>
      </c>
      <c r="S623">
        <f>9.2</f>
        <v>9.1999999999999993</v>
      </c>
      <c r="T623">
        <f>8.1</f>
        <v>8.1</v>
      </c>
      <c r="U623">
        <f>310</f>
        <v>310</v>
      </c>
      <c r="X623">
        <f>0</f>
        <v>0</v>
      </c>
      <c r="Y623" t="s">
        <v>157</v>
      </c>
      <c r="Z623">
        <f>0</f>
        <v>0</v>
      </c>
      <c r="AA623">
        <f>0</f>
        <v>0</v>
      </c>
      <c r="AB623">
        <f>0</f>
        <v>0</v>
      </c>
      <c r="AD623">
        <f>0</f>
        <v>0</v>
      </c>
      <c r="AE623">
        <f>0</f>
        <v>0</v>
      </c>
      <c r="AH623" t="s">
        <v>157</v>
      </c>
      <c r="BI623" t="s">
        <v>167</v>
      </c>
    </row>
    <row r="624" spans="1:61" x14ac:dyDescent="0.25">
      <c r="A624" t="s">
        <v>2329</v>
      </c>
      <c r="B624" t="s">
        <v>148</v>
      </c>
      <c r="C624" s="1">
        <v>45743</v>
      </c>
      <c r="D624" t="s">
        <v>175</v>
      </c>
      <c r="E624" t="s">
        <v>176</v>
      </c>
      <c r="F624" t="s">
        <v>4831</v>
      </c>
      <c r="G624" t="s">
        <v>2330</v>
      </c>
      <c r="H624">
        <v>1136</v>
      </c>
      <c r="I624" t="s">
        <v>2330</v>
      </c>
      <c r="J624">
        <v>248</v>
      </c>
      <c r="K624" t="s">
        <v>5257</v>
      </c>
      <c r="L624" t="s">
        <v>180</v>
      </c>
      <c r="M624" t="s">
        <v>2331</v>
      </c>
      <c r="N624" t="s">
        <v>2332</v>
      </c>
      <c r="O624" t="s">
        <v>2333</v>
      </c>
      <c r="R624">
        <f>1</f>
        <v>1</v>
      </c>
      <c r="S624">
        <f>9.2</f>
        <v>9.1999999999999993</v>
      </c>
      <c r="T624">
        <f>7.9</f>
        <v>7.9</v>
      </c>
      <c r="U624">
        <f>390</f>
        <v>390</v>
      </c>
      <c r="X624">
        <f>1</f>
        <v>1</v>
      </c>
      <c r="Y624">
        <f>0.6</f>
        <v>0.6</v>
      </c>
      <c r="Z624">
        <f>0</f>
        <v>0</v>
      </c>
      <c r="AA624">
        <f>16</f>
        <v>16</v>
      </c>
      <c r="AB624" t="s">
        <v>158</v>
      </c>
      <c r="AC624">
        <f>0</f>
        <v>0</v>
      </c>
      <c r="AD624">
        <f>0</f>
        <v>0</v>
      </c>
      <c r="AE624">
        <f>0</f>
        <v>0</v>
      </c>
      <c r="BI624">
        <f>0.29</f>
        <v>0.28999999999999998</v>
      </c>
    </row>
    <row r="625" spans="1:135" x14ac:dyDescent="0.25">
      <c r="A625" t="s">
        <v>2334</v>
      </c>
      <c r="B625" t="s">
        <v>148</v>
      </c>
      <c r="C625" s="1">
        <v>45727</v>
      </c>
      <c r="D625" t="s">
        <v>175</v>
      </c>
      <c r="E625" t="s">
        <v>176</v>
      </c>
      <c r="F625" t="s">
        <v>1681</v>
      </c>
      <c r="G625" t="s">
        <v>6076</v>
      </c>
      <c r="H625">
        <v>1162</v>
      </c>
      <c r="I625" t="s">
        <v>6076</v>
      </c>
      <c r="J625">
        <v>170</v>
      </c>
      <c r="K625" t="s">
        <v>5254</v>
      </c>
      <c r="L625" t="s">
        <v>180</v>
      </c>
      <c r="M625" t="s">
        <v>6077</v>
      </c>
      <c r="N625" t="s">
        <v>6078</v>
      </c>
      <c r="O625" t="s">
        <v>2335</v>
      </c>
      <c r="Q625" t="s">
        <v>5549</v>
      </c>
      <c r="R625">
        <f>1</f>
        <v>1</v>
      </c>
      <c r="S625">
        <f>7.6</f>
        <v>7.6</v>
      </c>
      <c r="T625">
        <f>7.5</f>
        <v>7.5</v>
      </c>
      <c r="U625">
        <f>483</f>
        <v>483</v>
      </c>
      <c r="X625">
        <f>0</f>
        <v>0</v>
      </c>
      <c r="Y625" t="s">
        <v>157</v>
      </c>
      <c r="Z625">
        <f>0</f>
        <v>0</v>
      </c>
      <c r="AA625" t="s">
        <v>158</v>
      </c>
      <c r="AB625" t="s">
        <v>158</v>
      </c>
      <c r="AD625">
        <f>0</f>
        <v>0</v>
      </c>
      <c r="AE625">
        <f>0</f>
        <v>0</v>
      </c>
    </row>
    <row r="626" spans="1:135" x14ac:dyDescent="0.25">
      <c r="A626" t="s">
        <v>2336</v>
      </c>
      <c r="B626" t="s">
        <v>148</v>
      </c>
      <c r="C626" s="1">
        <v>45734</v>
      </c>
      <c r="D626" t="s">
        <v>175</v>
      </c>
      <c r="E626" t="s">
        <v>270</v>
      </c>
      <c r="F626" t="s">
        <v>4832</v>
      </c>
      <c r="G626" t="s">
        <v>6736</v>
      </c>
      <c r="H626">
        <v>1163</v>
      </c>
      <c r="I626" t="s">
        <v>6736</v>
      </c>
      <c r="J626">
        <v>234</v>
      </c>
      <c r="K626" t="s">
        <v>5257</v>
      </c>
      <c r="L626" t="s">
        <v>1882</v>
      </c>
      <c r="M626" t="s">
        <v>5184</v>
      </c>
      <c r="N626" t="s">
        <v>5185</v>
      </c>
      <c r="O626" t="s">
        <v>2337</v>
      </c>
      <c r="R626">
        <f>1</f>
        <v>1</v>
      </c>
      <c r="S626">
        <f>9</f>
        <v>9</v>
      </c>
      <c r="T626">
        <f>7.7</f>
        <v>7.7</v>
      </c>
      <c r="U626">
        <f>457</f>
        <v>457</v>
      </c>
      <c r="X626">
        <f>0</f>
        <v>0</v>
      </c>
      <c r="Y626" t="s">
        <v>207</v>
      </c>
      <c r="Z626">
        <f>0</f>
        <v>0</v>
      </c>
      <c r="AA626">
        <f>18</f>
        <v>18</v>
      </c>
      <c r="AB626" t="s">
        <v>158</v>
      </c>
      <c r="AC626">
        <f>0</f>
        <v>0</v>
      </c>
      <c r="AD626">
        <f>0</f>
        <v>0</v>
      </c>
      <c r="AE626">
        <f>0</f>
        <v>0</v>
      </c>
      <c r="BI626">
        <f>0.17</f>
        <v>0.17</v>
      </c>
    </row>
    <row r="627" spans="1:135" x14ac:dyDescent="0.25">
      <c r="A627" t="s">
        <v>2338</v>
      </c>
      <c r="B627" t="s">
        <v>148</v>
      </c>
      <c r="C627" s="1">
        <v>45726</v>
      </c>
      <c r="D627" t="s">
        <v>269</v>
      </c>
      <c r="E627" t="s">
        <v>270</v>
      </c>
      <c r="F627" t="s">
        <v>2339</v>
      </c>
      <c r="G627" t="s">
        <v>2340</v>
      </c>
      <c r="H627">
        <v>462</v>
      </c>
      <c r="I627" t="s">
        <v>2340</v>
      </c>
      <c r="J627">
        <v>164</v>
      </c>
      <c r="K627" t="s">
        <v>5257</v>
      </c>
      <c r="L627" t="s">
        <v>180</v>
      </c>
      <c r="M627" t="s">
        <v>2341</v>
      </c>
      <c r="N627" t="s">
        <v>6079</v>
      </c>
      <c r="O627" t="s">
        <v>2342</v>
      </c>
      <c r="R627">
        <f>1</f>
        <v>1</v>
      </c>
      <c r="S627">
        <f>8</f>
        <v>8</v>
      </c>
      <c r="T627">
        <f>7.5</f>
        <v>7.5</v>
      </c>
      <c r="U627">
        <f>525</f>
        <v>525</v>
      </c>
      <c r="X627">
        <f>0</f>
        <v>0</v>
      </c>
      <c r="Y627" t="s">
        <v>207</v>
      </c>
      <c r="Z627">
        <f>0</f>
        <v>0</v>
      </c>
      <c r="AA627" t="s">
        <v>158</v>
      </c>
      <c r="AB627" t="s">
        <v>158</v>
      </c>
      <c r="AC627">
        <f>0</f>
        <v>0</v>
      </c>
      <c r="AD627">
        <f>0</f>
        <v>0</v>
      </c>
      <c r="AE627">
        <f>0</f>
        <v>0</v>
      </c>
      <c r="BI627" t="s">
        <v>157</v>
      </c>
    </row>
    <row r="628" spans="1:135" x14ac:dyDescent="0.25">
      <c r="A628" t="s">
        <v>2343</v>
      </c>
      <c r="B628" t="s">
        <v>148</v>
      </c>
      <c r="C628" s="1">
        <v>45721</v>
      </c>
      <c r="D628" t="s">
        <v>311</v>
      </c>
      <c r="E628" t="s">
        <v>312</v>
      </c>
      <c r="F628" t="s">
        <v>349</v>
      </c>
      <c r="G628" t="s">
        <v>2344</v>
      </c>
      <c r="H628">
        <v>1031</v>
      </c>
      <c r="I628" t="s">
        <v>2345</v>
      </c>
      <c r="J628">
        <v>50</v>
      </c>
      <c r="K628" t="s">
        <v>5257</v>
      </c>
      <c r="L628" t="s">
        <v>180</v>
      </c>
      <c r="M628" t="s">
        <v>2346</v>
      </c>
      <c r="N628" t="s">
        <v>2347</v>
      </c>
      <c r="O628" t="s">
        <v>2348</v>
      </c>
      <c r="R628">
        <f>1</f>
        <v>1</v>
      </c>
      <c r="S628">
        <f>11.8</f>
        <v>11.8</v>
      </c>
      <c r="T628">
        <f>6.9</f>
        <v>6.9</v>
      </c>
      <c r="U628">
        <f>115</f>
        <v>115</v>
      </c>
      <c r="X628">
        <f>0</f>
        <v>0</v>
      </c>
      <c r="Y628" t="s">
        <v>157</v>
      </c>
      <c r="Z628">
        <f>0</f>
        <v>0</v>
      </c>
      <c r="AA628" t="s">
        <v>158</v>
      </c>
      <c r="AB628" t="s">
        <v>158</v>
      </c>
      <c r="AC628">
        <f>0</f>
        <v>0</v>
      </c>
      <c r="AD628">
        <f>0</f>
        <v>0</v>
      </c>
      <c r="AE628">
        <f>0</f>
        <v>0</v>
      </c>
      <c r="AH628" t="s">
        <v>157</v>
      </c>
    </row>
    <row r="629" spans="1:135" x14ac:dyDescent="0.25">
      <c r="A629" t="s">
        <v>2349</v>
      </c>
      <c r="B629" t="s">
        <v>148</v>
      </c>
      <c r="C629" s="1">
        <v>45737</v>
      </c>
      <c r="D629" t="s">
        <v>242</v>
      </c>
      <c r="E629" t="s">
        <v>243</v>
      </c>
      <c r="F629" t="s">
        <v>5098</v>
      </c>
      <c r="G629" t="s">
        <v>2350</v>
      </c>
      <c r="H629">
        <v>1341</v>
      </c>
      <c r="I629" t="s">
        <v>2350</v>
      </c>
      <c r="J629">
        <v>200</v>
      </c>
      <c r="K629" t="s">
        <v>5254</v>
      </c>
      <c r="L629" t="s">
        <v>180</v>
      </c>
      <c r="M629" t="s">
        <v>5550</v>
      </c>
      <c r="N629" t="s">
        <v>5024</v>
      </c>
      <c r="O629" t="s">
        <v>2351</v>
      </c>
      <c r="Q629" t="s">
        <v>6365</v>
      </c>
      <c r="R629">
        <f>1</f>
        <v>1</v>
      </c>
      <c r="S629">
        <f>9.1</f>
        <v>9.1</v>
      </c>
      <c r="T629">
        <f>7.5</f>
        <v>7.5</v>
      </c>
      <c r="U629">
        <f>293</f>
        <v>293</v>
      </c>
      <c r="X629">
        <f>1</f>
        <v>1</v>
      </c>
      <c r="Y629">
        <f>0.69</f>
        <v>0.69</v>
      </c>
      <c r="Z629">
        <f>0</f>
        <v>0</v>
      </c>
      <c r="AA629" t="s">
        <v>158</v>
      </c>
      <c r="AB629" t="s">
        <v>158</v>
      </c>
      <c r="AD629">
        <f>0</f>
        <v>0</v>
      </c>
      <c r="AE629">
        <f>0</f>
        <v>0</v>
      </c>
      <c r="AH629" t="s">
        <v>157</v>
      </c>
      <c r="BI629">
        <f>0.17</f>
        <v>0.17</v>
      </c>
    </row>
    <row r="630" spans="1:135" x14ac:dyDescent="0.25">
      <c r="A630" t="s">
        <v>2352</v>
      </c>
      <c r="B630" t="s">
        <v>148</v>
      </c>
      <c r="C630" s="1">
        <v>45895</v>
      </c>
      <c r="D630" t="s">
        <v>242</v>
      </c>
      <c r="E630" t="s">
        <v>243</v>
      </c>
      <c r="F630" t="s">
        <v>5284</v>
      </c>
      <c r="G630" t="s">
        <v>2353</v>
      </c>
      <c r="H630">
        <v>1343</v>
      </c>
      <c r="I630" t="s">
        <v>2353</v>
      </c>
      <c r="J630">
        <v>168</v>
      </c>
      <c r="K630" t="s">
        <v>5257</v>
      </c>
      <c r="L630" t="s">
        <v>393</v>
      </c>
      <c r="M630" t="s">
        <v>2354</v>
      </c>
      <c r="N630" t="s">
        <v>5551</v>
      </c>
      <c r="O630" t="s">
        <v>2355</v>
      </c>
      <c r="Q630" t="s">
        <v>6386</v>
      </c>
      <c r="R630">
        <f>1</f>
        <v>1</v>
      </c>
      <c r="S630">
        <f>21.9</f>
        <v>21.9</v>
      </c>
      <c r="T630">
        <f>7.8</f>
        <v>7.8</v>
      </c>
      <c r="U630">
        <f>466</f>
        <v>466</v>
      </c>
      <c r="X630">
        <f>0</f>
        <v>0</v>
      </c>
      <c r="Y630">
        <f>0.11</f>
        <v>0.11</v>
      </c>
      <c r="Z630">
        <f>0</f>
        <v>0</v>
      </c>
      <c r="AA630" t="s">
        <v>158</v>
      </c>
      <c r="AB630" t="s">
        <v>158</v>
      </c>
      <c r="AC630">
        <f>0</f>
        <v>0</v>
      </c>
      <c r="AD630">
        <f>0</f>
        <v>0</v>
      </c>
      <c r="AE630">
        <f>0</f>
        <v>0</v>
      </c>
      <c r="AH630" t="s">
        <v>157</v>
      </c>
    </row>
    <row r="631" spans="1:135" x14ac:dyDescent="0.25">
      <c r="A631" t="s">
        <v>2356</v>
      </c>
      <c r="B631" t="s">
        <v>268</v>
      </c>
      <c r="C631" s="1">
        <v>45741</v>
      </c>
      <c r="D631" t="s">
        <v>222</v>
      </c>
      <c r="E631" t="s">
        <v>223</v>
      </c>
      <c r="F631" t="s">
        <v>5552</v>
      </c>
      <c r="G631" t="s">
        <v>2357</v>
      </c>
      <c r="H631">
        <v>1368</v>
      </c>
      <c r="I631" t="s">
        <v>2357</v>
      </c>
      <c r="J631">
        <v>85</v>
      </c>
      <c r="K631" t="s">
        <v>5257</v>
      </c>
      <c r="L631" t="s">
        <v>180</v>
      </c>
      <c r="M631" t="s">
        <v>5384</v>
      </c>
      <c r="N631" t="s">
        <v>5553</v>
      </c>
      <c r="O631" t="s">
        <v>2358</v>
      </c>
      <c r="Q631" t="s">
        <v>6298</v>
      </c>
      <c r="R631">
        <f>1</f>
        <v>1</v>
      </c>
      <c r="S631">
        <f>11.3</f>
        <v>11.3</v>
      </c>
      <c r="T631">
        <f>8</f>
        <v>8</v>
      </c>
      <c r="U631">
        <f>296</f>
        <v>296</v>
      </c>
      <c r="X631">
        <f>1</f>
        <v>1</v>
      </c>
      <c r="Y631">
        <f>0.23</f>
        <v>0.23</v>
      </c>
      <c r="Z631">
        <f>0</f>
        <v>0</v>
      </c>
      <c r="AA631">
        <f>10</f>
        <v>10</v>
      </c>
      <c r="AB631">
        <f>0</f>
        <v>0</v>
      </c>
      <c r="AC631">
        <f>0</f>
        <v>0</v>
      </c>
      <c r="AD631">
        <f>0</f>
        <v>0</v>
      </c>
      <c r="AE631">
        <f>16</f>
        <v>16</v>
      </c>
      <c r="AH631" t="s">
        <v>166</v>
      </c>
      <c r="BI631">
        <f>0.3</f>
        <v>0.3</v>
      </c>
    </row>
    <row r="632" spans="1:135" x14ac:dyDescent="0.25">
      <c r="A632" t="s">
        <v>2359</v>
      </c>
      <c r="B632" t="s">
        <v>148</v>
      </c>
      <c r="C632" s="1">
        <v>45726</v>
      </c>
      <c r="D632" t="s">
        <v>618</v>
      </c>
      <c r="E632" t="s">
        <v>619</v>
      </c>
      <c r="F632" t="s">
        <v>620</v>
      </c>
      <c r="G632" t="s">
        <v>2360</v>
      </c>
      <c r="H632">
        <v>1360</v>
      </c>
      <c r="I632" t="s">
        <v>2361</v>
      </c>
      <c r="J632">
        <v>120</v>
      </c>
      <c r="K632" t="s">
        <v>5257</v>
      </c>
      <c r="L632" t="s">
        <v>180</v>
      </c>
      <c r="M632" t="s">
        <v>2362</v>
      </c>
      <c r="N632" t="s">
        <v>2363</v>
      </c>
      <c r="O632" t="s">
        <v>2364</v>
      </c>
      <c r="R632">
        <f>1</f>
        <v>1</v>
      </c>
      <c r="S632">
        <f>7.9</f>
        <v>7.9</v>
      </c>
      <c r="T632">
        <f>7.6</f>
        <v>7.6</v>
      </c>
      <c r="U632">
        <f>531</f>
        <v>531</v>
      </c>
      <c r="X632">
        <f>0</f>
        <v>0</v>
      </c>
      <c r="Y632">
        <f>0.1</f>
        <v>0.1</v>
      </c>
      <c r="Z632">
        <f>0</f>
        <v>0</v>
      </c>
      <c r="AA632" t="s">
        <v>158</v>
      </c>
      <c r="AB632" t="s">
        <v>158</v>
      </c>
      <c r="AC632">
        <f>0</f>
        <v>0</v>
      </c>
      <c r="AD632">
        <f>0</f>
        <v>0</v>
      </c>
      <c r="AE632">
        <f>0</f>
        <v>0</v>
      </c>
      <c r="AH632" t="s">
        <v>157</v>
      </c>
    </row>
    <row r="633" spans="1:135" x14ac:dyDescent="0.25">
      <c r="A633" t="s">
        <v>2365</v>
      </c>
      <c r="B633" t="s">
        <v>148</v>
      </c>
      <c r="C633" s="1">
        <v>45888</v>
      </c>
      <c r="D633" t="s">
        <v>242</v>
      </c>
      <c r="E633" t="s">
        <v>295</v>
      </c>
      <c r="F633" t="s">
        <v>764</v>
      </c>
      <c r="G633" t="s">
        <v>2366</v>
      </c>
      <c r="H633">
        <v>1412</v>
      </c>
      <c r="I633" t="s">
        <v>2366</v>
      </c>
      <c r="J633">
        <v>129</v>
      </c>
      <c r="K633" t="s">
        <v>5257</v>
      </c>
      <c r="L633" t="s">
        <v>927</v>
      </c>
      <c r="M633" t="s">
        <v>5554</v>
      </c>
      <c r="N633" t="s">
        <v>2367</v>
      </c>
      <c r="O633" t="s">
        <v>2368</v>
      </c>
      <c r="R633">
        <f>1</f>
        <v>1</v>
      </c>
      <c r="S633">
        <f>22.5</f>
        <v>22.5</v>
      </c>
      <c r="T633">
        <f>7.5</f>
        <v>7.5</v>
      </c>
      <c r="U633">
        <f>356</f>
        <v>356</v>
      </c>
      <c r="V633">
        <f>0.07</f>
        <v>7.0000000000000007E-2</v>
      </c>
      <c r="X633">
        <f>1</f>
        <v>1</v>
      </c>
      <c r="Y633">
        <f>0.14</f>
        <v>0.14000000000000001</v>
      </c>
      <c r="Z633">
        <f>0</f>
        <v>0</v>
      </c>
      <c r="AA633" t="s">
        <v>158</v>
      </c>
      <c r="AB633" t="s">
        <v>158</v>
      </c>
      <c r="AC633">
        <f>0</f>
        <v>0</v>
      </c>
      <c r="AD633">
        <f>0</f>
        <v>0</v>
      </c>
      <c r="AE633">
        <f>0</f>
        <v>0</v>
      </c>
      <c r="AH633" t="s">
        <v>157</v>
      </c>
    </row>
    <row r="634" spans="1:135" x14ac:dyDescent="0.25">
      <c r="A634" t="s">
        <v>2369</v>
      </c>
      <c r="B634" t="s">
        <v>148</v>
      </c>
      <c r="C634" s="1">
        <v>45785</v>
      </c>
      <c r="D634" t="s">
        <v>149</v>
      </c>
      <c r="E634" t="s">
        <v>150</v>
      </c>
      <c r="F634" t="s">
        <v>151</v>
      </c>
      <c r="G634" t="s">
        <v>152</v>
      </c>
      <c r="H634">
        <v>10</v>
      </c>
      <c r="I634" t="s">
        <v>153</v>
      </c>
      <c r="J634">
        <v>41336</v>
      </c>
      <c r="K634" t="s">
        <v>5254</v>
      </c>
      <c r="L634" t="s">
        <v>154</v>
      </c>
      <c r="M634" t="s">
        <v>6080</v>
      </c>
      <c r="N634" t="s">
        <v>5555</v>
      </c>
      <c r="Q634" t="s">
        <v>6387</v>
      </c>
      <c r="R634">
        <f>1</f>
        <v>1</v>
      </c>
      <c r="S634">
        <f>15.4</f>
        <v>15.4</v>
      </c>
      <c r="T634">
        <f>7.4</f>
        <v>7.4</v>
      </c>
      <c r="U634">
        <f>549</f>
        <v>549</v>
      </c>
      <c r="X634">
        <f>0</f>
        <v>0</v>
      </c>
      <c r="Y634">
        <f>0.1</f>
        <v>0.1</v>
      </c>
      <c r="Z634">
        <f>0</f>
        <v>0</v>
      </c>
      <c r="AA634" t="s">
        <v>158</v>
      </c>
      <c r="AB634" t="s">
        <v>158</v>
      </c>
      <c r="AD634">
        <f>0</f>
        <v>0</v>
      </c>
      <c r="AE634">
        <f>0</f>
        <v>0</v>
      </c>
      <c r="AH634" t="s">
        <v>157</v>
      </c>
      <c r="BI634">
        <f>0.84</f>
        <v>0.84</v>
      </c>
      <c r="BL634" t="s">
        <v>168</v>
      </c>
      <c r="BM634" t="s">
        <v>168</v>
      </c>
      <c r="BN634" t="s">
        <v>168</v>
      </c>
      <c r="BO634" t="s">
        <v>168</v>
      </c>
      <c r="BP634" t="s">
        <v>168</v>
      </c>
      <c r="BQ634" t="s">
        <v>168</v>
      </c>
      <c r="BR634" t="s">
        <v>168</v>
      </c>
      <c r="BS634" t="s">
        <v>168</v>
      </c>
      <c r="BT634" t="s">
        <v>209</v>
      </c>
      <c r="BU634" t="s">
        <v>168</v>
      </c>
      <c r="BV634" t="s">
        <v>209</v>
      </c>
      <c r="BW634" t="s">
        <v>209</v>
      </c>
      <c r="BX634" t="s">
        <v>209</v>
      </c>
      <c r="BY634" t="s">
        <v>209</v>
      </c>
      <c r="BZ634" t="s">
        <v>216</v>
      </c>
      <c r="CA634" t="s">
        <v>216</v>
      </c>
      <c r="CB634" t="s">
        <v>168</v>
      </c>
      <c r="CC634" t="s">
        <v>168</v>
      </c>
      <c r="CD634" t="s">
        <v>216</v>
      </c>
      <c r="CE634" t="s">
        <v>209</v>
      </c>
      <c r="CF634" t="s">
        <v>168</v>
      </c>
      <c r="CG634" t="s">
        <v>168</v>
      </c>
      <c r="CH634" t="s">
        <v>165</v>
      </c>
      <c r="CI634" t="s">
        <v>216</v>
      </c>
      <c r="CJ634" t="s">
        <v>216</v>
      </c>
      <c r="CK634" t="s">
        <v>216</v>
      </c>
      <c r="CL634" t="s">
        <v>216</v>
      </c>
      <c r="CM634" t="s">
        <v>216</v>
      </c>
      <c r="CN634" t="s">
        <v>216</v>
      </c>
      <c r="CO634" t="s">
        <v>216</v>
      </c>
      <c r="CP634" t="s">
        <v>216</v>
      </c>
      <c r="CQ634" t="s">
        <v>216</v>
      </c>
      <c r="CR634" t="s">
        <v>216</v>
      </c>
      <c r="CS634" t="s">
        <v>216</v>
      </c>
      <c r="CT634" t="s">
        <v>216</v>
      </c>
      <c r="CU634" t="s">
        <v>216</v>
      </c>
      <c r="CV634" t="s">
        <v>216</v>
      </c>
      <c r="CW634" t="s">
        <v>216</v>
      </c>
      <c r="CX634" t="s">
        <v>216</v>
      </c>
      <c r="CY634" t="s">
        <v>216</v>
      </c>
      <c r="CZ634" t="s">
        <v>216</v>
      </c>
      <c r="DA634" t="s">
        <v>168</v>
      </c>
      <c r="DB634" t="s">
        <v>216</v>
      </c>
      <c r="DC634" t="s">
        <v>216</v>
      </c>
      <c r="DD634" t="s">
        <v>216</v>
      </c>
      <c r="DE634" t="s">
        <v>168</v>
      </c>
      <c r="DF634" t="s">
        <v>168</v>
      </c>
      <c r="DG634" t="s">
        <v>216</v>
      </c>
      <c r="DH634" t="s">
        <v>216</v>
      </c>
      <c r="DI634" t="s">
        <v>216</v>
      </c>
      <c r="DJ634" t="s">
        <v>216</v>
      </c>
      <c r="DK634" t="s">
        <v>168</v>
      </c>
      <c r="DL634" t="s">
        <v>216</v>
      </c>
      <c r="DM634" t="s">
        <v>216</v>
      </c>
      <c r="DN634" t="s">
        <v>216</v>
      </c>
      <c r="DO634" t="s">
        <v>216</v>
      </c>
      <c r="DP634" t="s">
        <v>168</v>
      </c>
      <c r="DQ634" t="s">
        <v>216</v>
      </c>
      <c r="DR634" t="s">
        <v>168</v>
      </c>
      <c r="DS634" t="s">
        <v>168</v>
      </c>
      <c r="DT634" t="s">
        <v>168</v>
      </c>
      <c r="DU634" t="s">
        <v>168</v>
      </c>
      <c r="DV634" t="s">
        <v>168</v>
      </c>
      <c r="DW634" t="s">
        <v>168</v>
      </c>
      <c r="DX634" t="s">
        <v>168</v>
      </c>
      <c r="DY634" t="s">
        <v>168</v>
      </c>
      <c r="DZ634" t="s">
        <v>209</v>
      </c>
      <c r="EA634" t="s">
        <v>216</v>
      </c>
      <c r="EB634" t="s">
        <v>168</v>
      </c>
      <c r="ED634" t="s">
        <v>209</v>
      </c>
      <c r="EE634" t="s">
        <v>168</v>
      </c>
    </row>
    <row r="635" spans="1:135" x14ac:dyDescent="0.25">
      <c r="A635" t="s">
        <v>2370</v>
      </c>
      <c r="B635" t="s">
        <v>148</v>
      </c>
      <c r="C635" s="1">
        <v>45806</v>
      </c>
      <c r="D635" t="s">
        <v>311</v>
      </c>
      <c r="E635" t="s">
        <v>312</v>
      </c>
      <c r="F635" t="s">
        <v>5147</v>
      </c>
      <c r="G635" t="s">
        <v>5186</v>
      </c>
      <c r="H635">
        <v>1469</v>
      </c>
      <c r="I635" t="s">
        <v>5187</v>
      </c>
      <c r="J635">
        <v>100</v>
      </c>
      <c r="K635" t="s">
        <v>5257</v>
      </c>
      <c r="L635" t="s">
        <v>431</v>
      </c>
      <c r="M635" t="s">
        <v>6081</v>
      </c>
      <c r="N635" t="s">
        <v>5025</v>
      </c>
      <c r="O635" t="s">
        <v>2371</v>
      </c>
      <c r="R635">
        <f>1</f>
        <v>1</v>
      </c>
      <c r="S635">
        <f>15.3</f>
        <v>15.3</v>
      </c>
      <c r="T635">
        <f>6.9</f>
        <v>6.9</v>
      </c>
      <c r="U635">
        <f>229</f>
        <v>229</v>
      </c>
      <c r="X635">
        <f>0</f>
        <v>0</v>
      </c>
      <c r="Y635" t="s">
        <v>157</v>
      </c>
      <c r="Z635">
        <f>0</f>
        <v>0</v>
      </c>
      <c r="AA635" t="s">
        <v>158</v>
      </c>
      <c r="AB635" t="s">
        <v>158</v>
      </c>
      <c r="AC635">
        <f>0</f>
        <v>0</v>
      </c>
      <c r="AD635">
        <f>0</f>
        <v>0</v>
      </c>
      <c r="AE635">
        <f>0</f>
        <v>0</v>
      </c>
      <c r="AH635" t="s">
        <v>157</v>
      </c>
      <c r="AI635" t="s">
        <v>238</v>
      </c>
      <c r="AL635" t="s">
        <v>164</v>
      </c>
      <c r="AM635" t="s">
        <v>165</v>
      </c>
      <c r="AN635">
        <f>7.5</f>
        <v>7.5</v>
      </c>
      <c r="AO635">
        <f>0.15</f>
        <v>0.15</v>
      </c>
      <c r="AP635">
        <f>6.5</f>
        <v>6.5</v>
      </c>
      <c r="AQ635">
        <f>14</f>
        <v>14</v>
      </c>
      <c r="AR635" t="s">
        <v>157</v>
      </c>
      <c r="BI635" t="s">
        <v>836</v>
      </c>
    </row>
    <row r="636" spans="1:135" x14ac:dyDescent="0.25">
      <c r="A636" t="s">
        <v>2372</v>
      </c>
      <c r="B636" t="s">
        <v>148</v>
      </c>
      <c r="C636" s="1">
        <v>45754</v>
      </c>
      <c r="D636" t="s">
        <v>222</v>
      </c>
      <c r="E636" t="s">
        <v>223</v>
      </c>
      <c r="F636" t="s">
        <v>2373</v>
      </c>
      <c r="G636" t="s">
        <v>2374</v>
      </c>
      <c r="H636">
        <v>1362</v>
      </c>
      <c r="I636" t="s">
        <v>2375</v>
      </c>
      <c r="J636">
        <v>110</v>
      </c>
      <c r="K636" t="s">
        <v>5257</v>
      </c>
      <c r="L636" t="s">
        <v>4966</v>
      </c>
      <c r="M636" t="s">
        <v>5428</v>
      </c>
      <c r="N636" t="s">
        <v>2376</v>
      </c>
      <c r="O636" t="s">
        <v>2377</v>
      </c>
      <c r="Q636" t="s">
        <v>6298</v>
      </c>
      <c r="R636">
        <f>1</f>
        <v>1</v>
      </c>
      <c r="S636">
        <f>12.1</f>
        <v>12.1</v>
      </c>
      <c r="T636">
        <f>8</f>
        <v>8</v>
      </c>
      <c r="U636">
        <f>253</f>
        <v>253</v>
      </c>
      <c r="X636">
        <f>1</f>
        <v>1</v>
      </c>
      <c r="Y636">
        <f>0.25</f>
        <v>0.25</v>
      </c>
      <c r="Z636">
        <f>0</f>
        <v>0</v>
      </c>
      <c r="AA636">
        <f>0</f>
        <v>0</v>
      </c>
      <c r="AB636">
        <f>0</f>
        <v>0</v>
      </c>
      <c r="AD636">
        <f>0</f>
        <v>0</v>
      </c>
      <c r="AE636">
        <f>0</f>
        <v>0</v>
      </c>
      <c r="AH636" t="s">
        <v>166</v>
      </c>
      <c r="BI636" t="s">
        <v>157</v>
      </c>
    </row>
    <row r="637" spans="1:135" x14ac:dyDescent="0.25">
      <c r="A637" t="s">
        <v>2378</v>
      </c>
      <c r="B637" t="s">
        <v>148</v>
      </c>
      <c r="C637" s="1">
        <v>45733</v>
      </c>
      <c r="D637" t="s">
        <v>317</v>
      </c>
      <c r="E637" t="s">
        <v>318</v>
      </c>
      <c r="F637" t="s">
        <v>6564</v>
      </c>
      <c r="G637" t="s">
        <v>6082</v>
      </c>
      <c r="H637">
        <v>1476</v>
      </c>
      <c r="I637" t="s">
        <v>6082</v>
      </c>
      <c r="J637">
        <v>119</v>
      </c>
      <c r="K637" t="s">
        <v>5254</v>
      </c>
      <c r="M637" t="s">
        <v>2379</v>
      </c>
      <c r="N637" t="s">
        <v>5556</v>
      </c>
      <c r="O637" t="s">
        <v>2380</v>
      </c>
      <c r="Q637" t="s">
        <v>329</v>
      </c>
      <c r="R637">
        <f>1</f>
        <v>1</v>
      </c>
      <c r="S637">
        <f>6.1</f>
        <v>6.1</v>
      </c>
      <c r="T637">
        <f>7.5</f>
        <v>7.5</v>
      </c>
      <c r="U637">
        <f>389</f>
        <v>389</v>
      </c>
      <c r="X637">
        <f>0</f>
        <v>0</v>
      </c>
      <c r="Y637" t="s">
        <v>157</v>
      </c>
      <c r="Z637">
        <f>0</f>
        <v>0</v>
      </c>
      <c r="AA637">
        <f>1</f>
        <v>1</v>
      </c>
      <c r="AB637">
        <f>0</f>
        <v>0</v>
      </c>
      <c r="AD637">
        <f>0</f>
        <v>0</v>
      </c>
      <c r="AE637">
        <f>0</f>
        <v>0</v>
      </c>
      <c r="AH637" t="s">
        <v>157</v>
      </c>
    </row>
    <row r="638" spans="1:135" x14ac:dyDescent="0.25">
      <c r="A638" t="s">
        <v>2381</v>
      </c>
      <c r="B638" t="s">
        <v>148</v>
      </c>
      <c r="C638" s="1">
        <v>45728</v>
      </c>
      <c r="D638" t="s">
        <v>317</v>
      </c>
      <c r="E638" t="s">
        <v>318</v>
      </c>
      <c r="F638" t="s">
        <v>2382</v>
      </c>
      <c r="G638" t="s">
        <v>2383</v>
      </c>
      <c r="H638">
        <v>1475</v>
      </c>
      <c r="I638" t="s">
        <v>2383</v>
      </c>
      <c r="J638">
        <v>115</v>
      </c>
      <c r="K638" t="s">
        <v>5254</v>
      </c>
      <c r="M638" t="s">
        <v>2384</v>
      </c>
      <c r="N638" t="s">
        <v>6083</v>
      </c>
      <c r="O638" t="s">
        <v>2385</v>
      </c>
      <c r="Q638" t="s">
        <v>4970</v>
      </c>
      <c r="R638">
        <f>1</f>
        <v>1</v>
      </c>
      <c r="S638">
        <f>8.6</f>
        <v>8.6</v>
      </c>
      <c r="T638">
        <f>7.8</f>
        <v>7.8</v>
      </c>
      <c r="U638">
        <f>252</f>
        <v>252</v>
      </c>
      <c r="X638">
        <f>0</f>
        <v>0</v>
      </c>
      <c r="Y638">
        <f>0.66</f>
        <v>0.66</v>
      </c>
      <c r="Z638">
        <f>0</f>
        <v>0</v>
      </c>
      <c r="AA638">
        <f>12</f>
        <v>12</v>
      </c>
      <c r="AB638">
        <f>2</f>
        <v>2</v>
      </c>
      <c r="AD638">
        <f>0</f>
        <v>0</v>
      </c>
      <c r="AE638">
        <f>0</f>
        <v>0</v>
      </c>
      <c r="AH638" t="s">
        <v>157</v>
      </c>
      <c r="BI638" t="s">
        <v>167</v>
      </c>
    </row>
    <row r="639" spans="1:135" x14ac:dyDescent="0.25">
      <c r="A639" t="s">
        <v>2386</v>
      </c>
      <c r="B639" t="s">
        <v>268</v>
      </c>
      <c r="C639" s="1">
        <v>45726</v>
      </c>
      <c r="D639" t="s">
        <v>269</v>
      </c>
      <c r="E639" t="s">
        <v>270</v>
      </c>
      <c r="F639" t="s">
        <v>271</v>
      </c>
      <c r="G639" t="s">
        <v>5188</v>
      </c>
      <c r="H639">
        <v>1489</v>
      </c>
      <c r="I639" t="s">
        <v>5188</v>
      </c>
      <c r="J639">
        <v>95</v>
      </c>
      <c r="K639" t="s">
        <v>5257</v>
      </c>
      <c r="L639" t="s">
        <v>387</v>
      </c>
      <c r="M639" t="s">
        <v>5557</v>
      </c>
      <c r="N639" t="s">
        <v>5026</v>
      </c>
      <c r="O639" t="s">
        <v>2387</v>
      </c>
      <c r="R639">
        <f>1</f>
        <v>1</v>
      </c>
      <c r="S639">
        <f>7.4</f>
        <v>7.4</v>
      </c>
      <c r="T639">
        <f>7.6</f>
        <v>7.6</v>
      </c>
      <c r="U639">
        <f>482</f>
        <v>482</v>
      </c>
      <c r="V639">
        <f>0.25</f>
        <v>0.25</v>
      </c>
      <c r="X639">
        <f>0</f>
        <v>0</v>
      </c>
      <c r="Y639">
        <f>0.06</f>
        <v>0.06</v>
      </c>
      <c r="Z639">
        <f>0</f>
        <v>0</v>
      </c>
      <c r="AA639">
        <f>167</f>
        <v>167</v>
      </c>
      <c r="AB639">
        <f>128</f>
        <v>128</v>
      </c>
      <c r="AC639">
        <f>0</f>
        <v>0</v>
      </c>
      <c r="AD639">
        <f>0</f>
        <v>0</v>
      </c>
      <c r="AE639">
        <f>0</f>
        <v>0</v>
      </c>
    </row>
    <row r="640" spans="1:135" x14ac:dyDescent="0.25">
      <c r="A640" t="s">
        <v>2388</v>
      </c>
      <c r="B640" t="s">
        <v>148</v>
      </c>
      <c r="C640" s="1">
        <v>45814</v>
      </c>
      <c r="D640" t="s">
        <v>311</v>
      </c>
      <c r="E640" t="s">
        <v>312</v>
      </c>
      <c r="F640" t="s">
        <v>4780</v>
      </c>
      <c r="G640" t="s">
        <v>2389</v>
      </c>
      <c r="H640">
        <v>1234</v>
      </c>
      <c r="I640" t="s">
        <v>2389</v>
      </c>
      <c r="J640">
        <v>135</v>
      </c>
      <c r="K640" t="s">
        <v>5257</v>
      </c>
      <c r="L640" t="s">
        <v>4775</v>
      </c>
      <c r="M640" t="s">
        <v>4833</v>
      </c>
      <c r="N640" t="s">
        <v>4834</v>
      </c>
      <c r="O640" t="s">
        <v>2390</v>
      </c>
      <c r="R640">
        <f>1</f>
        <v>1</v>
      </c>
      <c r="S640">
        <f>15.9</f>
        <v>15.9</v>
      </c>
      <c r="T640">
        <f>7.5</f>
        <v>7.5</v>
      </c>
      <c r="U640">
        <f>99</f>
        <v>99</v>
      </c>
      <c r="X640">
        <f>0</f>
        <v>0</v>
      </c>
      <c r="Y640" t="s">
        <v>157</v>
      </c>
      <c r="Z640">
        <f>0</f>
        <v>0</v>
      </c>
      <c r="AA640" t="s">
        <v>158</v>
      </c>
      <c r="AB640" t="s">
        <v>158</v>
      </c>
      <c r="AC640">
        <f>0</f>
        <v>0</v>
      </c>
      <c r="AD640">
        <f>0</f>
        <v>0</v>
      </c>
      <c r="AE640">
        <f>0</f>
        <v>0</v>
      </c>
      <c r="AH640" t="s">
        <v>157</v>
      </c>
    </row>
    <row r="641" spans="1:61" x14ac:dyDescent="0.25">
      <c r="A641" t="s">
        <v>2391</v>
      </c>
      <c r="B641" t="s">
        <v>148</v>
      </c>
      <c r="C641" s="1">
        <v>45758</v>
      </c>
      <c r="D641" t="s">
        <v>311</v>
      </c>
      <c r="E641" t="s">
        <v>312</v>
      </c>
      <c r="F641" t="s">
        <v>349</v>
      </c>
      <c r="G641" t="s">
        <v>5189</v>
      </c>
      <c r="H641">
        <v>1492</v>
      </c>
      <c r="I641" t="s">
        <v>5189</v>
      </c>
      <c r="J641">
        <v>96</v>
      </c>
      <c r="K641" t="s">
        <v>5254</v>
      </c>
      <c r="L641" t="s">
        <v>4775</v>
      </c>
      <c r="M641" t="s">
        <v>2392</v>
      </c>
      <c r="N641" t="s">
        <v>5027</v>
      </c>
      <c r="O641" t="s">
        <v>2393</v>
      </c>
      <c r="R641">
        <f>1</f>
        <v>1</v>
      </c>
      <c r="S641">
        <f>10</f>
        <v>10</v>
      </c>
      <c r="T641">
        <f>7.7</f>
        <v>7.7</v>
      </c>
      <c r="U641">
        <f>171</f>
        <v>171</v>
      </c>
      <c r="X641">
        <f>0</f>
        <v>0</v>
      </c>
      <c r="Y641" t="s">
        <v>157</v>
      </c>
      <c r="Z641">
        <f>0</f>
        <v>0</v>
      </c>
      <c r="AA641" t="s">
        <v>158</v>
      </c>
      <c r="AB641" t="s">
        <v>158</v>
      </c>
      <c r="AD641">
        <f>0</f>
        <v>0</v>
      </c>
      <c r="AE641">
        <f>0</f>
        <v>0</v>
      </c>
      <c r="AH641" t="s">
        <v>157</v>
      </c>
    </row>
    <row r="642" spans="1:61" x14ac:dyDescent="0.25">
      <c r="A642" t="s">
        <v>2394</v>
      </c>
      <c r="B642" t="s">
        <v>148</v>
      </c>
      <c r="C642" s="1">
        <v>45722</v>
      </c>
      <c r="D642" t="s">
        <v>175</v>
      </c>
      <c r="E642" t="s">
        <v>649</v>
      </c>
      <c r="F642" t="s">
        <v>685</v>
      </c>
      <c r="G642" t="s">
        <v>6737</v>
      </c>
      <c r="H642">
        <v>1517</v>
      </c>
      <c r="I642" t="s">
        <v>6737</v>
      </c>
      <c r="J642">
        <v>200</v>
      </c>
      <c r="K642" t="s">
        <v>5254</v>
      </c>
      <c r="M642" t="s">
        <v>6738</v>
      </c>
      <c r="N642" t="s">
        <v>6739</v>
      </c>
      <c r="O642" t="s">
        <v>2395</v>
      </c>
      <c r="Q642" t="s">
        <v>6740</v>
      </c>
      <c r="R642">
        <f>1</f>
        <v>1</v>
      </c>
      <c r="S642">
        <f>10.3</f>
        <v>10.3</v>
      </c>
      <c r="T642">
        <f>7.5</f>
        <v>7.5</v>
      </c>
      <c r="U642">
        <f>552</f>
        <v>552</v>
      </c>
      <c r="X642">
        <f>1</f>
        <v>1</v>
      </c>
      <c r="Y642">
        <f>0.1</f>
        <v>0.1</v>
      </c>
      <c r="Z642">
        <f>0</f>
        <v>0</v>
      </c>
      <c r="AA642" t="s">
        <v>158</v>
      </c>
      <c r="AB642" t="s">
        <v>158</v>
      </c>
      <c r="AD642">
        <f>0</f>
        <v>0</v>
      </c>
      <c r="AE642">
        <f>0</f>
        <v>0</v>
      </c>
    </row>
    <row r="643" spans="1:61" x14ac:dyDescent="0.25">
      <c r="A643" t="s">
        <v>2396</v>
      </c>
      <c r="B643" t="s">
        <v>268</v>
      </c>
      <c r="C643" s="1">
        <v>45758</v>
      </c>
      <c r="D643" t="s">
        <v>311</v>
      </c>
      <c r="E643" t="s">
        <v>312</v>
      </c>
      <c r="F643" t="s">
        <v>2397</v>
      </c>
      <c r="G643" t="s">
        <v>2398</v>
      </c>
      <c r="H643">
        <v>1505</v>
      </c>
      <c r="I643" t="s">
        <v>2397</v>
      </c>
      <c r="J643">
        <v>50</v>
      </c>
      <c r="K643" t="s">
        <v>5257</v>
      </c>
      <c r="M643" t="s">
        <v>4835</v>
      </c>
      <c r="N643" t="s">
        <v>6084</v>
      </c>
      <c r="O643" t="s">
        <v>2399</v>
      </c>
      <c r="R643">
        <f>1</f>
        <v>1</v>
      </c>
      <c r="S643">
        <f>8.3</f>
        <v>8.3000000000000007</v>
      </c>
      <c r="T643">
        <f>6.5</f>
        <v>6.5</v>
      </c>
      <c r="U643">
        <f>48</f>
        <v>48</v>
      </c>
      <c r="X643">
        <f>0</f>
        <v>0</v>
      </c>
      <c r="Y643" t="s">
        <v>157</v>
      </c>
      <c r="Z643">
        <f>0</f>
        <v>0</v>
      </c>
      <c r="AA643" t="s">
        <v>158</v>
      </c>
      <c r="AB643" t="s">
        <v>158</v>
      </c>
      <c r="AC643">
        <f>0</f>
        <v>0</v>
      </c>
      <c r="AD643">
        <f>0</f>
        <v>0</v>
      </c>
      <c r="AE643">
        <f>2</f>
        <v>2</v>
      </c>
      <c r="AH643" t="s">
        <v>157</v>
      </c>
      <c r="BI643">
        <f>0.18</f>
        <v>0.18</v>
      </c>
    </row>
    <row r="644" spans="1:61" x14ac:dyDescent="0.25">
      <c r="A644" t="s">
        <v>2400</v>
      </c>
      <c r="B644" t="s">
        <v>148</v>
      </c>
      <c r="C644" s="1">
        <v>45751</v>
      </c>
      <c r="D644" t="s">
        <v>317</v>
      </c>
      <c r="E644" t="s">
        <v>318</v>
      </c>
      <c r="F644" t="s">
        <v>338</v>
      </c>
      <c r="G644" t="s">
        <v>6741</v>
      </c>
      <c r="H644">
        <v>58</v>
      </c>
      <c r="I644" t="s">
        <v>6741</v>
      </c>
      <c r="J644">
        <v>172</v>
      </c>
      <c r="K644" t="s">
        <v>5254</v>
      </c>
      <c r="L644" t="s">
        <v>180</v>
      </c>
      <c r="M644" t="s">
        <v>4836</v>
      </c>
      <c r="N644" t="s">
        <v>4837</v>
      </c>
      <c r="O644" t="s">
        <v>2401</v>
      </c>
      <c r="Q644" t="s">
        <v>6388</v>
      </c>
      <c r="R644">
        <f>1</f>
        <v>1</v>
      </c>
      <c r="S644">
        <f>8.4</f>
        <v>8.4</v>
      </c>
      <c r="T644">
        <f>7.7</f>
        <v>7.7</v>
      </c>
      <c r="U644">
        <f>371</f>
        <v>371</v>
      </c>
      <c r="X644">
        <f>0</f>
        <v>0</v>
      </c>
      <c r="Y644" t="s">
        <v>157</v>
      </c>
      <c r="Z644">
        <f>0</f>
        <v>0</v>
      </c>
      <c r="AA644">
        <f>3</f>
        <v>3</v>
      </c>
      <c r="AB644">
        <f>3</f>
        <v>3</v>
      </c>
      <c r="AD644">
        <f>0</f>
        <v>0</v>
      </c>
      <c r="AE644">
        <f>0</f>
        <v>0</v>
      </c>
      <c r="AH644" t="s">
        <v>157</v>
      </c>
    </row>
    <row r="645" spans="1:61" x14ac:dyDescent="0.25">
      <c r="A645" t="s">
        <v>2402</v>
      </c>
      <c r="B645" t="s">
        <v>148</v>
      </c>
      <c r="C645" s="1">
        <v>45721</v>
      </c>
      <c r="D645" t="s">
        <v>175</v>
      </c>
      <c r="E645" t="s">
        <v>176</v>
      </c>
      <c r="F645" t="s">
        <v>690</v>
      </c>
      <c r="G645" t="s">
        <v>4838</v>
      </c>
      <c r="H645">
        <v>1522</v>
      </c>
      <c r="I645" t="s">
        <v>4838</v>
      </c>
      <c r="J645">
        <v>249</v>
      </c>
      <c r="K645" t="s">
        <v>5254</v>
      </c>
      <c r="L645" t="s">
        <v>4963</v>
      </c>
      <c r="M645" t="s">
        <v>2403</v>
      </c>
      <c r="N645" t="s">
        <v>4839</v>
      </c>
      <c r="O645" t="s">
        <v>2404</v>
      </c>
      <c r="R645">
        <f>1</f>
        <v>1</v>
      </c>
      <c r="S645">
        <f>6.6</f>
        <v>6.6</v>
      </c>
      <c r="T645">
        <f>7.7</f>
        <v>7.7</v>
      </c>
      <c r="U645">
        <f>402</f>
        <v>402</v>
      </c>
      <c r="V645">
        <f>0.18</f>
        <v>0.18</v>
      </c>
      <c r="X645">
        <f>1</f>
        <v>1</v>
      </c>
      <c r="Y645" t="s">
        <v>157</v>
      </c>
      <c r="Z645">
        <f>0</f>
        <v>0</v>
      </c>
      <c r="AA645" t="s">
        <v>158</v>
      </c>
      <c r="AB645" t="s">
        <v>158</v>
      </c>
      <c r="AC645">
        <f>0</f>
        <v>0</v>
      </c>
      <c r="AD645">
        <f>0</f>
        <v>0</v>
      </c>
      <c r="AE645">
        <f>0</f>
        <v>0</v>
      </c>
    </row>
    <row r="646" spans="1:61" x14ac:dyDescent="0.25">
      <c r="A646" t="s">
        <v>2405</v>
      </c>
      <c r="B646" t="s">
        <v>148</v>
      </c>
      <c r="C646" s="1">
        <v>45722</v>
      </c>
      <c r="D646" t="s">
        <v>175</v>
      </c>
      <c r="E646" t="s">
        <v>649</v>
      </c>
      <c r="F646" t="s">
        <v>6085</v>
      </c>
      <c r="G646" t="s">
        <v>5558</v>
      </c>
      <c r="H646">
        <v>1524</v>
      </c>
      <c r="I646" t="s">
        <v>5558</v>
      </c>
      <c r="J646">
        <v>241</v>
      </c>
      <c r="K646" t="s">
        <v>5257</v>
      </c>
      <c r="M646" t="s">
        <v>5434</v>
      </c>
      <c r="N646" t="s">
        <v>6086</v>
      </c>
      <c r="O646" t="s">
        <v>2406</v>
      </c>
      <c r="R646">
        <f>1</f>
        <v>1</v>
      </c>
      <c r="S646">
        <f>11.9</f>
        <v>11.9</v>
      </c>
      <c r="T646">
        <f>7.7</f>
        <v>7.7</v>
      </c>
      <c r="U646">
        <f>415</f>
        <v>415</v>
      </c>
      <c r="X646">
        <f>1</f>
        <v>1</v>
      </c>
      <c r="Y646" t="s">
        <v>157</v>
      </c>
      <c r="Z646">
        <f>0</f>
        <v>0</v>
      </c>
      <c r="AA646" t="s">
        <v>158</v>
      </c>
      <c r="AB646" t="s">
        <v>158</v>
      </c>
      <c r="AC646">
        <f>0</f>
        <v>0</v>
      </c>
      <c r="AD646">
        <f>0</f>
        <v>0</v>
      </c>
      <c r="AE646">
        <f>0</f>
        <v>0</v>
      </c>
      <c r="BI646" t="s">
        <v>836</v>
      </c>
    </row>
    <row r="647" spans="1:61" x14ac:dyDescent="0.25">
      <c r="A647" t="s">
        <v>2407</v>
      </c>
      <c r="B647" t="s">
        <v>148</v>
      </c>
      <c r="C647" s="1">
        <v>45728</v>
      </c>
      <c r="D647" t="s">
        <v>175</v>
      </c>
      <c r="E647" t="s">
        <v>649</v>
      </c>
      <c r="F647" t="s">
        <v>685</v>
      </c>
      <c r="G647" t="s">
        <v>5559</v>
      </c>
      <c r="H647">
        <v>1526</v>
      </c>
      <c r="I647" t="s">
        <v>5559</v>
      </c>
      <c r="J647">
        <v>155</v>
      </c>
      <c r="K647" t="s">
        <v>5257</v>
      </c>
      <c r="L647" t="s">
        <v>431</v>
      </c>
      <c r="M647" t="s">
        <v>5560</v>
      </c>
      <c r="N647" t="s">
        <v>6087</v>
      </c>
      <c r="O647" t="s">
        <v>2408</v>
      </c>
      <c r="R647">
        <f>1</f>
        <v>1</v>
      </c>
      <c r="S647">
        <f>9</f>
        <v>9</v>
      </c>
      <c r="T647">
        <f>7.5</f>
        <v>7.5</v>
      </c>
      <c r="U647">
        <f>552</f>
        <v>552</v>
      </c>
      <c r="X647">
        <f>1</f>
        <v>1</v>
      </c>
      <c r="Y647" t="s">
        <v>157</v>
      </c>
      <c r="Z647">
        <f>0</f>
        <v>0</v>
      </c>
      <c r="AA647" t="s">
        <v>158</v>
      </c>
      <c r="AB647" t="s">
        <v>158</v>
      </c>
      <c r="AC647">
        <f>0</f>
        <v>0</v>
      </c>
      <c r="AD647">
        <f>0</f>
        <v>0</v>
      </c>
      <c r="AE647">
        <f>0</f>
        <v>0</v>
      </c>
    </row>
    <row r="648" spans="1:61" x14ac:dyDescent="0.25">
      <c r="A648" t="s">
        <v>2409</v>
      </c>
      <c r="B648" t="s">
        <v>148</v>
      </c>
      <c r="C648" s="1">
        <v>45818</v>
      </c>
      <c r="D648" t="s">
        <v>311</v>
      </c>
      <c r="E648" t="s">
        <v>312</v>
      </c>
      <c r="F648" t="s">
        <v>1619</v>
      </c>
      <c r="G648" t="s">
        <v>2410</v>
      </c>
      <c r="H648">
        <v>1245</v>
      </c>
      <c r="I648" t="s">
        <v>2410</v>
      </c>
      <c r="J648">
        <v>50</v>
      </c>
      <c r="K648" t="s">
        <v>5257</v>
      </c>
      <c r="L648" t="s">
        <v>180</v>
      </c>
      <c r="M648" t="s">
        <v>5561</v>
      </c>
      <c r="N648" t="s">
        <v>2411</v>
      </c>
      <c r="O648" t="s">
        <v>2412</v>
      </c>
      <c r="R648">
        <f>1</f>
        <v>1</v>
      </c>
      <c r="S648">
        <f>16.5</f>
        <v>16.5</v>
      </c>
      <c r="T648">
        <f>6.5</f>
        <v>6.5</v>
      </c>
      <c r="U648">
        <f>142</f>
        <v>142</v>
      </c>
      <c r="X648">
        <f>0</f>
        <v>0</v>
      </c>
      <c r="Y648" t="s">
        <v>157</v>
      </c>
      <c r="Z648">
        <f>0</f>
        <v>0</v>
      </c>
      <c r="AA648" t="s">
        <v>158</v>
      </c>
      <c r="AB648" t="s">
        <v>158</v>
      </c>
      <c r="AC648">
        <f>0</f>
        <v>0</v>
      </c>
      <c r="AD648">
        <f>0</f>
        <v>0</v>
      </c>
      <c r="AE648">
        <f>0</f>
        <v>0</v>
      </c>
      <c r="AH648" t="s">
        <v>157</v>
      </c>
    </row>
    <row r="649" spans="1:61" x14ac:dyDescent="0.25">
      <c r="A649" t="s">
        <v>2413</v>
      </c>
      <c r="B649" t="s">
        <v>148</v>
      </c>
      <c r="C649" s="1">
        <v>45727</v>
      </c>
      <c r="D649" t="s">
        <v>269</v>
      </c>
      <c r="E649" t="s">
        <v>270</v>
      </c>
      <c r="F649" t="s">
        <v>2414</v>
      </c>
      <c r="G649" t="s">
        <v>2415</v>
      </c>
      <c r="H649">
        <v>455</v>
      </c>
      <c r="I649" t="s">
        <v>2415</v>
      </c>
      <c r="J649">
        <v>198</v>
      </c>
      <c r="K649" t="s">
        <v>5254</v>
      </c>
      <c r="L649" t="s">
        <v>180</v>
      </c>
      <c r="M649" t="s">
        <v>2416</v>
      </c>
      <c r="N649" t="s">
        <v>2417</v>
      </c>
      <c r="O649" t="s">
        <v>1531</v>
      </c>
      <c r="Q649" t="s">
        <v>6389</v>
      </c>
      <c r="R649">
        <f>1</f>
        <v>1</v>
      </c>
      <c r="S649">
        <f>9.3</f>
        <v>9.3000000000000007</v>
      </c>
      <c r="T649">
        <f>7.4</f>
        <v>7.4</v>
      </c>
      <c r="U649">
        <f>534</f>
        <v>534</v>
      </c>
      <c r="X649">
        <f>0</f>
        <v>0</v>
      </c>
      <c r="Y649">
        <f>0.15</f>
        <v>0.15</v>
      </c>
      <c r="Z649">
        <f>0</f>
        <v>0</v>
      </c>
      <c r="AA649" t="s">
        <v>158</v>
      </c>
      <c r="AB649" t="s">
        <v>158</v>
      </c>
      <c r="AD649">
        <f>0</f>
        <v>0</v>
      </c>
      <c r="AE649">
        <f>0</f>
        <v>0</v>
      </c>
      <c r="BI649">
        <f>0.13</f>
        <v>0.13</v>
      </c>
    </row>
    <row r="650" spans="1:61" x14ac:dyDescent="0.25">
      <c r="A650" t="s">
        <v>2418</v>
      </c>
      <c r="B650" t="s">
        <v>148</v>
      </c>
      <c r="C650" s="1">
        <v>45888</v>
      </c>
      <c r="D650" t="s">
        <v>222</v>
      </c>
      <c r="E650" t="s">
        <v>223</v>
      </c>
      <c r="F650" t="s">
        <v>469</v>
      </c>
      <c r="G650" t="s">
        <v>6742</v>
      </c>
      <c r="H650">
        <v>401</v>
      </c>
      <c r="I650" t="s">
        <v>6742</v>
      </c>
      <c r="J650">
        <v>98</v>
      </c>
      <c r="K650" t="s">
        <v>5257</v>
      </c>
      <c r="L650" t="s">
        <v>393</v>
      </c>
      <c r="M650" t="s">
        <v>5487</v>
      </c>
      <c r="N650" t="s">
        <v>5562</v>
      </c>
      <c r="O650" t="s">
        <v>2419</v>
      </c>
      <c r="R650">
        <f>1</f>
        <v>1</v>
      </c>
      <c r="S650">
        <f>22.1</f>
        <v>22.1</v>
      </c>
      <c r="T650">
        <f>8</f>
        <v>8</v>
      </c>
      <c r="U650">
        <f>270</f>
        <v>270</v>
      </c>
      <c r="V650">
        <f>0.07</f>
        <v>7.0000000000000007E-2</v>
      </c>
      <c r="X650">
        <f>1</f>
        <v>1</v>
      </c>
      <c r="Y650">
        <f>0.2</f>
        <v>0.2</v>
      </c>
      <c r="Z650">
        <f>0</f>
        <v>0</v>
      </c>
      <c r="AA650">
        <f>0</f>
        <v>0</v>
      </c>
      <c r="AB650">
        <f>0</f>
        <v>0</v>
      </c>
      <c r="AC650">
        <f>0</f>
        <v>0</v>
      </c>
      <c r="AD650">
        <f>0</f>
        <v>0</v>
      </c>
      <c r="AE650">
        <f>0</f>
        <v>0</v>
      </c>
      <c r="AH650" t="s">
        <v>166</v>
      </c>
    </row>
    <row r="651" spans="1:61" x14ac:dyDescent="0.25">
      <c r="A651" t="s">
        <v>2420</v>
      </c>
      <c r="B651" t="s">
        <v>148</v>
      </c>
      <c r="C651" s="1">
        <v>45888</v>
      </c>
      <c r="D651" t="s">
        <v>222</v>
      </c>
      <c r="E651" t="s">
        <v>223</v>
      </c>
      <c r="F651" t="s">
        <v>469</v>
      </c>
      <c r="G651" t="s">
        <v>2421</v>
      </c>
      <c r="H651">
        <v>1375</v>
      </c>
      <c r="I651" t="s">
        <v>2422</v>
      </c>
      <c r="J651">
        <v>122</v>
      </c>
      <c r="K651" t="s">
        <v>5257</v>
      </c>
      <c r="L651" t="s">
        <v>393</v>
      </c>
      <c r="M651" t="s">
        <v>5563</v>
      </c>
      <c r="N651" t="s">
        <v>2423</v>
      </c>
      <c r="O651" t="s">
        <v>2424</v>
      </c>
      <c r="Q651" t="s">
        <v>6336</v>
      </c>
      <c r="R651">
        <f>1</f>
        <v>1</v>
      </c>
      <c r="S651">
        <f>20.4</f>
        <v>20.399999999999999</v>
      </c>
      <c r="T651">
        <f>8</f>
        <v>8</v>
      </c>
      <c r="U651">
        <f>236</f>
        <v>236</v>
      </c>
      <c r="V651">
        <f>0.06</f>
        <v>0.06</v>
      </c>
      <c r="X651">
        <f>1</f>
        <v>1</v>
      </c>
      <c r="Y651">
        <f>0.11</f>
        <v>0.11</v>
      </c>
      <c r="Z651">
        <f>0</f>
        <v>0</v>
      </c>
      <c r="AA651">
        <f>0</f>
        <v>0</v>
      </c>
      <c r="AB651">
        <f>0</f>
        <v>0</v>
      </c>
      <c r="AC651">
        <f>0</f>
        <v>0</v>
      </c>
      <c r="AD651">
        <f>0</f>
        <v>0</v>
      </c>
      <c r="AE651">
        <f>0</f>
        <v>0</v>
      </c>
      <c r="AH651" t="s">
        <v>166</v>
      </c>
      <c r="AI651">
        <f>0.31</f>
        <v>0.31</v>
      </c>
      <c r="AL651" t="s">
        <v>168</v>
      </c>
      <c r="AM651" t="s">
        <v>164</v>
      </c>
      <c r="AN651">
        <f>4.9</f>
        <v>4.9000000000000004</v>
      </c>
      <c r="AO651">
        <f>0.1</f>
        <v>0.1</v>
      </c>
      <c r="AP651">
        <f>3.9</f>
        <v>3.9</v>
      </c>
      <c r="AQ651">
        <f>1</f>
        <v>1</v>
      </c>
      <c r="AR651" t="s">
        <v>167</v>
      </c>
    </row>
    <row r="652" spans="1:61" x14ac:dyDescent="0.25">
      <c r="A652" t="s">
        <v>2425</v>
      </c>
      <c r="B652" t="s">
        <v>148</v>
      </c>
      <c r="C652" s="1">
        <v>45876</v>
      </c>
      <c r="D652" t="s">
        <v>222</v>
      </c>
      <c r="E652" t="s">
        <v>223</v>
      </c>
      <c r="F652" t="s">
        <v>469</v>
      </c>
      <c r="G652" t="s">
        <v>6743</v>
      </c>
      <c r="H652">
        <v>422</v>
      </c>
      <c r="I652" t="s">
        <v>6743</v>
      </c>
      <c r="J652">
        <v>89</v>
      </c>
      <c r="K652" t="s">
        <v>5257</v>
      </c>
      <c r="L652" t="s">
        <v>431</v>
      </c>
      <c r="M652" t="s">
        <v>5564</v>
      </c>
      <c r="N652" t="s">
        <v>4840</v>
      </c>
      <c r="O652" t="s">
        <v>2426</v>
      </c>
      <c r="R652">
        <f>1</f>
        <v>1</v>
      </c>
      <c r="S652">
        <f>19.9</f>
        <v>19.899999999999999</v>
      </c>
      <c r="T652">
        <f>8</f>
        <v>8</v>
      </c>
      <c r="U652">
        <f>265</f>
        <v>265</v>
      </c>
      <c r="V652" t="s">
        <v>209</v>
      </c>
      <c r="X652">
        <f>1</f>
        <v>1</v>
      </c>
      <c r="Y652">
        <f>0.15</f>
        <v>0.15</v>
      </c>
      <c r="Z652">
        <f>0</f>
        <v>0</v>
      </c>
      <c r="AA652">
        <f>5</f>
        <v>5</v>
      </c>
      <c r="AB652">
        <f>0</f>
        <v>0</v>
      </c>
      <c r="AC652">
        <f>0</f>
        <v>0</v>
      </c>
      <c r="AD652">
        <f>0</f>
        <v>0</v>
      </c>
      <c r="AE652">
        <f>0</f>
        <v>0</v>
      </c>
      <c r="AH652" t="s">
        <v>166</v>
      </c>
      <c r="AI652">
        <f>0.41</f>
        <v>0.41</v>
      </c>
      <c r="AL652" t="s">
        <v>168</v>
      </c>
      <c r="AM652" t="s">
        <v>164</v>
      </c>
      <c r="AN652">
        <f>4.4</f>
        <v>4.4000000000000004</v>
      </c>
      <c r="AO652">
        <f>0.09</f>
        <v>0.09</v>
      </c>
      <c r="AP652">
        <f>5.6</f>
        <v>5.6</v>
      </c>
      <c r="AQ652">
        <f>1.3</f>
        <v>1.3</v>
      </c>
      <c r="AR652" t="s">
        <v>167</v>
      </c>
    </row>
    <row r="653" spans="1:61" x14ac:dyDescent="0.25">
      <c r="A653" t="s">
        <v>2427</v>
      </c>
      <c r="B653" t="s">
        <v>148</v>
      </c>
      <c r="C653" s="1">
        <v>45874</v>
      </c>
      <c r="D653" t="s">
        <v>222</v>
      </c>
      <c r="E653" t="s">
        <v>223</v>
      </c>
      <c r="F653" t="s">
        <v>469</v>
      </c>
      <c r="G653" t="s">
        <v>2428</v>
      </c>
      <c r="H653">
        <v>279</v>
      </c>
      <c r="I653" t="s">
        <v>2428</v>
      </c>
      <c r="J653">
        <v>85</v>
      </c>
      <c r="K653" t="s">
        <v>5257</v>
      </c>
      <c r="L653" t="s">
        <v>431</v>
      </c>
      <c r="M653" t="s">
        <v>5565</v>
      </c>
      <c r="N653" t="s">
        <v>2429</v>
      </c>
      <c r="O653" t="s">
        <v>2430</v>
      </c>
      <c r="R653">
        <f>1</f>
        <v>1</v>
      </c>
      <c r="S653">
        <f>18.3</f>
        <v>18.3</v>
      </c>
      <c r="T653">
        <f>7.8</f>
        <v>7.8</v>
      </c>
      <c r="U653">
        <f>209</f>
        <v>209</v>
      </c>
      <c r="V653">
        <f>0.07</f>
        <v>7.0000000000000007E-2</v>
      </c>
      <c r="X653">
        <f>1</f>
        <v>1</v>
      </c>
      <c r="Y653">
        <f>0.15</f>
        <v>0.15</v>
      </c>
      <c r="Z653">
        <f>0</f>
        <v>0</v>
      </c>
      <c r="AA653">
        <f>0</f>
        <v>0</v>
      </c>
      <c r="AB653">
        <f>1</f>
        <v>1</v>
      </c>
      <c r="AC653">
        <f>0</f>
        <v>0</v>
      </c>
      <c r="AD653">
        <f>0</f>
        <v>0</v>
      </c>
      <c r="AE653">
        <f>0</f>
        <v>0</v>
      </c>
      <c r="AH653" t="s">
        <v>166</v>
      </c>
      <c r="AI653" t="s">
        <v>300</v>
      </c>
      <c r="AL653" t="s">
        <v>168</v>
      </c>
      <c r="AM653" t="s">
        <v>164</v>
      </c>
      <c r="AN653">
        <f>1.9</f>
        <v>1.9</v>
      </c>
      <c r="AO653">
        <f>0.06</f>
        <v>0.06</v>
      </c>
      <c r="AP653">
        <f>4.2</f>
        <v>4.2</v>
      </c>
      <c r="AQ653">
        <f>3.3</f>
        <v>3.3</v>
      </c>
      <c r="AR653" t="s">
        <v>167</v>
      </c>
    </row>
    <row r="654" spans="1:61" x14ac:dyDescent="0.25">
      <c r="A654" t="s">
        <v>2431</v>
      </c>
      <c r="B654" t="s">
        <v>148</v>
      </c>
      <c r="C654" s="1">
        <v>45758</v>
      </c>
      <c r="D654" t="s">
        <v>311</v>
      </c>
      <c r="E654" t="s">
        <v>312</v>
      </c>
      <c r="F654" t="s">
        <v>5147</v>
      </c>
      <c r="G654" t="s">
        <v>2432</v>
      </c>
      <c r="H654">
        <v>1199</v>
      </c>
      <c r="I654" t="s">
        <v>2433</v>
      </c>
      <c r="J654">
        <v>120</v>
      </c>
      <c r="K654" t="s">
        <v>5257</v>
      </c>
      <c r="L654" t="s">
        <v>180</v>
      </c>
      <c r="M654" t="s">
        <v>5028</v>
      </c>
      <c r="N654" t="s">
        <v>5029</v>
      </c>
      <c r="O654" t="s">
        <v>2434</v>
      </c>
      <c r="R654">
        <f>1</f>
        <v>1</v>
      </c>
      <c r="S654">
        <f>9.8</f>
        <v>9.8000000000000007</v>
      </c>
      <c r="T654">
        <f>7.9</f>
        <v>7.9</v>
      </c>
      <c r="U654">
        <f>527</f>
        <v>527</v>
      </c>
      <c r="X654">
        <f>0</f>
        <v>0</v>
      </c>
      <c r="Y654" t="s">
        <v>157</v>
      </c>
      <c r="Z654">
        <f>0</f>
        <v>0</v>
      </c>
      <c r="AA654" t="s">
        <v>158</v>
      </c>
      <c r="AB654" t="s">
        <v>158</v>
      </c>
      <c r="AC654">
        <f>0</f>
        <v>0</v>
      </c>
      <c r="AD654">
        <f>0</f>
        <v>0</v>
      </c>
      <c r="AE654">
        <f>0</f>
        <v>0</v>
      </c>
      <c r="AH654" t="s">
        <v>157</v>
      </c>
      <c r="BI654" t="s">
        <v>836</v>
      </c>
    </row>
    <row r="655" spans="1:61" x14ac:dyDescent="0.25">
      <c r="A655" t="s">
        <v>2435</v>
      </c>
      <c r="B655" t="s">
        <v>148</v>
      </c>
      <c r="C655" s="1">
        <v>45722</v>
      </c>
      <c r="D655" t="s">
        <v>175</v>
      </c>
      <c r="E655" t="s">
        <v>649</v>
      </c>
      <c r="F655" t="s">
        <v>685</v>
      </c>
      <c r="G655" t="s">
        <v>2436</v>
      </c>
      <c r="H655">
        <v>1543</v>
      </c>
      <c r="I655" t="s">
        <v>2437</v>
      </c>
      <c r="J655">
        <v>240</v>
      </c>
      <c r="K655" t="s">
        <v>5257</v>
      </c>
      <c r="L655" t="s">
        <v>927</v>
      </c>
      <c r="M655" t="s">
        <v>6088</v>
      </c>
      <c r="N655" t="s">
        <v>5566</v>
      </c>
      <c r="O655" t="s">
        <v>2438</v>
      </c>
      <c r="R655">
        <f>1</f>
        <v>1</v>
      </c>
      <c r="S655">
        <f>8.9</f>
        <v>8.9</v>
      </c>
      <c r="T655">
        <f>7.4</f>
        <v>7.4</v>
      </c>
      <c r="U655">
        <f>625</f>
        <v>625</v>
      </c>
      <c r="V655">
        <f>0.17</f>
        <v>0.17</v>
      </c>
      <c r="X655">
        <f>1</f>
        <v>1</v>
      </c>
      <c r="Y655" t="s">
        <v>157</v>
      </c>
      <c r="Z655">
        <f>0</f>
        <v>0</v>
      </c>
      <c r="AA655" t="s">
        <v>158</v>
      </c>
      <c r="AB655" t="s">
        <v>158</v>
      </c>
      <c r="AC655">
        <f>0</f>
        <v>0</v>
      </c>
      <c r="AD655">
        <f>0</f>
        <v>0</v>
      </c>
      <c r="AE655">
        <f>0</f>
        <v>0</v>
      </c>
    </row>
    <row r="656" spans="1:61" x14ac:dyDescent="0.25">
      <c r="A656" t="s">
        <v>2439</v>
      </c>
      <c r="B656" t="s">
        <v>148</v>
      </c>
      <c r="C656" s="1">
        <v>45772</v>
      </c>
      <c r="D656" t="s">
        <v>242</v>
      </c>
      <c r="E656" t="s">
        <v>295</v>
      </c>
      <c r="F656" t="s">
        <v>764</v>
      </c>
      <c r="G656" t="s">
        <v>5190</v>
      </c>
      <c r="H656">
        <v>1544</v>
      </c>
      <c r="I656" t="s">
        <v>5190</v>
      </c>
      <c r="J656">
        <v>170</v>
      </c>
      <c r="K656" t="s">
        <v>5257</v>
      </c>
      <c r="L656" t="s">
        <v>431</v>
      </c>
      <c r="M656" t="s">
        <v>2440</v>
      </c>
      <c r="N656" t="s">
        <v>5191</v>
      </c>
      <c r="O656" t="s">
        <v>2441</v>
      </c>
      <c r="R656">
        <f>1</f>
        <v>1</v>
      </c>
      <c r="S656">
        <f>13.1</f>
        <v>13.1</v>
      </c>
      <c r="T656">
        <f>7.9</f>
        <v>7.9</v>
      </c>
      <c r="U656">
        <f>625</f>
        <v>625</v>
      </c>
      <c r="X656">
        <f>0</f>
        <v>0</v>
      </c>
      <c r="Y656" t="s">
        <v>157</v>
      </c>
      <c r="Z656">
        <f>0</f>
        <v>0</v>
      </c>
      <c r="AA656" t="s">
        <v>158</v>
      </c>
      <c r="AB656" t="s">
        <v>158</v>
      </c>
      <c r="AC656">
        <f>0</f>
        <v>0</v>
      </c>
      <c r="AD656">
        <f>0</f>
        <v>0</v>
      </c>
      <c r="AE656">
        <f>0</f>
        <v>0</v>
      </c>
      <c r="AH656" t="s">
        <v>157</v>
      </c>
    </row>
    <row r="657" spans="1:61" x14ac:dyDescent="0.25">
      <c r="A657" t="s">
        <v>2442</v>
      </c>
      <c r="B657" t="s">
        <v>148</v>
      </c>
      <c r="C657" s="1">
        <v>45721</v>
      </c>
      <c r="D657" t="s">
        <v>175</v>
      </c>
      <c r="E657" t="s">
        <v>176</v>
      </c>
      <c r="F657" t="s">
        <v>690</v>
      </c>
      <c r="G657" t="s">
        <v>2443</v>
      </c>
      <c r="H657">
        <v>1081</v>
      </c>
      <c r="I657" t="s">
        <v>2443</v>
      </c>
      <c r="J657">
        <v>296</v>
      </c>
      <c r="K657" t="s">
        <v>5254</v>
      </c>
      <c r="L657" t="s">
        <v>4966</v>
      </c>
      <c r="M657" t="s">
        <v>5567</v>
      </c>
      <c r="N657" t="s">
        <v>5568</v>
      </c>
      <c r="O657" t="s">
        <v>2444</v>
      </c>
      <c r="R657">
        <f>1</f>
        <v>1</v>
      </c>
      <c r="S657">
        <f>7.1</f>
        <v>7.1</v>
      </c>
      <c r="T657">
        <f>7.8</f>
        <v>7.8</v>
      </c>
      <c r="U657">
        <f>355</f>
        <v>355</v>
      </c>
      <c r="X657">
        <f>0</f>
        <v>0</v>
      </c>
      <c r="Y657">
        <f>0.3</f>
        <v>0.3</v>
      </c>
      <c r="Z657">
        <f>0</f>
        <v>0</v>
      </c>
      <c r="AA657" t="s">
        <v>158</v>
      </c>
      <c r="AB657" t="s">
        <v>158</v>
      </c>
      <c r="AD657">
        <f>0</f>
        <v>0</v>
      </c>
      <c r="AE657">
        <f>0</f>
        <v>0</v>
      </c>
    </row>
    <row r="658" spans="1:61" x14ac:dyDescent="0.25">
      <c r="A658" t="s">
        <v>2445</v>
      </c>
      <c r="B658" t="s">
        <v>268</v>
      </c>
      <c r="C658" s="1">
        <v>45733</v>
      </c>
      <c r="D658" t="s">
        <v>317</v>
      </c>
      <c r="E658" t="s">
        <v>318</v>
      </c>
      <c r="F658" t="s">
        <v>6564</v>
      </c>
      <c r="G658" t="s">
        <v>2446</v>
      </c>
      <c r="H658">
        <v>1102</v>
      </c>
      <c r="I658" t="s">
        <v>2446</v>
      </c>
      <c r="J658">
        <v>156</v>
      </c>
      <c r="K658" t="s">
        <v>5254</v>
      </c>
      <c r="L658" t="s">
        <v>180</v>
      </c>
      <c r="M658" t="s">
        <v>2447</v>
      </c>
      <c r="N658" t="s">
        <v>2448</v>
      </c>
      <c r="O658" t="s">
        <v>2449</v>
      </c>
      <c r="Q658" t="s">
        <v>329</v>
      </c>
      <c r="R658">
        <f>1</f>
        <v>1</v>
      </c>
      <c r="S658">
        <f>8.1</f>
        <v>8.1</v>
      </c>
      <c r="T658">
        <f>7.7</f>
        <v>7.7</v>
      </c>
      <c r="U658">
        <f>238</f>
        <v>238</v>
      </c>
      <c r="X658">
        <f>0</f>
        <v>0</v>
      </c>
      <c r="Y658">
        <f>0.33</f>
        <v>0.33</v>
      </c>
      <c r="Z658">
        <f>0</f>
        <v>0</v>
      </c>
      <c r="AA658" t="s">
        <v>705</v>
      </c>
      <c r="AB658">
        <f>98</f>
        <v>98</v>
      </c>
      <c r="AD658">
        <f>0</f>
        <v>0</v>
      </c>
      <c r="AE658">
        <f>0</f>
        <v>0</v>
      </c>
      <c r="AH658" t="s">
        <v>157</v>
      </c>
    </row>
    <row r="659" spans="1:61" x14ac:dyDescent="0.25">
      <c r="A659" t="s">
        <v>2450</v>
      </c>
      <c r="B659" t="s">
        <v>148</v>
      </c>
      <c r="C659" s="1">
        <v>45721</v>
      </c>
      <c r="D659" t="s">
        <v>175</v>
      </c>
      <c r="E659" t="s">
        <v>284</v>
      </c>
      <c r="F659" t="s">
        <v>678</v>
      </c>
      <c r="G659" t="s">
        <v>2451</v>
      </c>
      <c r="H659">
        <v>1066</v>
      </c>
      <c r="I659" t="s">
        <v>2451</v>
      </c>
      <c r="J659">
        <v>226</v>
      </c>
      <c r="K659" t="s">
        <v>5257</v>
      </c>
      <c r="L659" t="s">
        <v>431</v>
      </c>
      <c r="M659" t="s">
        <v>5569</v>
      </c>
      <c r="N659" t="s">
        <v>2452</v>
      </c>
      <c r="O659" t="s">
        <v>2453</v>
      </c>
      <c r="R659">
        <f>1</f>
        <v>1</v>
      </c>
      <c r="S659">
        <f>6.4</f>
        <v>6.4</v>
      </c>
      <c r="T659">
        <f>7.8</f>
        <v>7.8</v>
      </c>
      <c r="U659">
        <f>434</f>
        <v>434</v>
      </c>
      <c r="V659">
        <f>0.28</f>
        <v>0.28000000000000003</v>
      </c>
      <c r="X659">
        <f>1</f>
        <v>1</v>
      </c>
      <c r="Y659" t="s">
        <v>157</v>
      </c>
      <c r="Z659">
        <f>0</f>
        <v>0</v>
      </c>
      <c r="AA659" t="s">
        <v>158</v>
      </c>
      <c r="AB659" t="s">
        <v>158</v>
      </c>
      <c r="AC659">
        <f>0</f>
        <v>0</v>
      </c>
      <c r="AD659">
        <f>0</f>
        <v>0</v>
      </c>
      <c r="AE659">
        <f>0</f>
        <v>0</v>
      </c>
    </row>
    <row r="660" spans="1:61" x14ac:dyDescent="0.25">
      <c r="A660" t="s">
        <v>2454</v>
      </c>
      <c r="B660" t="s">
        <v>148</v>
      </c>
      <c r="C660" s="1">
        <v>45729</v>
      </c>
      <c r="D660" t="s">
        <v>175</v>
      </c>
      <c r="E660" t="s">
        <v>176</v>
      </c>
      <c r="F660" t="s">
        <v>1681</v>
      </c>
      <c r="G660" t="s">
        <v>6744</v>
      </c>
      <c r="H660">
        <v>221</v>
      </c>
      <c r="I660" t="s">
        <v>6744</v>
      </c>
      <c r="J660">
        <v>205</v>
      </c>
      <c r="K660" t="s">
        <v>5254</v>
      </c>
      <c r="L660" t="s">
        <v>1882</v>
      </c>
      <c r="M660" t="s">
        <v>5570</v>
      </c>
      <c r="N660" t="s">
        <v>5571</v>
      </c>
      <c r="O660" t="s">
        <v>2455</v>
      </c>
      <c r="Q660" t="s">
        <v>6390</v>
      </c>
      <c r="R660">
        <f>1</f>
        <v>1</v>
      </c>
      <c r="S660">
        <f>8.2</f>
        <v>8.1999999999999993</v>
      </c>
      <c r="T660">
        <f>7.4</f>
        <v>7.4</v>
      </c>
      <c r="U660">
        <f>265</f>
        <v>265</v>
      </c>
      <c r="X660">
        <f>0</f>
        <v>0</v>
      </c>
      <c r="Y660" t="s">
        <v>157</v>
      </c>
      <c r="Z660">
        <f>0</f>
        <v>0</v>
      </c>
      <c r="AA660" t="s">
        <v>158</v>
      </c>
      <c r="AB660" t="s">
        <v>158</v>
      </c>
      <c r="AD660">
        <f>0</f>
        <v>0</v>
      </c>
      <c r="AE660">
        <f>0</f>
        <v>0</v>
      </c>
    </row>
    <row r="661" spans="1:61" x14ac:dyDescent="0.25">
      <c r="A661" t="s">
        <v>2456</v>
      </c>
      <c r="B661" t="s">
        <v>148</v>
      </c>
      <c r="C661" s="1">
        <v>45733</v>
      </c>
      <c r="D661" t="s">
        <v>618</v>
      </c>
      <c r="E661" t="s">
        <v>619</v>
      </c>
      <c r="F661" t="s">
        <v>2457</v>
      </c>
      <c r="G661" t="s">
        <v>6089</v>
      </c>
      <c r="H661">
        <v>1592</v>
      </c>
      <c r="I661" t="s">
        <v>6089</v>
      </c>
      <c r="J661">
        <v>50</v>
      </c>
      <c r="K661" t="s">
        <v>5254</v>
      </c>
      <c r="L661" t="s">
        <v>5009</v>
      </c>
      <c r="M661" t="s">
        <v>6089</v>
      </c>
      <c r="N661" t="s">
        <v>5572</v>
      </c>
      <c r="O661" t="s">
        <v>2458</v>
      </c>
      <c r="R661">
        <f>1</f>
        <v>1</v>
      </c>
      <c r="S661">
        <f>9.3</f>
        <v>9.3000000000000007</v>
      </c>
      <c r="T661">
        <f>7.4</f>
        <v>7.4</v>
      </c>
      <c r="U661">
        <f>60</f>
        <v>60</v>
      </c>
      <c r="X661">
        <f>0</f>
        <v>0</v>
      </c>
      <c r="Y661">
        <f>0.1</f>
        <v>0.1</v>
      </c>
      <c r="Z661">
        <f>0</f>
        <v>0</v>
      </c>
      <c r="AA661" t="s">
        <v>158</v>
      </c>
      <c r="AB661" t="s">
        <v>158</v>
      </c>
      <c r="AD661">
        <f>0</f>
        <v>0</v>
      </c>
      <c r="AE661">
        <f>0</f>
        <v>0</v>
      </c>
      <c r="AH661" t="s">
        <v>157</v>
      </c>
      <c r="BI661">
        <f>0.42</f>
        <v>0.42</v>
      </c>
    </row>
    <row r="662" spans="1:61" x14ac:dyDescent="0.25">
      <c r="A662" t="s">
        <v>2459</v>
      </c>
      <c r="B662" t="s">
        <v>148</v>
      </c>
      <c r="C662" s="1">
        <v>45744</v>
      </c>
      <c r="D662" t="s">
        <v>311</v>
      </c>
      <c r="E662" t="s">
        <v>312</v>
      </c>
      <c r="F662" t="s">
        <v>2457</v>
      </c>
      <c r="G662" t="s">
        <v>6090</v>
      </c>
      <c r="H662">
        <v>1593</v>
      </c>
      <c r="I662" t="s">
        <v>6090</v>
      </c>
      <c r="J662">
        <v>50</v>
      </c>
      <c r="K662" t="s">
        <v>5257</v>
      </c>
      <c r="L662" t="s">
        <v>5001</v>
      </c>
      <c r="M662" t="s">
        <v>6090</v>
      </c>
      <c r="N662" t="s">
        <v>4841</v>
      </c>
      <c r="O662" t="s">
        <v>2460</v>
      </c>
      <c r="R662">
        <f>1</f>
        <v>1</v>
      </c>
      <c r="S662">
        <f>8.7</f>
        <v>8.6999999999999993</v>
      </c>
      <c r="T662">
        <f>6.6</f>
        <v>6.6</v>
      </c>
      <c r="U662">
        <f>29</f>
        <v>29</v>
      </c>
      <c r="X662">
        <f>0</f>
        <v>0</v>
      </c>
      <c r="Y662" t="s">
        <v>157</v>
      </c>
      <c r="Z662">
        <f>0</f>
        <v>0</v>
      </c>
      <c r="AA662" t="s">
        <v>158</v>
      </c>
      <c r="AB662" t="s">
        <v>158</v>
      </c>
      <c r="AC662">
        <f>0</f>
        <v>0</v>
      </c>
      <c r="AD662">
        <f>0</f>
        <v>0</v>
      </c>
      <c r="AE662">
        <f>0</f>
        <v>0</v>
      </c>
      <c r="AH662" t="s">
        <v>157</v>
      </c>
      <c r="BI662">
        <f>0.46</f>
        <v>0.46</v>
      </c>
    </row>
    <row r="663" spans="1:61" x14ac:dyDescent="0.25">
      <c r="A663" t="s">
        <v>2461</v>
      </c>
      <c r="B663" t="s">
        <v>148</v>
      </c>
      <c r="C663" s="1">
        <v>45750</v>
      </c>
      <c r="D663" t="s">
        <v>175</v>
      </c>
      <c r="E663" t="s">
        <v>270</v>
      </c>
      <c r="F663" t="s">
        <v>354</v>
      </c>
      <c r="G663" t="s">
        <v>6745</v>
      </c>
      <c r="H663">
        <v>677</v>
      </c>
      <c r="I663" t="s">
        <v>6745</v>
      </c>
      <c r="J663">
        <v>313</v>
      </c>
      <c r="K663" t="s">
        <v>5254</v>
      </c>
      <c r="L663" t="s">
        <v>4966</v>
      </c>
      <c r="M663" t="s">
        <v>2462</v>
      </c>
      <c r="N663" t="s">
        <v>4842</v>
      </c>
      <c r="O663" t="s">
        <v>2463</v>
      </c>
      <c r="Q663" t="s">
        <v>6391</v>
      </c>
      <c r="R663">
        <f>1</f>
        <v>1</v>
      </c>
      <c r="S663">
        <f>8.9</f>
        <v>8.9</v>
      </c>
      <c r="T663">
        <f>7.4</f>
        <v>7.4</v>
      </c>
      <c r="U663">
        <f>516</f>
        <v>516</v>
      </c>
      <c r="X663">
        <f>0</f>
        <v>0</v>
      </c>
      <c r="Y663">
        <f>0.75</f>
        <v>0.75</v>
      </c>
      <c r="Z663">
        <f>0</f>
        <v>0</v>
      </c>
      <c r="AA663" t="s">
        <v>158</v>
      </c>
      <c r="AB663" t="s">
        <v>158</v>
      </c>
      <c r="AD663">
        <f>0</f>
        <v>0</v>
      </c>
      <c r="AE663">
        <f>0</f>
        <v>0</v>
      </c>
    </row>
    <row r="664" spans="1:61" x14ac:dyDescent="0.25">
      <c r="A664" t="s">
        <v>2464</v>
      </c>
      <c r="B664" t="s">
        <v>148</v>
      </c>
      <c r="C664" s="1">
        <v>45722</v>
      </c>
      <c r="D664" t="s">
        <v>175</v>
      </c>
      <c r="E664" t="s">
        <v>176</v>
      </c>
      <c r="F664" t="s">
        <v>630</v>
      </c>
      <c r="G664" t="s">
        <v>5573</v>
      </c>
      <c r="H664">
        <v>1594</v>
      </c>
      <c r="I664" t="s">
        <v>5573</v>
      </c>
      <c r="J664">
        <v>220</v>
      </c>
      <c r="K664" t="s">
        <v>5257</v>
      </c>
      <c r="M664" t="s">
        <v>5434</v>
      </c>
      <c r="N664" t="s">
        <v>2465</v>
      </c>
      <c r="O664" t="s">
        <v>2466</v>
      </c>
      <c r="R664">
        <f>1</f>
        <v>1</v>
      </c>
      <c r="S664">
        <f>6.5</f>
        <v>6.5</v>
      </c>
      <c r="T664">
        <f>7.4</f>
        <v>7.4</v>
      </c>
      <c r="U664">
        <f>528</f>
        <v>528</v>
      </c>
      <c r="X664">
        <f>0</f>
        <v>0</v>
      </c>
      <c r="Y664">
        <f>0.2</f>
        <v>0.2</v>
      </c>
      <c r="Z664">
        <f>0</f>
        <v>0</v>
      </c>
      <c r="AA664" t="s">
        <v>158</v>
      </c>
      <c r="AB664" t="s">
        <v>158</v>
      </c>
      <c r="AC664">
        <f>0</f>
        <v>0</v>
      </c>
      <c r="AD664">
        <f>0</f>
        <v>0</v>
      </c>
      <c r="AE664">
        <f>0</f>
        <v>0</v>
      </c>
      <c r="BI664">
        <f>0.26</f>
        <v>0.26</v>
      </c>
    </row>
    <row r="665" spans="1:61" x14ac:dyDescent="0.25">
      <c r="A665" t="s">
        <v>2467</v>
      </c>
      <c r="B665" t="s">
        <v>148</v>
      </c>
      <c r="C665" s="1">
        <v>45721</v>
      </c>
      <c r="D665" t="s">
        <v>175</v>
      </c>
      <c r="E665" t="s">
        <v>284</v>
      </c>
      <c r="F665" t="s">
        <v>678</v>
      </c>
      <c r="G665" t="s">
        <v>2468</v>
      </c>
      <c r="H665">
        <v>1555</v>
      </c>
      <c r="I665" t="s">
        <v>2468</v>
      </c>
      <c r="J665">
        <v>232</v>
      </c>
      <c r="K665" t="s">
        <v>5254</v>
      </c>
      <c r="M665" s="2" t="s">
        <v>5574</v>
      </c>
      <c r="N665" t="s">
        <v>4843</v>
      </c>
      <c r="O665" t="s">
        <v>2469</v>
      </c>
      <c r="Q665" t="s">
        <v>4844</v>
      </c>
      <c r="R665">
        <f>1</f>
        <v>1</v>
      </c>
      <c r="S665">
        <f>6.8</f>
        <v>6.8</v>
      </c>
      <c r="T665">
        <f>7.6</f>
        <v>7.6</v>
      </c>
      <c r="U665">
        <f>449</f>
        <v>449</v>
      </c>
      <c r="X665">
        <f>1</f>
        <v>1</v>
      </c>
      <c r="Y665" t="s">
        <v>157</v>
      </c>
      <c r="Z665">
        <f>0</f>
        <v>0</v>
      </c>
      <c r="AA665" t="s">
        <v>158</v>
      </c>
      <c r="AB665" t="s">
        <v>158</v>
      </c>
      <c r="AD665">
        <f>0</f>
        <v>0</v>
      </c>
      <c r="AE665">
        <f>0</f>
        <v>0</v>
      </c>
    </row>
    <row r="666" spans="1:61" x14ac:dyDescent="0.25">
      <c r="A666" t="s">
        <v>2470</v>
      </c>
      <c r="B666" t="s">
        <v>268</v>
      </c>
      <c r="C666" s="1">
        <v>45721</v>
      </c>
      <c r="D666" t="s">
        <v>175</v>
      </c>
      <c r="E666" t="s">
        <v>284</v>
      </c>
      <c r="F666" t="s">
        <v>678</v>
      </c>
      <c r="G666" t="s">
        <v>2471</v>
      </c>
      <c r="H666">
        <v>1556</v>
      </c>
      <c r="I666" t="s">
        <v>2471</v>
      </c>
      <c r="J666">
        <v>191</v>
      </c>
      <c r="K666" t="s">
        <v>5254</v>
      </c>
      <c r="L666" t="s">
        <v>431</v>
      </c>
      <c r="M666" s="2" t="s">
        <v>5575</v>
      </c>
      <c r="N666" t="s">
        <v>2472</v>
      </c>
      <c r="O666" t="s">
        <v>2473</v>
      </c>
      <c r="Q666" t="s">
        <v>6392</v>
      </c>
      <c r="R666">
        <f>1</f>
        <v>1</v>
      </c>
      <c r="S666">
        <f>6.1</f>
        <v>6.1</v>
      </c>
      <c r="T666">
        <f>7.6</f>
        <v>7.6</v>
      </c>
      <c r="U666">
        <f>462</f>
        <v>462</v>
      </c>
      <c r="V666" t="s">
        <v>207</v>
      </c>
      <c r="X666">
        <f>0</f>
        <v>0</v>
      </c>
      <c r="Y666" t="s">
        <v>157</v>
      </c>
      <c r="Z666">
        <f>0</f>
        <v>0</v>
      </c>
      <c r="AA666" t="s">
        <v>705</v>
      </c>
      <c r="AB666" t="s">
        <v>158</v>
      </c>
      <c r="AD666">
        <f>0</f>
        <v>0</v>
      </c>
      <c r="AE666">
        <f>0</f>
        <v>0</v>
      </c>
    </row>
    <row r="667" spans="1:61" x14ac:dyDescent="0.25">
      <c r="A667" t="s">
        <v>2474</v>
      </c>
      <c r="B667" t="s">
        <v>148</v>
      </c>
      <c r="C667" s="1">
        <v>45743</v>
      </c>
      <c r="D667" t="s">
        <v>175</v>
      </c>
      <c r="E667" t="s">
        <v>649</v>
      </c>
      <c r="F667" t="s">
        <v>6746</v>
      </c>
      <c r="G667" t="s">
        <v>6747</v>
      </c>
      <c r="H667">
        <v>1564</v>
      </c>
      <c r="I667" t="s">
        <v>6747</v>
      </c>
      <c r="J667">
        <v>272</v>
      </c>
      <c r="K667" t="s">
        <v>5254</v>
      </c>
      <c r="M667" t="s">
        <v>4845</v>
      </c>
      <c r="N667" t="s">
        <v>6748</v>
      </c>
      <c r="O667" t="s">
        <v>2475</v>
      </c>
      <c r="Q667" t="s">
        <v>6340</v>
      </c>
      <c r="R667">
        <f>1</f>
        <v>1</v>
      </c>
      <c r="S667">
        <f>9.9</f>
        <v>9.9</v>
      </c>
      <c r="T667">
        <f>7.5</f>
        <v>7.5</v>
      </c>
      <c r="U667">
        <f>638</f>
        <v>638</v>
      </c>
      <c r="X667">
        <f>0</f>
        <v>0</v>
      </c>
      <c r="Y667" t="s">
        <v>157</v>
      </c>
      <c r="Z667">
        <f>0</f>
        <v>0</v>
      </c>
      <c r="AA667">
        <f>52</f>
        <v>52</v>
      </c>
      <c r="AB667" t="s">
        <v>158</v>
      </c>
      <c r="AD667">
        <f>0</f>
        <v>0</v>
      </c>
      <c r="AE667">
        <f>0</f>
        <v>0</v>
      </c>
      <c r="AH667" t="s">
        <v>157</v>
      </c>
    </row>
    <row r="668" spans="1:61" x14ac:dyDescent="0.25">
      <c r="A668" t="s">
        <v>2476</v>
      </c>
      <c r="B668" t="s">
        <v>268</v>
      </c>
      <c r="C668" s="1">
        <v>45743</v>
      </c>
      <c r="D668" t="s">
        <v>175</v>
      </c>
      <c r="E668" t="s">
        <v>649</v>
      </c>
      <c r="F668" t="s">
        <v>2477</v>
      </c>
      <c r="G668" t="s">
        <v>6091</v>
      </c>
      <c r="H668">
        <v>1565</v>
      </c>
      <c r="I668" t="s">
        <v>6091</v>
      </c>
      <c r="J668">
        <v>281</v>
      </c>
      <c r="K668" t="s">
        <v>5254</v>
      </c>
      <c r="M668" t="s">
        <v>6092</v>
      </c>
      <c r="N668" t="s">
        <v>6093</v>
      </c>
      <c r="O668" t="s">
        <v>2478</v>
      </c>
      <c r="R668">
        <f>1</f>
        <v>1</v>
      </c>
      <c r="S668">
        <f>9.4</f>
        <v>9.4</v>
      </c>
      <c r="T668">
        <f>7.6</f>
        <v>7.6</v>
      </c>
      <c r="U668">
        <f>551</f>
        <v>551</v>
      </c>
      <c r="X668">
        <f>0</f>
        <v>0</v>
      </c>
      <c r="Y668" t="s">
        <v>157</v>
      </c>
      <c r="Z668">
        <f>0</f>
        <v>0</v>
      </c>
      <c r="AA668">
        <f>78</f>
        <v>78</v>
      </c>
      <c r="AB668" t="s">
        <v>158</v>
      </c>
      <c r="AD668">
        <f>0</f>
        <v>0</v>
      </c>
      <c r="AE668" t="s">
        <v>1845</v>
      </c>
      <c r="AH668" t="s">
        <v>157</v>
      </c>
    </row>
    <row r="669" spans="1:61" x14ac:dyDescent="0.25">
      <c r="A669" t="s">
        <v>2479</v>
      </c>
      <c r="B669" t="s">
        <v>268</v>
      </c>
      <c r="C669" s="1">
        <v>45751</v>
      </c>
      <c r="D669" t="s">
        <v>175</v>
      </c>
      <c r="E669" t="s">
        <v>649</v>
      </c>
      <c r="F669" t="s">
        <v>2480</v>
      </c>
      <c r="G669" t="s">
        <v>6749</v>
      </c>
      <c r="H669">
        <v>1568</v>
      </c>
      <c r="I669" t="s">
        <v>6749</v>
      </c>
      <c r="J669">
        <v>257</v>
      </c>
      <c r="K669" t="s">
        <v>5254</v>
      </c>
      <c r="M669" t="s">
        <v>2481</v>
      </c>
      <c r="N669" t="s">
        <v>5576</v>
      </c>
      <c r="O669" t="s">
        <v>2482</v>
      </c>
      <c r="R669">
        <f>1</f>
        <v>1</v>
      </c>
      <c r="S669">
        <f>9.7</f>
        <v>9.6999999999999993</v>
      </c>
      <c r="T669">
        <f>8</f>
        <v>8</v>
      </c>
      <c r="U669">
        <f>113</f>
        <v>113</v>
      </c>
      <c r="X669">
        <f>0</f>
        <v>0</v>
      </c>
      <c r="Y669">
        <f>0.48</f>
        <v>0.48</v>
      </c>
      <c r="Z669">
        <f>0</f>
        <v>0</v>
      </c>
      <c r="AA669">
        <f>124</f>
        <v>124</v>
      </c>
      <c r="AB669" t="s">
        <v>158</v>
      </c>
      <c r="AD669">
        <f>6</f>
        <v>6</v>
      </c>
      <c r="AE669" t="s">
        <v>1845</v>
      </c>
      <c r="AH669" t="s">
        <v>157</v>
      </c>
    </row>
    <row r="670" spans="1:61" x14ac:dyDescent="0.25">
      <c r="A670" t="s">
        <v>2483</v>
      </c>
      <c r="B670" t="s">
        <v>148</v>
      </c>
      <c r="C670" s="1">
        <v>45736</v>
      </c>
      <c r="D670" t="s">
        <v>618</v>
      </c>
      <c r="E670" t="s">
        <v>619</v>
      </c>
      <c r="F670" t="s">
        <v>2484</v>
      </c>
      <c r="G670" t="s">
        <v>5192</v>
      </c>
      <c r="H670">
        <v>1561</v>
      </c>
      <c r="I670" t="s">
        <v>5192</v>
      </c>
      <c r="J670">
        <v>50</v>
      </c>
      <c r="K670" t="s">
        <v>5254</v>
      </c>
      <c r="L670" t="s">
        <v>4775</v>
      </c>
      <c r="M670" t="s">
        <v>5193</v>
      </c>
      <c r="N670" t="s">
        <v>5577</v>
      </c>
      <c r="O670" t="s">
        <v>2485</v>
      </c>
      <c r="R670">
        <f>1</f>
        <v>1</v>
      </c>
      <c r="S670">
        <f>11.9</f>
        <v>11.9</v>
      </c>
      <c r="T670">
        <f>7.5</f>
        <v>7.5</v>
      </c>
      <c r="U670">
        <f>433</f>
        <v>433</v>
      </c>
      <c r="X670">
        <f>0</f>
        <v>0</v>
      </c>
      <c r="Y670">
        <f>0.1</f>
        <v>0.1</v>
      </c>
      <c r="Z670">
        <f>0</f>
        <v>0</v>
      </c>
      <c r="AA670" t="s">
        <v>158</v>
      </c>
      <c r="AB670" t="s">
        <v>158</v>
      </c>
      <c r="AD670">
        <f>0</f>
        <v>0</v>
      </c>
      <c r="AE670">
        <f>0</f>
        <v>0</v>
      </c>
      <c r="AH670" t="s">
        <v>157</v>
      </c>
      <c r="BI670" t="s">
        <v>836</v>
      </c>
    </row>
    <row r="671" spans="1:61" x14ac:dyDescent="0.25">
      <c r="A671" t="s">
        <v>2486</v>
      </c>
      <c r="B671" t="s">
        <v>148</v>
      </c>
      <c r="C671" s="1">
        <v>45733</v>
      </c>
      <c r="D671" t="s">
        <v>317</v>
      </c>
      <c r="E671" t="s">
        <v>318</v>
      </c>
      <c r="F671" t="s">
        <v>2487</v>
      </c>
      <c r="G671" t="s">
        <v>2487</v>
      </c>
      <c r="H671">
        <v>1617</v>
      </c>
      <c r="I671" t="s">
        <v>2487</v>
      </c>
      <c r="J671">
        <v>120</v>
      </c>
      <c r="K671" t="s">
        <v>5257</v>
      </c>
      <c r="M671" t="s">
        <v>5578</v>
      </c>
      <c r="N671" t="s">
        <v>2488</v>
      </c>
      <c r="O671" t="s">
        <v>2489</v>
      </c>
      <c r="Q671" t="s">
        <v>6372</v>
      </c>
      <c r="R671">
        <f>1</f>
        <v>1</v>
      </c>
      <c r="S671">
        <f>7.9</f>
        <v>7.9</v>
      </c>
      <c r="T671">
        <f>7.9</f>
        <v>7.9</v>
      </c>
      <c r="U671">
        <f>215</f>
        <v>215</v>
      </c>
      <c r="X671">
        <f>0</f>
        <v>0</v>
      </c>
      <c r="Y671">
        <f>0.12</f>
        <v>0.12</v>
      </c>
      <c r="Z671">
        <f>0</f>
        <v>0</v>
      </c>
      <c r="AA671">
        <f>3</f>
        <v>3</v>
      </c>
      <c r="AB671">
        <f>2</f>
        <v>2</v>
      </c>
      <c r="AC671">
        <f>0</f>
        <v>0</v>
      </c>
      <c r="AD671">
        <f>0</f>
        <v>0</v>
      </c>
      <c r="AE671">
        <f>0</f>
        <v>0</v>
      </c>
      <c r="AH671" t="s">
        <v>157</v>
      </c>
      <c r="BI671" t="s">
        <v>167</v>
      </c>
    </row>
    <row r="672" spans="1:61" x14ac:dyDescent="0.25">
      <c r="A672" t="s">
        <v>2490</v>
      </c>
      <c r="B672" t="s">
        <v>148</v>
      </c>
      <c r="C672" s="1">
        <v>45728</v>
      </c>
      <c r="D672" t="s">
        <v>618</v>
      </c>
      <c r="E672" t="s">
        <v>619</v>
      </c>
      <c r="F672" t="s">
        <v>730</v>
      </c>
      <c r="G672" t="s">
        <v>2491</v>
      </c>
      <c r="H672">
        <v>1619</v>
      </c>
      <c r="I672" t="s">
        <v>2492</v>
      </c>
      <c r="J672">
        <v>50</v>
      </c>
      <c r="K672" t="s">
        <v>5254</v>
      </c>
      <c r="L672" t="s">
        <v>431</v>
      </c>
      <c r="M672" t="s">
        <v>2492</v>
      </c>
      <c r="N672" t="s">
        <v>6094</v>
      </c>
      <c r="O672" t="s">
        <v>2493</v>
      </c>
      <c r="R672">
        <f>1</f>
        <v>1</v>
      </c>
      <c r="S672">
        <f>7.2</f>
        <v>7.2</v>
      </c>
      <c r="T672">
        <f>7.2</f>
        <v>7.2</v>
      </c>
      <c r="U672">
        <f>118</f>
        <v>118</v>
      </c>
      <c r="X672">
        <f>0</f>
        <v>0</v>
      </c>
      <c r="Y672">
        <f>0.1</f>
        <v>0.1</v>
      </c>
      <c r="Z672">
        <f>0</f>
        <v>0</v>
      </c>
      <c r="AA672" t="s">
        <v>158</v>
      </c>
      <c r="AB672" t="s">
        <v>158</v>
      </c>
      <c r="AD672">
        <f>0</f>
        <v>0</v>
      </c>
      <c r="AE672">
        <f>0</f>
        <v>0</v>
      </c>
      <c r="AH672" t="s">
        <v>157</v>
      </c>
    </row>
    <row r="673" spans="1:61" x14ac:dyDescent="0.25">
      <c r="A673" t="s">
        <v>2494</v>
      </c>
      <c r="B673" t="s">
        <v>148</v>
      </c>
      <c r="C673" s="1">
        <v>45733</v>
      </c>
      <c r="D673" t="s">
        <v>269</v>
      </c>
      <c r="E673" t="s">
        <v>270</v>
      </c>
      <c r="F673" t="s">
        <v>754</v>
      </c>
      <c r="G673" t="s">
        <v>6750</v>
      </c>
      <c r="H673">
        <v>1622</v>
      </c>
      <c r="I673" t="s">
        <v>2495</v>
      </c>
      <c r="J673">
        <v>116</v>
      </c>
      <c r="K673" t="s">
        <v>5257</v>
      </c>
      <c r="L673" t="s">
        <v>154</v>
      </c>
      <c r="M673" t="s">
        <v>2495</v>
      </c>
      <c r="N673" t="s">
        <v>2496</v>
      </c>
      <c r="O673" t="s">
        <v>2497</v>
      </c>
      <c r="R673">
        <f>1</f>
        <v>1</v>
      </c>
      <c r="S673">
        <f>9.9</f>
        <v>9.9</v>
      </c>
      <c r="T673">
        <f>7.7</f>
        <v>7.7</v>
      </c>
      <c r="U673">
        <f>380</f>
        <v>380</v>
      </c>
      <c r="V673">
        <f>0.32</f>
        <v>0.32</v>
      </c>
      <c r="X673">
        <f>0</f>
        <v>0</v>
      </c>
      <c r="Y673">
        <f>0.31</f>
        <v>0.31</v>
      </c>
      <c r="Z673">
        <f>0</f>
        <v>0</v>
      </c>
      <c r="AA673" t="s">
        <v>158</v>
      </c>
      <c r="AB673" t="s">
        <v>158</v>
      </c>
      <c r="AC673">
        <f>0</f>
        <v>0</v>
      </c>
      <c r="AD673">
        <f>0</f>
        <v>0</v>
      </c>
      <c r="AE673">
        <f>0</f>
        <v>0</v>
      </c>
    </row>
    <row r="674" spans="1:61" x14ac:dyDescent="0.25">
      <c r="A674" t="s">
        <v>2498</v>
      </c>
      <c r="B674" t="s">
        <v>148</v>
      </c>
      <c r="C674" s="1">
        <v>45775</v>
      </c>
      <c r="D674" t="s">
        <v>242</v>
      </c>
      <c r="E674" t="s">
        <v>243</v>
      </c>
      <c r="F674" t="s">
        <v>2499</v>
      </c>
      <c r="G674" t="s">
        <v>2500</v>
      </c>
      <c r="H674">
        <v>1610</v>
      </c>
      <c r="I674" t="s">
        <v>2501</v>
      </c>
      <c r="J674">
        <v>180</v>
      </c>
      <c r="K674" t="s">
        <v>5254</v>
      </c>
      <c r="M674" t="s">
        <v>5579</v>
      </c>
      <c r="N674" t="s">
        <v>6095</v>
      </c>
      <c r="O674" t="s">
        <v>2502</v>
      </c>
      <c r="R674">
        <f>1</f>
        <v>1</v>
      </c>
      <c r="S674">
        <f>11.6</f>
        <v>11.6</v>
      </c>
      <c r="T674">
        <f>7.1</f>
        <v>7.1</v>
      </c>
      <c r="U674">
        <f>255</f>
        <v>255</v>
      </c>
      <c r="X674">
        <f>0</f>
        <v>0</v>
      </c>
      <c r="Y674" t="s">
        <v>157</v>
      </c>
      <c r="Z674">
        <f>0</f>
        <v>0</v>
      </c>
      <c r="AA674" t="s">
        <v>158</v>
      </c>
      <c r="AB674" t="s">
        <v>158</v>
      </c>
      <c r="AD674">
        <f>0</f>
        <v>0</v>
      </c>
      <c r="AE674">
        <f>0</f>
        <v>0</v>
      </c>
      <c r="AH674" t="s">
        <v>157</v>
      </c>
      <c r="BI674">
        <f>1.1</f>
        <v>1.1000000000000001</v>
      </c>
    </row>
    <row r="675" spans="1:61" x14ac:dyDescent="0.25">
      <c r="A675" t="s">
        <v>2503</v>
      </c>
      <c r="B675" t="s">
        <v>148</v>
      </c>
      <c r="C675" s="1">
        <v>45729</v>
      </c>
      <c r="D675" t="s">
        <v>242</v>
      </c>
      <c r="E675" t="s">
        <v>243</v>
      </c>
      <c r="F675" t="s">
        <v>5194</v>
      </c>
      <c r="G675" t="s">
        <v>5195</v>
      </c>
      <c r="H675">
        <v>1055</v>
      </c>
      <c r="I675" t="s">
        <v>5195</v>
      </c>
      <c r="J675">
        <v>180</v>
      </c>
      <c r="K675" t="s">
        <v>5254</v>
      </c>
      <c r="L675" t="s">
        <v>180</v>
      </c>
      <c r="M675" t="s">
        <v>4846</v>
      </c>
      <c r="N675" t="s">
        <v>5580</v>
      </c>
      <c r="O675" t="s">
        <v>2504</v>
      </c>
      <c r="P675" t="s">
        <v>6393</v>
      </c>
      <c r="R675">
        <f>1</f>
        <v>1</v>
      </c>
      <c r="S675">
        <f>9.1</f>
        <v>9.1</v>
      </c>
      <c r="T675">
        <f>7.4</f>
        <v>7.4</v>
      </c>
      <c r="U675">
        <f>597</f>
        <v>597</v>
      </c>
      <c r="X675">
        <f>0</f>
        <v>0</v>
      </c>
      <c r="Y675" t="s">
        <v>157</v>
      </c>
      <c r="Z675">
        <f>0</f>
        <v>0</v>
      </c>
      <c r="AA675" t="s">
        <v>158</v>
      </c>
      <c r="AB675" t="s">
        <v>158</v>
      </c>
      <c r="AD675">
        <f>0</f>
        <v>0</v>
      </c>
      <c r="AE675">
        <f>0</f>
        <v>0</v>
      </c>
      <c r="AH675" t="s">
        <v>157</v>
      </c>
      <c r="BI675">
        <f>0.22</f>
        <v>0.22</v>
      </c>
    </row>
    <row r="676" spans="1:61" x14ac:dyDescent="0.25">
      <c r="A676" t="s">
        <v>2505</v>
      </c>
      <c r="B676" t="s">
        <v>148</v>
      </c>
      <c r="C676" s="1">
        <v>45723</v>
      </c>
      <c r="D676" t="s">
        <v>317</v>
      </c>
      <c r="E676" t="s">
        <v>318</v>
      </c>
      <c r="F676" t="s">
        <v>360</v>
      </c>
      <c r="G676" t="s">
        <v>6096</v>
      </c>
      <c r="H676">
        <v>1643</v>
      </c>
      <c r="I676" t="s">
        <v>6096</v>
      </c>
      <c r="J676">
        <v>133</v>
      </c>
      <c r="K676" t="s">
        <v>5257</v>
      </c>
      <c r="L676" t="s">
        <v>4948</v>
      </c>
      <c r="M676" t="s">
        <v>5581</v>
      </c>
      <c r="N676" t="s">
        <v>6097</v>
      </c>
      <c r="O676" t="s">
        <v>2506</v>
      </c>
      <c r="Q676" t="s">
        <v>329</v>
      </c>
      <c r="R676">
        <f>1</f>
        <v>1</v>
      </c>
      <c r="S676">
        <f>7</f>
        <v>7</v>
      </c>
      <c r="T676">
        <f>8</f>
        <v>8</v>
      </c>
      <c r="U676">
        <f>241</f>
        <v>241</v>
      </c>
      <c r="X676">
        <f>0</f>
        <v>0</v>
      </c>
      <c r="Y676" t="s">
        <v>157</v>
      </c>
      <c r="Z676">
        <f>0</f>
        <v>0</v>
      </c>
      <c r="AA676">
        <f>0</f>
        <v>0</v>
      </c>
      <c r="AB676">
        <f>0</f>
        <v>0</v>
      </c>
      <c r="AC676">
        <f>0</f>
        <v>0</v>
      </c>
      <c r="AD676">
        <f>0</f>
        <v>0</v>
      </c>
      <c r="AE676">
        <f>0</f>
        <v>0</v>
      </c>
      <c r="AH676" t="s">
        <v>157</v>
      </c>
      <c r="BI676" t="s">
        <v>167</v>
      </c>
    </row>
    <row r="677" spans="1:61" x14ac:dyDescent="0.25">
      <c r="A677" t="s">
        <v>2507</v>
      </c>
      <c r="B677" t="s">
        <v>148</v>
      </c>
      <c r="C677" s="1">
        <v>45735</v>
      </c>
      <c r="D677" t="s">
        <v>317</v>
      </c>
      <c r="E677" t="s">
        <v>318</v>
      </c>
      <c r="F677" t="s">
        <v>5108</v>
      </c>
      <c r="G677" t="s">
        <v>2508</v>
      </c>
      <c r="H677">
        <v>1467</v>
      </c>
      <c r="I677" t="s">
        <v>2508</v>
      </c>
      <c r="J677">
        <v>132</v>
      </c>
      <c r="K677" t="s">
        <v>5257</v>
      </c>
      <c r="M677" t="s">
        <v>5582</v>
      </c>
      <c r="N677" t="s">
        <v>2509</v>
      </c>
      <c r="O677" t="s">
        <v>2510</v>
      </c>
      <c r="Q677" t="s">
        <v>6301</v>
      </c>
      <c r="R677">
        <f>1</f>
        <v>1</v>
      </c>
      <c r="S677">
        <f>6.2</f>
        <v>6.2</v>
      </c>
      <c r="T677">
        <f>7.8</f>
        <v>7.8</v>
      </c>
      <c r="U677">
        <f>239</f>
        <v>239</v>
      </c>
      <c r="X677">
        <f>0</f>
        <v>0</v>
      </c>
      <c r="Y677" t="s">
        <v>157</v>
      </c>
      <c r="Z677">
        <f>0</f>
        <v>0</v>
      </c>
      <c r="AA677">
        <f>50</f>
        <v>50</v>
      </c>
      <c r="AB677">
        <f>8</f>
        <v>8</v>
      </c>
      <c r="AC677">
        <f>0</f>
        <v>0</v>
      </c>
      <c r="AD677">
        <f>0</f>
        <v>0</v>
      </c>
      <c r="AE677">
        <f>0</f>
        <v>0</v>
      </c>
      <c r="AH677" t="s">
        <v>157</v>
      </c>
    </row>
    <row r="678" spans="1:61" x14ac:dyDescent="0.25">
      <c r="A678" t="s">
        <v>2511</v>
      </c>
      <c r="B678" t="s">
        <v>148</v>
      </c>
      <c r="C678" s="1">
        <v>45735</v>
      </c>
      <c r="D678" t="s">
        <v>317</v>
      </c>
      <c r="E678" t="s">
        <v>318</v>
      </c>
      <c r="F678" t="s">
        <v>5108</v>
      </c>
      <c r="G678" t="s">
        <v>2512</v>
      </c>
      <c r="H678">
        <v>110</v>
      </c>
      <c r="I678" t="s">
        <v>2512</v>
      </c>
      <c r="J678">
        <v>150</v>
      </c>
      <c r="K678" t="s">
        <v>5254</v>
      </c>
      <c r="L678" t="s">
        <v>180</v>
      </c>
      <c r="M678" t="s">
        <v>1984</v>
      </c>
      <c r="N678" t="s">
        <v>5196</v>
      </c>
      <c r="O678" t="s">
        <v>2513</v>
      </c>
      <c r="Q678" t="s">
        <v>4970</v>
      </c>
      <c r="R678">
        <f>1</f>
        <v>1</v>
      </c>
      <c r="S678">
        <f>8.2</f>
        <v>8.1999999999999993</v>
      </c>
      <c r="T678">
        <f>7.9</f>
        <v>7.9</v>
      </c>
      <c r="U678">
        <f>288</f>
        <v>288</v>
      </c>
      <c r="X678">
        <f>0</f>
        <v>0</v>
      </c>
      <c r="Y678" t="s">
        <v>157</v>
      </c>
      <c r="Z678">
        <f>0</f>
        <v>0</v>
      </c>
      <c r="AA678">
        <f>0</f>
        <v>0</v>
      </c>
      <c r="AB678">
        <f>0</f>
        <v>0</v>
      </c>
      <c r="AD678">
        <f>0</f>
        <v>0</v>
      </c>
      <c r="AE678">
        <f>0</f>
        <v>0</v>
      </c>
      <c r="AH678" t="s">
        <v>157</v>
      </c>
    </row>
    <row r="679" spans="1:61" x14ac:dyDescent="0.25">
      <c r="A679" t="s">
        <v>2514</v>
      </c>
      <c r="B679" t="s">
        <v>148</v>
      </c>
      <c r="C679" s="1">
        <v>45726</v>
      </c>
      <c r="D679" t="s">
        <v>269</v>
      </c>
      <c r="E679" t="s">
        <v>295</v>
      </c>
      <c r="F679" t="s">
        <v>5030</v>
      </c>
      <c r="G679" t="s">
        <v>5197</v>
      </c>
      <c r="H679">
        <v>453</v>
      </c>
      <c r="I679" t="s">
        <v>5197</v>
      </c>
      <c r="J679">
        <v>220</v>
      </c>
      <c r="K679" t="s">
        <v>5257</v>
      </c>
      <c r="L679" t="s">
        <v>180</v>
      </c>
      <c r="M679" t="s">
        <v>5031</v>
      </c>
      <c r="N679" t="s">
        <v>5032</v>
      </c>
      <c r="O679" t="s">
        <v>2515</v>
      </c>
      <c r="Q679" t="s">
        <v>6394</v>
      </c>
      <c r="R679">
        <f>1</f>
        <v>1</v>
      </c>
      <c r="S679">
        <f>8.4</f>
        <v>8.4</v>
      </c>
      <c r="T679">
        <f>8</f>
        <v>8</v>
      </c>
      <c r="U679">
        <f>315</f>
        <v>315</v>
      </c>
      <c r="X679">
        <f>0</f>
        <v>0</v>
      </c>
      <c r="Y679">
        <f>0.05</f>
        <v>0.05</v>
      </c>
      <c r="Z679">
        <f>0</f>
        <v>0</v>
      </c>
      <c r="AA679" t="s">
        <v>158</v>
      </c>
      <c r="AB679" t="s">
        <v>158</v>
      </c>
      <c r="AC679">
        <f>0</f>
        <v>0</v>
      </c>
      <c r="AD679">
        <f>0</f>
        <v>0</v>
      </c>
      <c r="AE679">
        <f>0</f>
        <v>0</v>
      </c>
      <c r="BI679">
        <f>0.16</f>
        <v>0.16</v>
      </c>
    </row>
    <row r="680" spans="1:61" x14ac:dyDescent="0.25">
      <c r="A680" t="s">
        <v>2516</v>
      </c>
      <c r="B680" t="s">
        <v>148</v>
      </c>
      <c r="C680" s="1">
        <v>45740</v>
      </c>
      <c r="D680" t="s">
        <v>317</v>
      </c>
      <c r="E680" t="s">
        <v>318</v>
      </c>
      <c r="F680" t="s">
        <v>4965</v>
      </c>
      <c r="G680" t="s">
        <v>2517</v>
      </c>
      <c r="H680">
        <v>65</v>
      </c>
      <c r="I680" t="s">
        <v>2517</v>
      </c>
      <c r="J680">
        <v>163</v>
      </c>
      <c r="K680" t="s">
        <v>5254</v>
      </c>
      <c r="L680" t="s">
        <v>4966</v>
      </c>
      <c r="M680" t="s">
        <v>2518</v>
      </c>
      <c r="N680" t="s">
        <v>5033</v>
      </c>
      <c r="O680" t="s">
        <v>2519</v>
      </c>
      <c r="Q680" t="s">
        <v>2520</v>
      </c>
      <c r="R680">
        <f>1</f>
        <v>1</v>
      </c>
      <c r="S680">
        <f>7.4</f>
        <v>7.4</v>
      </c>
      <c r="T680">
        <f>8</f>
        <v>8</v>
      </c>
      <c r="U680">
        <f>350</f>
        <v>350</v>
      </c>
      <c r="X680">
        <f>0</f>
        <v>0</v>
      </c>
      <c r="Y680" t="s">
        <v>157</v>
      </c>
      <c r="Z680">
        <f>0</f>
        <v>0</v>
      </c>
      <c r="AA680">
        <f>5</f>
        <v>5</v>
      </c>
      <c r="AB680">
        <f>0</f>
        <v>0</v>
      </c>
      <c r="AD680">
        <f>0</f>
        <v>0</v>
      </c>
      <c r="AE680">
        <f>0</f>
        <v>0</v>
      </c>
      <c r="AH680" t="s">
        <v>157</v>
      </c>
    </row>
    <row r="681" spans="1:61" x14ac:dyDescent="0.25">
      <c r="A681" t="s">
        <v>2521</v>
      </c>
      <c r="B681" t="s">
        <v>148</v>
      </c>
      <c r="C681" s="1">
        <v>45719</v>
      </c>
      <c r="D681" t="s">
        <v>317</v>
      </c>
      <c r="E681" t="s">
        <v>176</v>
      </c>
      <c r="F681" t="s">
        <v>4821</v>
      </c>
      <c r="G681" t="s">
        <v>2522</v>
      </c>
      <c r="H681">
        <v>1672</v>
      </c>
      <c r="I681" t="s">
        <v>2523</v>
      </c>
      <c r="J681">
        <v>189</v>
      </c>
      <c r="K681" t="s">
        <v>4778</v>
      </c>
      <c r="M681" t="s">
        <v>5583</v>
      </c>
      <c r="N681" t="s">
        <v>2524</v>
      </c>
      <c r="O681" t="s">
        <v>2525</v>
      </c>
      <c r="Q681" t="s">
        <v>329</v>
      </c>
      <c r="R681">
        <f>1</f>
        <v>1</v>
      </c>
      <c r="S681">
        <f>7.9</f>
        <v>7.9</v>
      </c>
      <c r="T681">
        <f>7.6</f>
        <v>7.6</v>
      </c>
      <c r="U681">
        <f>335</f>
        <v>335</v>
      </c>
      <c r="X681">
        <f>0</f>
        <v>0</v>
      </c>
      <c r="Y681" t="s">
        <v>157</v>
      </c>
      <c r="Z681">
        <f>0</f>
        <v>0</v>
      </c>
      <c r="AA681">
        <f>0</f>
        <v>0</v>
      </c>
      <c r="AB681">
        <f>0</f>
        <v>0</v>
      </c>
      <c r="AC681">
        <f>0</f>
        <v>0</v>
      </c>
      <c r="AD681">
        <f>0</f>
        <v>0</v>
      </c>
      <c r="AE681">
        <f>0</f>
        <v>0</v>
      </c>
      <c r="AH681" t="s">
        <v>157</v>
      </c>
      <c r="BI681" t="s">
        <v>167</v>
      </c>
    </row>
    <row r="682" spans="1:61" x14ac:dyDescent="0.25">
      <c r="A682" t="s">
        <v>2526</v>
      </c>
      <c r="B682" t="s">
        <v>148</v>
      </c>
      <c r="C682" s="1">
        <v>45723</v>
      </c>
      <c r="D682" t="s">
        <v>317</v>
      </c>
      <c r="E682" t="s">
        <v>318</v>
      </c>
      <c r="F682" t="s">
        <v>6576</v>
      </c>
      <c r="G682" t="s">
        <v>2527</v>
      </c>
      <c r="H682">
        <v>1648</v>
      </c>
      <c r="I682" t="s">
        <v>2527</v>
      </c>
      <c r="J682">
        <v>130</v>
      </c>
      <c r="K682" t="s">
        <v>5257</v>
      </c>
      <c r="M682" t="s">
        <v>4847</v>
      </c>
      <c r="N682" t="s">
        <v>6751</v>
      </c>
      <c r="O682" t="s">
        <v>2528</v>
      </c>
      <c r="Q682" t="s">
        <v>6340</v>
      </c>
      <c r="R682">
        <f>1</f>
        <v>1</v>
      </c>
      <c r="S682">
        <f>5.8</f>
        <v>5.8</v>
      </c>
      <c r="T682">
        <f>8.1</f>
        <v>8.1</v>
      </c>
      <c r="U682">
        <f>278</f>
        <v>278</v>
      </c>
      <c r="X682">
        <f>0</f>
        <v>0</v>
      </c>
      <c r="Y682" t="s">
        <v>157</v>
      </c>
      <c r="Z682">
        <f>0</f>
        <v>0</v>
      </c>
      <c r="AA682">
        <f>0</f>
        <v>0</v>
      </c>
      <c r="AB682">
        <f>0</f>
        <v>0</v>
      </c>
      <c r="AC682">
        <f>0</f>
        <v>0</v>
      </c>
      <c r="AD682">
        <f>0</f>
        <v>0</v>
      </c>
      <c r="AE682">
        <f>0</f>
        <v>0</v>
      </c>
      <c r="AH682" t="s">
        <v>157</v>
      </c>
    </row>
    <row r="683" spans="1:61" x14ac:dyDescent="0.25">
      <c r="A683" t="s">
        <v>2529</v>
      </c>
      <c r="B683" t="s">
        <v>148</v>
      </c>
      <c r="C683" s="1">
        <v>45880</v>
      </c>
      <c r="D683" t="s">
        <v>311</v>
      </c>
      <c r="E683" t="s">
        <v>312</v>
      </c>
      <c r="F683" t="s">
        <v>2047</v>
      </c>
      <c r="G683" t="s">
        <v>5964</v>
      </c>
      <c r="H683">
        <v>1196</v>
      </c>
      <c r="I683" t="s">
        <v>5964</v>
      </c>
      <c r="J683">
        <v>79</v>
      </c>
      <c r="K683" t="s">
        <v>5257</v>
      </c>
      <c r="L683" t="s">
        <v>431</v>
      </c>
      <c r="M683" t="s">
        <v>6098</v>
      </c>
      <c r="N683" t="s">
        <v>5584</v>
      </c>
      <c r="O683" t="s">
        <v>2530</v>
      </c>
      <c r="R683">
        <f>1</f>
        <v>1</v>
      </c>
      <c r="S683">
        <f>15.4</f>
        <v>15.4</v>
      </c>
      <c r="T683">
        <f>7.3</f>
        <v>7.3</v>
      </c>
      <c r="U683">
        <f>141</f>
        <v>141</v>
      </c>
      <c r="X683">
        <f>0</f>
        <v>0</v>
      </c>
      <c r="Y683" t="s">
        <v>157</v>
      </c>
      <c r="Z683">
        <f>0</f>
        <v>0</v>
      </c>
      <c r="AA683">
        <f>17</f>
        <v>17</v>
      </c>
      <c r="AB683">
        <f>24</f>
        <v>24</v>
      </c>
      <c r="AC683">
        <f>0</f>
        <v>0</v>
      </c>
      <c r="AD683">
        <f>0</f>
        <v>0</v>
      </c>
      <c r="AE683">
        <f>0</f>
        <v>0</v>
      </c>
      <c r="AH683" t="s">
        <v>157</v>
      </c>
      <c r="BI683">
        <f>1.5</f>
        <v>1.5</v>
      </c>
    </row>
    <row r="684" spans="1:61" x14ac:dyDescent="0.25">
      <c r="A684" t="s">
        <v>2531</v>
      </c>
      <c r="B684" t="s">
        <v>268</v>
      </c>
      <c r="C684" s="1">
        <v>45733</v>
      </c>
      <c r="D684" t="s">
        <v>618</v>
      </c>
      <c r="E684" t="s">
        <v>619</v>
      </c>
      <c r="F684" t="s">
        <v>2532</v>
      </c>
      <c r="G684" t="s">
        <v>2533</v>
      </c>
      <c r="H684">
        <v>1378</v>
      </c>
      <c r="I684" t="s">
        <v>2533</v>
      </c>
      <c r="J684">
        <v>112</v>
      </c>
      <c r="K684" t="s">
        <v>5254</v>
      </c>
      <c r="L684" t="s">
        <v>180</v>
      </c>
      <c r="M684" t="s">
        <v>5585</v>
      </c>
      <c r="N684" t="s">
        <v>5586</v>
      </c>
      <c r="O684" t="s">
        <v>2534</v>
      </c>
      <c r="R684">
        <f>1</f>
        <v>1</v>
      </c>
      <c r="S684">
        <f>8.8</f>
        <v>8.8000000000000007</v>
      </c>
      <c r="T684">
        <f>7.9</f>
        <v>7.9</v>
      </c>
      <c r="U684">
        <f>194</f>
        <v>194</v>
      </c>
      <c r="X684">
        <f>0</f>
        <v>0</v>
      </c>
      <c r="Y684">
        <f>0.1</f>
        <v>0.1</v>
      </c>
      <c r="Z684">
        <f>0</f>
        <v>0</v>
      </c>
      <c r="AA684" t="s">
        <v>158</v>
      </c>
      <c r="AB684" t="s">
        <v>158</v>
      </c>
      <c r="AD684">
        <f>0</f>
        <v>0</v>
      </c>
      <c r="AE684">
        <f>3</f>
        <v>3</v>
      </c>
      <c r="AH684" t="s">
        <v>157</v>
      </c>
      <c r="BI684">
        <f>0.84</f>
        <v>0.84</v>
      </c>
    </row>
    <row r="685" spans="1:61" x14ac:dyDescent="0.25">
      <c r="A685" t="s">
        <v>2535</v>
      </c>
      <c r="B685" t="s">
        <v>148</v>
      </c>
      <c r="C685" s="1">
        <v>45758</v>
      </c>
      <c r="D685" t="s">
        <v>242</v>
      </c>
      <c r="E685" t="s">
        <v>243</v>
      </c>
      <c r="F685" t="s">
        <v>5587</v>
      </c>
      <c r="G685" t="s">
        <v>5588</v>
      </c>
      <c r="H685">
        <v>1682</v>
      </c>
      <c r="I685" t="s">
        <v>5588</v>
      </c>
      <c r="J685">
        <v>122</v>
      </c>
      <c r="K685" t="s">
        <v>5257</v>
      </c>
      <c r="M685" t="s">
        <v>5589</v>
      </c>
      <c r="N685" t="s">
        <v>5590</v>
      </c>
      <c r="O685" t="s">
        <v>2536</v>
      </c>
      <c r="R685">
        <f>1</f>
        <v>1</v>
      </c>
      <c r="S685">
        <f>9.5</f>
        <v>9.5</v>
      </c>
      <c r="T685">
        <f>8.2</f>
        <v>8.1999999999999993</v>
      </c>
      <c r="U685">
        <f>156</f>
        <v>156</v>
      </c>
      <c r="X685">
        <f>1</f>
        <v>1</v>
      </c>
      <c r="Y685" t="s">
        <v>157</v>
      </c>
      <c r="Z685">
        <f>0</f>
        <v>0</v>
      </c>
      <c r="AA685" t="s">
        <v>158</v>
      </c>
      <c r="AB685" t="s">
        <v>158</v>
      </c>
      <c r="AC685">
        <f>0</f>
        <v>0</v>
      </c>
      <c r="AD685">
        <f>0</f>
        <v>0</v>
      </c>
      <c r="AE685">
        <f>0</f>
        <v>0</v>
      </c>
      <c r="AH685" t="s">
        <v>157</v>
      </c>
      <c r="BI685" t="s">
        <v>836</v>
      </c>
    </row>
    <row r="686" spans="1:61" x14ac:dyDescent="0.25">
      <c r="A686" t="s">
        <v>2537</v>
      </c>
      <c r="B686" t="s">
        <v>268</v>
      </c>
      <c r="C686" s="1">
        <v>45758</v>
      </c>
      <c r="D686" t="s">
        <v>618</v>
      </c>
      <c r="E686" t="s">
        <v>619</v>
      </c>
      <c r="F686" t="s">
        <v>2538</v>
      </c>
      <c r="G686" t="s">
        <v>5591</v>
      </c>
      <c r="H686">
        <v>1687</v>
      </c>
      <c r="I686" t="s">
        <v>5591</v>
      </c>
      <c r="J686">
        <v>50</v>
      </c>
      <c r="K686" t="s">
        <v>5331</v>
      </c>
      <c r="M686" t="s">
        <v>5591</v>
      </c>
      <c r="N686" t="s">
        <v>2539</v>
      </c>
      <c r="O686" t="s">
        <v>2540</v>
      </c>
      <c r="R686">
        <f>1</f>
        <v>1</v>
      </c>
      <c r="S686">
        <f>1.9</f>
        <v>1.9</v>
      </c>
      <c r="T686">
        <f>7.2</f>
        <v>7.2</v>
      </c>
      <c r="U686">
        <f>45</f>
        <v>45</v>
      </c>
      <c r="X686">
        <f>0</f>
        <v>0</v>
      </c>
      <c r="Y686">
        <f>0.1</f>
        <v>0.1</v>
      </c>
      <c r="Z686">
        <f>0</f>
        <v>0</v>
      </c>
      <c r="AA686">
        <f>24</f>
        <v>24</v>
      </c>
      <c r="AB686" t="s">
        <v>158</v>
      </c>
      <c r="AC686">
        <f>0</f>
        <v>0</v>
      </c>
      <c r="AD686">
        <f>0</f>
        <v>0</v>
      </c>
      <c r="AE686">
        <f>13</f>
        <v>13</v>
      </c>
      <c r="AH686" t="s">
        <v>157</v>
      </c>
      <c r="BI686">
        <f>0.38</f>
        <v>0.38</v>
      </c>
    </row>
    <row r="687" spans="1:61" x14ac:dyDescent="0.25">
      <c r="A687" t="s">
        <v>2541</v>
      </c>
      <c r="B687" t="s">
        <v>148</v>
      </c>
      <c r="C687" s="1">
        <v>45744</v>
      </c>
      <c r="D687" t="s">
        <v>311</v>
      </c>
      <c r="E687" t="s">
        <v>312</v>
      </c>
      <c r="F687" t="s">
        <v>424</v>
      </c>
      <c r="G687" t="s">
        <v>425</v>
      </c>
      <c r="H687">
        <v>921</v>
      </c>
      <c r="I687" t="s">
        <v>4848</v>
      </c>
      <c r="J687">
        <v>75</v>
      </c>
      <c r="K687" t="s">
        <v>5254</v>
      </c>
      <c r="L687" t="s">
        <v>431</v>
      </c>
      <c r="M687" t="s">
        <v>5592</v>
      </c>
      <c r="N687" t="s">
        <v>2542</v>
      </c>
      <c r="O687" t="s">
        <v>2543</v>
      </c>
      <c r="R687">
        <f>1</f>
        <v>1</v>
      </c>
      <c r="S687">
        <f>7.9</f>
        <v>7.9</v>
      </c>
      <c r="T687">
        <f>7.3</f>
        <v>7.3</v>
      </c>
      <c r="U687">
        <f>65</f>
        <v>65</v>
      </c>
      <c r="X687">
        <f>0</f>
        <v>0</v>
      </c>
      <c r="Y687" t="s">
        <v>157</v>
      </c>
      <c r="Z687">
        <f>0</f>
        <v>0</v>
      </c>
      <c r="AA687" t="s">
        <v>158</v>
      </c>
      <c r="AB687" t="s">
        <v>158</v>
      </c>
      <c r="AD687">
        <f>0</f>
        <v>0</v>
      </c>
      <c r="AE687">
        <f>0</f>
        <v>0</v>
      </c>
      <c r="AH687" t="s">
        <v>157</v>
      </c>
    </row>
    <row r="688" spans="1:61" x14ac:dyDescent="0.25">
      <c r="A688" t="s">
        <v>2544</v>
      </c>
      <c r="B688" t="s">
        <v>148</v>
      </c>
      <c r="C688" s="1">
        <v>45817</v>
      </c>
      <c r="D688" t="s">
        <v>242</v>
      </c>
      <c r="E688" t="s">
        <v>295</v>
      </c>
      <c r="F688" t="s">
        <v>764</v>
      </c>
      <c r="G688" t="s">
        <v>2545</v>
      </c>
      <c r="H688">
        <v>1414</v>
      </c>
      <c r="I688" t="s">
        <v>2545</v>
      </c>
      <c r="J688">
        <v>187</v>
      </c>
      <c r="K688" t="s">
        <v>5257</v>
      </c>
      <c r="L688" t="s">
        <v>393</v>
      </c>
      <c r="M688" t="s">
        <v>5593</v>
      </c>
      <c r="N688" t="s">
        <v>5594</v>
      </c>
      <c r="O688" t="s">
        <v>2546</v>
      </c>
      <c r="R688">
        <f>1</f>
        <v>1</v>
      </c>
      <c r="S688">
        <f>18.2</f>
        <v>18.2</v>
      </c>
      <c r="T688">
        <f>7.6</f>
        <v>7.6</v>
      </c>
      <c r="U688">
        <f>494</f>
        <v>494</v>
      </c>
      <c r="X688">
        <f>0</f>
        <v>0</v>
      </c>
      <c r="Y688">
        <f>0.14</f>
        <v>0.14000000000000001</v>
      </c>
      <c r="Z688">
        <f>0</f>
        <v>0</v>
      </c>
      <c r="AA688" t="s">
        <v>158</v>
      </c>
      <c r="AB688" t="s">
        <v>158</v>
      </c>
      <c r="AC688">
        <f>0</f>
        <v>0</v>
      </c>
      <c r="AD688">
        <f>0</f>
        <v>0</v>
      </c>
      <c r="AE688">
        <f>0</f>
        <v>0</v>
      </c>
      <c r="AH688" t="s">
        <v>157</v>
      </c>
    </row>
    <row r="689" spans="1:44" x14ac:dyDescent="0.25">
      <c r="A689" t="s">
        <v>2547</v>
      </c>
      <c r="B689" t="s">
        <v>148</v>
      </c>
      <c r="C689" s="1">
        <v>45771</v>
      </c>
      <c r="D689" t="s">
        <v>222</v>
      </c>
      <c r="E689" t="s">
        <v>223</v>
      </c>
      <c r="F689" t="s">
        <v>4745</v>
      </c>
      <c r="G689" t="s">
        <v>6752</v>
      </c>
      <c r="H689">
        <v>1290</v>
      </c>
      <c r="I689" t="s">
        <v>6752</v>
      </c>
      <c r="J689">
        <v>95</v>
      </c>
      <c r="K689" t="s">
        <v>5257</v>
      </c>
      <c r="L689" t="s">
        <v>180</v>
      </c>
      <c r="M689" t="s">
        <v>5595</v>
      </c>
      <c r="N689" t="s">
        <v>4849</v>
      </c>
      <c r="O689" t="s">
        <v>2548</v>
      </c>
      <c r="Q689" t="s">
        <v>6395</v>
      </c>
      <c r="R689">
        <f>1</f>
        <v>1</v>
      </c>
      <c r="S689">
        <f>13.6</f>
        <v>13.6</v>
      </c>
      <c r="T689">
        <f>8.2</f>
        <v>8.1999999999999993</v>
      </c>
      <c r="U689">
        <f>244</f>
        <v>244</v>
      </c>
      <c r="X689">
        <f>1</f>
        <v>1</v>
      </c>
      <c r="Y689">
        <f>0.22</f>
        <v>0.22</v>
      </c>
      <c r="Z689">
        <f>0</f>
        <v>0</v>
      </c>
      <c r="AA689">
        <f>6</f>
        <v>6</v>
      </c>
      <c r="AB689">
        <f>1</f>
        <v>1</v>
      </c>
      <c r="AC689">
        <f>0</f>
        <v>0</v>
      </c>
      <c r="AD689">
        <f>0</f>
        <v>0</v>
      </c>
      <c r="AE689">
        <f>0</f>
        <v>0</v>
      </c>
      <c r="AH689" t="s">
        <v>166</v>
      </c>
    </row>
    <row r="690" spans="1:44" x14ac:dyDescent="0.25">
      <c r="A690" t="s">
        <v>2549</v>
      </c>
      <c r="B690" t="s">
        <v>148</v>
      </c>
      <c r="C690" s="1">
        <v>45726</v>
      </c>
      <c r="D690" t="s">
        <v>269</v>
      </c>
      <c r="E690" t="s">
        <v>270</v>
      </c>
      <c r="F690" t="s">
        <v>754</v>
      </c>
      <c r="G690" t="s">
        <v>2550</v>
      </c>
      <c r="H690">
        <v>472</v>
      </c>
      <c r="I690" t="s">
        <v>2550</v>
      </c>
      <c r="J690">
        <v>96</v>
      </c>
      <c r="K690" t="s">
        <v>5257</v>
      </c>
      <c r="L690" t="s">
        <v>180</v>
      </c>
      <c r="M690" t="s">
        <v>5596</v>
      </c>
      <c r="N690" t="s">
        <v>2551</v>
      </c>
      <c r="O690" t="s">
        <v>2552</v>
      </c>
      <c r="R690">
        <f>1</f>
        <v>1</v>
      </c>
      <c r="S690">
        <f>8.7</f>
        <v>8.6999999999999993</v>
      </c>
      <c r="T690">
        <f>7.7</f>
        <v>7.7</v>
      </c>
      <c r="U690">
        <f>380</f>
        <v>380</v>
      </c>
      <c r="X690">
        <f>0</f>
        <v>0</v>
      </c>
      <c r="Y690" t="s">
        <v>207</v>
      </c>
      <c r="Z690">
        <f>0</f>
        <v>0</v>
      </c>
      <c r="AA690" t="s">
        <v>158</v>
      </c>
      <c r="AB690" t="s">
        <v>158</v>
      </c>
      <c r="AC690">
        <f>0</f>
        <v>0</v>
      </c>
      <c r="AD690">
        <f>0</f>
        <v>0</v>
      </c>
      <c r="AE690">
        <f>0</f>
        <v>0</v>
      </c>
    </row>
    <row r="691" spans="1:44" x14ac:dyDescent="0.25">
      <c r="A691" t="s">
        <v>2553</v>
      </c>
      <c r="B691" t="s">
        <v>148</v>
      </c>
      <c r="C691" s="1">
        <v>45811</v>
      </c>
      <c r="D691" t="s">
        <v>311</v>
      </c>
      <c r="E691" t="s">
        <v>312</v>
      </c>
      <c r="F691" t="s">
        <v>4780</v>
      </c>
      <c r="G691" t="s">
        <v>5198</v>
      </c>
      <c r="H691">
        <v>1557</v>
      </c>
      <c r="I691" t="s">
        <v>5198</v>
      </c>
      <c r="J691">
        <v>100</v>
      </c>
      <c r="K691" t="s">
        <v>5257</v>
      </c>
      <c r="L691" t="s">
        <v>4775</v>
      </c>
      <c r="M691" t="s">
        <v>5597</v>
      </c>
      <c r="N691" t="s">
        <v>5034</v>
      </c>
      <c r="O691" t="s">
        <v>2554</v>
      </c>
      <c r="R691">
        <f>1</f>
        <v>1</v>
      </c>
      <c r="S691">
        <f>18</f>
        <v>18</v>
      </c>
      <c r="T691">
        <f>7.5</f>
        <v>7.5</v>
      </c>
      <c r="U691">
        <f>335</f>
        <v>335</v>
      </c>
      <c r="X691">
        <f>0</f>
        <v>0</v>
      </c>
      <c r="Y691" t="s">
        <v>157</v>
      </c>
      <c r="Z691">
        <f>0</f>
        <v>0</v>
      </c>
      <c r="AA691" t="s">
        <v>158</v>
      </c>
      <c r="AB691" t="s">
        <v>158</v>
      </c>
      <c r="AC691">
        <f>0</f>
        <v>0</v>
      </c>
      <c r="AD691">
        <f>0</f>
        <v>0</v>
      </c>
      <c r="AE691">
        <f>0</f>
        <v>0</v>
      </c>
      <c r="AH691" t="s">
        <v>157</v>
      </c>
      <c r="AI691" t="s">
        <v>238</v>
      </c>
      <c r="AL691" t="s">
        <v>164</v>
      </c>
      <c r="AM691" t="s">
        <v>165</v>
      </c>
      <c r="AN691">
        <f>20</f>
        <v>20</v>
      </c>
      <c r="AO691">
        <f>0.4</f>
        <v>0.4</v>
      </c>
      <c r="AP691">
        <f>10</f>
        <v>10</v>
      </c>
      <c r="AQ691">
        <f>7</f>
        <v>7</v>
      </c>
      <c r="AR691" t="s">
        <v>157</v>
      </c>
    </row>
    <row r="692" spans="1:44" x14ac:dyDescent="0.25">
      <c r="A692" t="s">
        <v>2555</v>
      </c>
      <c r="B692" t="s">
        <v>268</v>
      </c>
      <c r="C692" s="1">
        <v>45733</v>
      </c>
      <c r="D692" t="s">
        <v>618</v>
      </c>
      <c r="E692" t="s">
        <v>619</v>
      </c>
      <c r="F692" t="s">
        <v>620</v>
      </c>
      <c r="G692" t="s">
        <v>6753</v>
      </c>
      <c r="H692">
        <v>1389</v>
      </c>
      <c r="I692" t="s">
        <v>6753</v>
      </c>
      <c r="J692">
        <v>100</v>
      </c>
      <c r="K692" t="s">
        <v>5254</v>
      </c>
      <c r="L692" t="s">
        <v>180</v>
      </c>
      <c r="M692" t="s">
        <v>5598</v>
      </c>
      <c r="N692" t="s">
        <v>4850</v>
      </c>
      <c r="O692" t="s">
        <v>2556</v>
      </c>
      <c r="R692">
        <f>1</f>
        <v>1</v>
      </c>
      <c r="S692">
        <f>7.7</f>
        <v>7.7</v>
      </c>
      <c r="T692">
        <f>7.3</f>
        <v>7.3</v>
      </c>
      <c r="U692">
        <f>117</f>
        <v>117</v>
      </c>
      <c r="X692">
        <f>0</f>
        <v>0</v>
      </c>
      <c r="Y692">
        <f>0.1</f>
        <v>0.1</v>
      </c>
      <c r="Z692">
        <f>0</f>
        <v>0</v>
      </c>
      <c r="AA692" t="s">
        <v>158</v>
      </c>
      <c r="AB692" t="s">
        <v>158</v>
      </c>
      <c r="AD692">
        <f>0</f>
        <v>0</v>
      </c>
      <c r="AE692">
        <f>12</f>
        <v>12</v>
      </c>
      <c r="AH692" t="s">
        <v>157</v>
      </c>
    </row>
    <row r="693" spans="1:44" x14ac:dyDescent="0.25">
      <c r="A693" t="s">
        <v>2557</v>
      </c>
      <c r="B693" t="s">
        <v>148</v>
      </c>
      <c r="C693" s="1">
        <v>45751</v>
      </c>
      <c r="D693" t="s">
        <v>618</v>
      </c>
      <c r="E693" t="s">
        <v>619</v>
      </c>
      <c r="F693" t="s">
        <v>620</v>
      </c>
      <c r="G693" t="s">
        <v>2558</v>
      </c>
      <c r="H693">
        <v>948</v>
      </c>
      <c r="I693" t="s">
        <v>2558</v>
      </c>
      <c r="J693">
        <v>100</v>
      </c>
      <c r="K693" t="s">
        <v>5257</v>
      </c>
      <c r="L693" t="s">
        <v>393</v>
      </c>
      <c r="M693" t="s">
        <v>5599</v>
      </c>
      <c r="N693" t="s">
        <v>4851</v>
      </c>
      <c r="O693" t="s">
        <v>2559</v>
      </c>
      <c r="R693">
        <f>1</f>
        <v>1</v>
      </c>
      <c r="S693">
        <f>8.2</f>
        <v>8.1999999999999993</v>
      </c>
      <c r="T693">
        <f>7.7</f>
        <v>7.7</v>
      </c>
      <c r="U693">
        <f>51</f>
        <v>51</v>
      </c>
      <c r="V693" t="s">
        <v>157</v>
      </c>
      <c r="X693">
        <f>0</f>
        <v>0</v>
      </c>
      <c r="Y693">
        <f>0.1</f>
        <v>0.1</v>
      </c>
      <c r="Z693">
        <f>0</f>
        <v>0</v>
      </c>
      <c r="AA693" t="s">
        <v>158</v>
      </c>
      <c r="AB693" t="s">
        <v>158</v>
      </c>
      <c r="AC693">
        <f>0</f>
        <v>0</v>
      </c>
      <c r="AD693">
        <f>0</f>
        <v>0</v>
      </c>
      <c r="AE693">
        <f>0</f>
        <v>0</v>
      </c>
      <c r="AH693" t="s">
        <v>157</v>
      </c>
    </row>
    <row r="694" spans="1:44" x14ac:dyDescent="0.25">
      <c r="A694" t="s">
        <v>2560</v>
      </c>
      <c r="B694" t="s">
        <v>148</v>
      </c>
      <c r="C694" s="1">
        <v>45726</v>
      </c>
      <c r="D694" t="s">
        <v>175</v>
      </c>
      <c r="E694" t="s">
        <v>176</v>
      </c>
      <c r="F694" t="s">
        <v>1332</v>
      </c>
      <c r="G694" t="s">
        <v>2561</v>
      </c>
      <c r="H694">
        <v>569</v>
      </c>
      <c r="I694" t="s">
        <v>2561</v>
      </c>
      <c r="J694">
        <v>219</v>
      </c>
      <c r="K694" t="s">
        <v>5257</v>
      </c>
      <c r="L694" t="s">
        <v>4966</v>
      </c>
      <c r="M694" t="s">
        <v>2562</v>
      </c>
      <c r="N694" t="s">
        <v>2563</v>
      </c>
      <c r="O694" t="s">
        <v>2564</v>
      </c>
      <c r="R694">
        <f>1</f>
        <v>1</v>
      </c>
      <c r="S694">
        <f>8.4</f>
        <v>8.4</v>
      </c>
      <c r="T694">
        <f>7.1</f>
        <v>7.1</v>
      </c>
      <c r="U694">
        <f>112</f>
        <v>112</v>
      </c>
      <c r="X694">
        <f>0</f>
        <v>0</v>
      </c>
      <c r="Y694" t="s">
        <v>157</v>
      </c>
      <c r="Z694">
        <f>0</f>
        <v>0</v>
      </c>
      <c r="AA694">
        <f>76</f>
        <v>76</v>
      </c>
      <c r="AB694" t="s">
        <v>158</v>
      </c>
      <c r="AC694">
        <f>0</f>
        <v>0</v>
      </c>
      <c r="AD694">
        <f>0</f>
        <v>0</v>
      </c>
      <c r="AE694">
        <f>0</f>
        <v>0</v>
      </c>
    </row>
    <row r="695" spans="1:44" x14ac:dyDescent="0.25">
      <c r="A695" t="s">
        <v>2565</v>
      </c>
      <c r="B695" t="s">
        <v>148</v>
      </c>
      <c r="C695" s="1">
        <v>45744</v>
      </c>
      <c r="D695" t="s">
        <v>311</v>
      </c>
      <c r="E695" t="s">
        <v>312</v>
      </c>
      <c r="F695" t="s">
        <v>424</v>
      </c>
      <c r="G695" t="s">
        <v>425</v>
      </c>
      <c r="H695">
        <v>1218</v>
      </c>
      <c r="I695" t="s">
        <v>4852</v>
      </c>
      <c r="J695">
        <v>86</v>
      </c>
      <c r="K695" t="s">
        <v>5254</v>
      </c>
      <c r="L695" t="s">
        <v>431</v>
      </c>
      <c r="M695" t="s">
        <v>2566</v>
      </c>
      <c r="N695" t="s">
        <v>6099</v>
      </c>
      <c r="O695" t="s">
        <v>2567</v>
      </c>
      <c r="R695">
        <f>1</f>
        <v>1</v>
      </c>
      <c r="S695">
        <f>8.7</f>
        <v>8.6999999999999993</v>
      </c>
      <c r="T695">
        <f>8</f>
        <v>8</v>
      </c>
      <c r="U695">
        <f>107</f>
        <v>107</v>
      </c>
      <c r="X695">
        <f>0</f>
        <v>0</v>
      </c>
      <c r="Y695" t="s">
        <v>157</v>
      </c>
      <c r="Z695">
        <f>0</f>
        <v>0</v>
      </c>
      <c r="AA695" t="s">
        <v>158</v>
      </c>
      <c r="AB695" t="s">
        <v>158</v>
      </c>
      <c r="AD695">
        <f>0</f>
        <v>0</v>
      </c>
      <c r="AE695">
        <f>0</f>
        <v>0</v>
      </c>
      <c r="AH695" t="s">
        <v>157</v>
      </c>
    </row>
    <row r="696" spans="1:44" x14ac:dyDescent="0.25">
      <c r="A696" t="s">
        <v>2568</v>
      </c>
      <c r="B696" t="s">
        <v>148</v>
      </c>
      <c r="C696" s="1">
        <v>45849</v>
      </c>
      <c r="D696" t="s">
        <v>222</v>
      </c>
      <c r="E696" t="s">
        <v>223</v>
      </c>
      <c r="F696" t="s">
        <v>4745</v>
      </c>
      <c r="G696" t="s">
        <v>2569</v>
      </c>
      <c r="H696">
        <v>1309</v>
      </c>
      <c r="I696" t="s">
        <v>2569</v>
      </c>
      <c r="J696">
        <v>109</v>
      </c>
      <c r="K696" t="s">
        <v>5257</v>
      </c>
      <c r="L696" t="s">
        <v>431</v>
      </c>
      <c r="M696" t="s">
        <v>5600</v>
      </c>
      <c r="N696" t="s">
        <v>2570</v>
      </c>
      <c r="O696" t="s">
        <v>2571</v>
      </c>
      <c r="Q696" t="s">
        <v>6332</v>
      </c>
      <c r="R696">
        <f>1</f>
        <v>1</v>
      </c>
      <c r="S696">
        <f>21.1</f>
        <v>21.1</v>
      </c>
      <c r="T696">
        <f>7.6</f>
        <v>7.6</v>
      </c>
      <c r="U696">
        <f>208</f>
        <v>208</v>
      </c>
      <c r="X696">
        <f>0</f>
        <v>0</v>
      </c>
      <c r="Y696">
        <f>0</f>
        <v>0</v>
      </c>
      <c r="Z696">
        <f>0</f>
        <v>0</v>
      </c>
      <c r="AA696">
        <f>0</f>
        <v>0</v>
      </c>
      <c r="AB696">
        <f>30</f>
        <v>30</v>
      </c>
      <c r="AD696">
        <f>0</f>
        <v>0</v>
      </c>
      <c r="AE696">
        <f>0</f>
        <v>0</v>
      </c>
      <c r="AH696" t="s">
        <v>166</v>
      </c>
    </row>
    <row r="697" spans="1:44" x14ac:dyDescent="0.25">
      <c r="A697" t="s">
        <v>2572</v>
      </c>
      <c r="B697" t="s">
        <v>148</v>
      </c>
      <c r="C697" s="1">
        <v>45722</v>
      </c>
      <c r="D697" t="s">
        <v>317</v>
      </c>
      <c r="E697" t="s">
        <v>318</v>
      </c>
      <c r="F697" t="s">
        <v>2573</v>
      </c>
      <c r="G697" t="s">
        <v>6100</v>
      </c>
      <c r="H697">
        <v>1089</v>
      </c>
      <c r="I697" t="s">
        <v>6100</v>
      </c>
      <c r="J697">
        <v>130</v>
      </c>
      <c r="K697" t="s">
        <v>5254</v>
      </c>
      <c r="L697" t="s">
        <v>180</v>
      </c>
      <c r="M697" t="s">
        <v>2574</v>
      </c>
      <c r="N697" t="s">
        <v>2575</v>
      </c>
      <c r="Q697" t="s">
        <v>347</v>
      </c>
      <c r="R697">
        <f>1</f>
        <v>1</v>
      </c>
      <c r="S697">
        <f>5.8</f>
        <v>5.8</v>
      </c>
      <c r="T697">
        <f>7.9</f>
        <v>7.9</v>
      </c>
      <c r="U697">
        <f>149</f>
        <v>149</v>
      </c>
      <c r="X697">
        <f>0</f>
        <v>0</v>
      </c>
      <c r="Y697" t="s">
        <v>157</v>
      </c>
      <c r="Z697">
        <f>0</f>
        <v>0</v>
      </c>
      <c r="AA697">
        <f>0</f>
        <v>0</v>
      </c>
      <c r="AB697">
        <f>0</f>
        <v>0</v>
      </c>
      <c r="AD697">
        <f>0</f>
        <v>0</v>
      </c>
      <c r="AE697">
        <f>0</f>
        <v>0</v>
      </c>
      <c r="AH697" t="s">
        <v>157</v>
      </c>
    </row>
    <row r="698" spans="1:44" x14ac:dyDescent="0.25">
      <c r="A698" t="s">
        <v>2576</v>
      </c>
      <c r="B698" t="s">
        <v>148</v>
      </c>
      <c r="C698" s="1">
        <v>45727</v>
      </c>
      <c r="D698" t="s">
        <v>242</v>
      </c>
      <c r="E698" t="s">
        <v>295</v>
      </c>
      <c r="F698" t="s">
        <v>2577</v>
      </c>
      <c r="G698" t="s">
        <v>2578</v>
      </c>
      <c r="H698">
        <v>1547</v>
      </c>
      <c r="I698" t="s">
        <v>2578</v>
      </c>
      <c r="J698">
        <v>172</v>
      </c>
      <c r="K698" t="s">
        <v>5254</v>
      </c>
      <c r="M698" t="s">
        <v>2579</v>
      </c>
      <c r="N698" t="s">
        <v>2580</v>
      </c>
      <c r="R698">
        <f>1</f>
        <v>1</v>
      </c>
      <c r="S698">
        <f>10.3</f>
        <v>10.3</v>
      </c>
      <c r="T698">
        <f>7.6</f>
        <v>7.6</v>
      </c>
      <c r="U698">
        <f>469</f>
        <v>469</v>
      </c>
      <c r="X698">
        <f>0</f>
        <v>0</v>
      </c>
      <c r="Y698">
        <f>0.05</f>
        <v>0.05</v>
      </c>
      <c r="Z698">
        <f>0</f>
        <v>0</v>
      </c>
      <c r="AA698" t="s">
        <v>158</v>
      </c>
      <c r="AB698" t="s">
        <v>158</v>
      </c>
      <c r="AD698">
        <f>0</f>
        <v>0</v>
      </c>
      <c r="AE698">
        <f>0</f>
        <v>0</v>
      </c>
    </row>
    <row r="699" spans="1:44" x14ac:dyDescent="0.25">
      <c r="A699" t="s">
        <v>2581</v>
      </c>
      <c r="B699" t="s">
        <v>148</v>
      </c>
      <c r="C699" s="1">
        <v>45849</v>
      </c>
      <c r="D699" t="s">
        <v>222</v>
      </c>
      <c r="E699" t="s">
        <v>223</v>
      </c>
      <c r="F699" t="s">
        <v>4745</v>
      </c>
      <c r="G699" t="s">
        <v>2582</v>
      </c>
      <c r="H699">
        <v>1297</v>
      </c>
      <c r="I699" t="s">
        <v>2583</v>
      </c>
      <c r="J699">
        <v>105</v>
      </c>
      <c r="K699" t="s">
        <v>5257</v>
      </c>
      <c r="L699" t="s">
        <v>431</v>
      </c>
      <c r="M699" t="s">
        <v>2584</v>
      </c>
      <c r="N699" t="s">
        <v>2585</v>
      </c>
      <c r="Q699" t="s">
        <v>6396</v>
      </c>
      <c r="R699">
        <f>1</f>
        <v>1</v>
      </c>
      <c r="S699">
        <f>22.1</f>
        <v>22.1</v>
      </c>
      <c r="T699">
        <f>6.7</f>
        <v>6.7</v>
      </c>
      <c r="U699">
        <f>45</f>
        <v>45</v>
      </c>
      <c r="X699">
        <f>0</f>
        <v>0</v>
      </c>
      <c r="Y699">
        <f>0.01</f>
        <v>0.01</v>
      </c>
      <c r="Z699">
        <f>0</f>
        <v>0</v>
      </c>
      <c r="AA699">
        <f>0</f>
        <v>0</v>
      </c>
      <c r="AB699">
        <f>2</f>
        <v>2</v>
      </c>
      <c r="AD699">
        <f>0</f>
        <v>0</v>
      </c>
      <c r="AE699">
        <f>0</f>
        <v>0</v>
      </c>
      <c r="AH699" t="s">
        <v>166</v>
      </c>
    </row>
    <row r="700" spans="1:44" x14ac:dyDescent="0.25">
      <c r="A700" t="s">
        <v>2586</v>
      </c>
      <c r="B700" t="s">
        <v>148</v>
      </c>
      <c r="C700" s="1">
        <v>45849</v>
      </c>
      <c r="D700" t="s">
        <v>222</v>
      </c>
      <c r="E700" t="s">
        <v>223</v>
      </c>
      <c r="F700" t="s">
        <v>4745</v>
      </c>
      <c r="G700" t="s">
        <v>2587</v>
      </c>
      <c r="H700">
        <v>1308</v>
      </c>
      <c r="I700" t="s">
        <v>2587</v>
      </c>
      <c r="J700">
        <v>108</v>
      </c>
      <c r="K700" t="s">
        <v>5257</v>
      </c>
      <c r="L700" t="s">
        <v>393</v>
      </c>
      <c r="M700" t="s">
        <v>2588</v>
      </c>
      <c r="N700" t="s">
        <v>2589</v>
      </c>
      <c r="Q700" t="s">
        <v>5601</v>
      </c>
      <c r="R700">
        <f>1</f>
        <v>1</v>
      </c>
      <c r="S700">
        <f>18.3</f>
        <v>18.3</v>
      </c>
      <c r="T700">
        <f>7.9</f>
        <v>7.9</v>
      </c>
      <c r="U700">
        <f>239</f>
        <v>239</v>
      </c>
      <c r="X700">
        <f>1</f>
        <v>1</v>
      </c>
      <c r="Y700">
        <f>0</f>
        <v>0</v>
      </c>
      <c r="Z700">
        <f>0</f>
        <v>0</v>
      </c>
      <c r="AA700">
        <f>0</f>
        <v>0</v>
      </c>
      <c r="AB700">
        <f>0</f>
        <v>0</v>
      </c>
      <c r="AD700">
        <f>0</f>
        <v>0</v>
      </c>
      <c r="AE700">
        <f>0</f>
        <v>0</v>
      </c>
      <c r="AH700" t="s">
        <v>166</v>
      </c>
    </row>
    <row r="701" spans="1:44" x14ac:dyDescent="0.25">
      <c r="A701" t="s">
        <v>2590</v>
      </c>
      <c r="B701" t="s">
        <v>148</v>
      </c>
      <c r="C701" s="1">
        <v>45849</v>
      </c>
      <c r="D701" t="s">
        <v>222</v>
      </c>
      <c r="E701" t="s">
        <v>223</v>
      </c>
      <c r="F701" t="s">
        <v>4745</v>
      </c>
      <c r="G701" t="s">
        <v>5199</v>
      </c>
      <c r="H701">
        <v>1521</v>
      </c>
      <c r="I701" t="s">
        <v>5200</v>
      </c>
      <c r="J701">
        <v>118</v>
      </c>
      <c r="K701" t="s">
        <v>5254</v>
      </c>
      <c r="L701" t="s">
        <v>431</v>
      </c>
      <c r="M701" t="s">
        <v>5201</v>
      </c>
      <c r="N701" t="s">
        <v>5202</v>
      </c>
      <c r="Q701" t="s">
        <v>2591</v>
      </c>
      <c r="R701">
        <f>1</f>
        <v>1</v>
      </c>
      <c r="S701">
        <f>21.2</f>
        <v>21.2</v>
      </c>
      <c r="T701">
        <f>7.6</f>
        <v>7.6</v>
      </c>
      <c r="U701">
        <f>284</f>
        <v>284</v>
      </c>
      <c r="X701">
        <f>1</f>
        <v>1</v>
      </c>
      <c r="Y701">
        <f>0.02</f>
        <v>0.02</v>
      </c>
      <c r="Z701">
        <f>0</f>
        <v>0</v>
      </c>
      <c r="AA701">
        <f>4</f>
        <v>4</v>
      </c>
      <c r="AB701">
        <f>6</f>
        <v>6</v>
      </c>
      <c r="AD701">
        <f>0</f>
        <v>0</v>
      </c>
      <c r="AE701">
        <f>0</f>
        <v>0</v>
      </c>
      <c r="AH701" t="s">
        <v>166</v>
      </c>
    </row>
    <row r="702" spans="1:44" x14ac:dyDescent="0.25">
      <c r="A702" t="s">
        <v>2592</v>
      </c>
      <c r="B702" t="s">
        <v>148</v>
      </c>
      <c r="C702" s="1">
        <v>45740</v>
      </c>
      <c r="D702" t="s">
        <v>222</v>
      </c>
      <c r="E702" t="s">
        <v>223</v>
      </c>
      <c r="F702" t="s">
        <v>4723</v>
      </c>
      <c r="G702" t="s">
        <v>2593</v>
      </c>
      <c r="H702">
        <v>266</v>
      </c>
      <c r="I702" t="s">
        <v>2593</v>
      </c>
      <c r="J702">
        <v>87</v>
      </c>
      <c r="K702" t="s">
        <v>5257</v>
      </c>
      <c r="L702" t="s">
        <v>726</v>
      </c>
      <c r="M702" t="s">
        <v>6101</v>
      </c>
      <c r="N702" t="s">
        <v>2594</v>
      </c>
      <c r="R702">
        <f>1</f>
        <v>1</v>
      </c>
      <c r="S702">
        <f>8.3</f>
        <v>8.3000000000000007</v>
      </c>
      <c r="T702">
        <f>8.1</f>
        <v>8.1</v>
      </c>
      <c r="U702">
        <f>334</f>
        <v>334</v>
      </c>
      <c r="X702">
        <f>1</f>
        <v>1</v>
      </c>
      <c r="Y702">
        <f>0.26</f>
        <v>0.26</v>
      </c>
      <c r="Z702">
        <f>0</f>
        <v>0</v>
      </c>
      <c r="AA702">
        <f>2</f>
        <v>2</v>
      </c>
      <c r="AB702">
        <f>3</f>
        <v>3</v>
      </c>
      <c r="AD702">
        <f>0</f>
        <v>0</v>
      </c>
      <c r="AE702">
        <f>0</f>
        <v>0</v>
      </c>
      <c r="AH702" t="s">
        <v>166</v>
      </c>
    </row>
    <row r="703" spans="1:44" x14ac:dyDescent="0.25">
      <c r="A703" t="s">
        <v>2595</v>
      </c>
      <c r="B703" t="s">
        <v>268</v>
      </c>
      <c r="C703" s="1">
        <v>45741</v>
      </c>
      <c r="D703" t="s">
        <v>222</v>
      </c>
      <c r="E703" t="s">
        <v>223</v>
      </c>
      <c r="F703" t="s">
        <v>4938</v>
      </c>
      <c r="G703" t="s">
        <v>2596</v>
      </c>
      <c r="H703">
        <v>1369</v>
      </c>
      <c r="I703" t="s">
        <v>2596</v>
      </c>
      <c r="J703">
        <v>100</v>
      </c>
      <c r="K703" t="s">
        <v>5257</v>
      </c>
      <c r="L703" t="s">
        <v>180</v>
      </c>
      <c r="M703" t="s">
        <v>6754</v>
      </c>
      <c r="N703" t="s">
        <v>5602</v>
      </c>
      <c r="Q703" t="s">
        <v>5532</v>
      </c>
      <c r="R703">
        <f>1</f>
        <v>1</v>
      </c>
      <c r="S703">
        <f>11.2</f>
        <v>11.2</v>
      </c>
      <c r="T703">
        <f>8.1</f>
        <v>8.1</v>
      </c>
      <c r="U703">
        <f>211</f>
        <v>211</v>
      </c>
      <c r="X703">
        <f>1</f>
        <v>1</v>
      </c>
      <c r="Y703">
        <f>0.11</f>
        <v>0.11</v>
      </c>
      <c r="Z703">
        <f>0</f>
        <v>0</v>
      </c>
      <c r="AA703">
        <f>24</f>
        <v>24</v>
      </c>
      <c r="AB703">
        <f>4</f>
        <v>4</v>
      </c>
      <c r="AD703">
        <f>0</f>
        <v>0</v>
      </c>
      <c r="AE703">
        <f>1</f>
        <v>1</v>
      </c>
      <c r="AH703" t="s">
        <v>166</v>
      </c>
    </row>
    <row r="704" spans="1:44" x14ac:dyDescent="0.25">
      <c r="A704" t="s">
        <v>2597</v>
      </c>
      <c r="B704" t="s">
        <v>148</v>
      </c>
      <c r="C704" s="1">
        <v>45728</v>
      </c>
      <c r="D704" t="s">
        <v>175</v>
      </c>
      <c r="E704" t="s">
        <v>649</v>
      </c>
      <c r="F704" t="s">
        <v>685</v>
      </c>
      <c r="G704" t="s">
        <v>6102</v>
      </c>
      <c r="H704">
        <v>1797</v>
      </c>
      <c r="I704" t="s">
        <v>6102</v>
      </c>
      <c r="J704">
        <v>222</v>
      </c>
      <c r="K704" t="s">
        <v>4778</v>
      </c>
      <c r="M704" t="s">
        <v>6103</v>
      </c>
      <c r="N704" t="s">
        <v>6104</v>
      </c>
      <c r="R704">
        <f>1</f>
        <v>1</v>
      </c>
      <c r="S704">
        <f>12.3</f>
        <v>12.3</v>
      </c>
      <c r="T704">
        <f>6.7</f>
        <v>6.7</v>
      </c>
      <c r="U704">
        <f>116</f>
        <v>116</v>
      </c>
      <c r="X704">
        <f>1</f>
        <v>1</v>
      </c>
      <c r="Y704" t="s">
        <v>157</v>
      </c>
      <c r="Z704">
        <f>0</f>
        <v>0</v>
      </c>
      <c r="AA704" t="s">
        <v>158</v>
      </c>
      <c r="AB704" t="s">
        <v>158</v>
      </c>
      <c r="AD704">
        <f>0</f>
        <v>0</v>
      </c>
      <c r="AE704">
        <f>0</f>
        <v>0</v>
      </c>
    </row>
    <row r="705" spans="1:61" x14ac:dyDescent="0.25">
      <c r="A705" t="s">
        <v>2598</v>
      </c>
      <c r="B705" t="s">
        <v>148</v>
      </c>
      <c r="C705" s="1">
        <v>45729</v>
      </c>
      <c r="D705" t="s">
        <v>175</v>
      </c>
      <c r="E705" t="s">
        <v>176</v>
      </c>
      <c r="F705" t="s">
        <v>1681</v>
      </c>
      <c r="G705" t="s">
        <v>2599</v>
      </c>
      <c r="H705">
        <v>220</v>
      </c>
      <c r="I705" t="s">
        <v>2599</v>
      </c>
      <c r="J705">
        <v>101</v>
      </c>
      <c r="K705" t="s">
        <v>5254</v>
      </c>
      <c r="L705" t="s">
        <v>1882</v>
      </c>
      <c r="M705" t="s">
        <v>2600</v>
      </c>
      <c r="N705" t="s">
        <v>2601</v>
      </c>
      <c r="O705" t="s">
        <v>2602</v>
      </c>
      <c r="Q705" t="s">
        <v>6397</v>
      </c>
      <c r="R705">
        <f>1</f>
        <v>1</v>
      </c>
      <c r="S705">
        <f>6.7</f>
        <v>6.7</v>
      </c>
      <c r="T705">
        <f>7.5</f>
        <v>7.5</v>
      </c>
      <c r="U705">
        <f>562</f>
        <v>562</v>
      </c>
      <c r="X705">
        <f>0</f>
        <v>0</v>
      </c>
      <c r="Y705" t="s">
        <v>157</v>
      </c>
      <c r="Z705">
        <f>0</f>
        <v>0</v>
      </c>
      <c r="AA705" t="s">
        <v>158</v>
      </c>
      <c r="AB705" t="s">
        <v>158</v>
      </c>
      <c r="AD705">
        <f>0</f>
        <v>0</v>
      </c>
      <c r="AE705">
        <f>0</f>
        <v>0</v>
      </c>
    </row>
    <row r="706" spans="1:61" x14ac:dyDescent="0.25">
      <c r="A706" t="s">
        <v>2603</v>
      </c>
      <c r="B706" t="s">
        <v>148</v>
      </c>
      <c r="C706" s="1">
        <v>45727</v>
      </c>
      <c r="D706" t="s">
        <v>175</v>
      </c>
      <c r="E706" t="s">
        <v>176</v>
      </c>
      <c r="F706" t="s">
        <v>1681</v>
      </c>
      <c r="G706" t="s">
        <v>6755</v>
      </c>
      <c r="H706">
        <v>307</v>
      </c>
      <c r="I706" t="s">
        <v>6755</v>
      </c>
      <c r="J706">
        <v>110</v>
      </c>
      <c r="K706" t="s">
        <v>5254</v>
      </c>
      <c r="L706" t="s">
        <v>1882</v>
      </c>
      <c r="M706" t="s">
        <v>6105</v>
      </c>
      <c r="N706" t="s">
        <v>4853</v>
      </c>
      <c r="O706" t="s">
        <v>2604</v>
      </c>
      <c r="R706">
        <f>1</f>
        <v>1</v>
      </c>
      <c r="S706">
        <f>6.5</f>
        <v>6.5</v>
      </c>
      <c r="T706">
        <f>7.7</f>
        <v>7.7</v>
      </c>
      <c r="U706">
        <f>585</f>
        <v>585</v>
      </c>
      <c r="X706">
        <f>0</f>
        <v>0</v>
      </c>
      <c r="Y706">
        <f>0.1</f>
        <v>0.1</v>
      </c>
      <c r="Z706">
        <f>0</f>
        <v>0</v>
      </c>
      <c r="AA706" t="s">
        <v>158</v>
      </c>
      <c r="AB706" t="s">
        <v>158</v>
      </c>
      <c r="AD706">
        <f>0</f>
        <v>0</v>
      </c>
      <c r="AE706">
        <f>0</f>
        <v>0</v>
      </c>
    </row>
    <row r="707" spans="1:61" x14ac:dyDescent="0.25">
      <c r="A707" t="s">
        <v>2605</v>
      </c>
      <c r="B707" t="s">
        <v>148</v>
      </c>
      <c r="C707" s="1">
        <v>45734</v>
      </c>
      <c r="D707" t="s">
        <v>175</v>
      </c>
      <c r="E707" t="s">
        <v>176</v>
      </c>
      <c r="F707" t="s">
        <v>4827</v>
      </c>
      <c r="G707" t="s">
        <v>2606</v>
      </c>
      <c r="H707">
        <v>590</v>
      </c>
      <c r="I707" t="s">
        <v>2606</v>
      </c>
      <c r="J707">
        <v>108</v>
      </c>
      <c r="K707" t="s">
        <v>5257</v>
      </c>
      <c r="L707" t="s">
        <v>180</v>
      </c>
      <c r="M707" t="s">
        <v>2607</v>
      </c>
      <c r="N707" t="s">
        <v>2608</v>
      </c>
      <c r="O707" t="s">
        <v>2609</v>
      </c>
      <c r="Q707" t="s">
        <v>2610</v>
      </c>
      <c r="R707">
        <f>1</f>
        <v>1</v>
      </c>
      <c r="S707">
        <f>8.5</f>
        <v>8.5</v>
      </c>
      <c r="T707">
        <f>7.5</f>
        <v>7.5</v>
      </c>
      <c r="U707">
        <f>380</f>
        <v>380</v>
      </c>
      <c r="X707">
        <f>0</f>
        <v>0</v>
      </c>
      <c r="Y707">
        <f>1.5</f>
        <v>1.5</v>
      </c>
      <c r="Z707">
        <f>0</f>
        <v>0</v>
      </c>
      <c r="AA707" t="s">
        <v>158</v>
      </c>
      <c r="AB707" t="s">
        <v>158</v>
      </c>
      <c r="AC707">
        <f>0</f>
        <v>0</v>
      </c>
      <c r="AD707">
        <f>0</f>
        <v>0</v>
      </c>
      <c r="AE707">
        <f>0</f>
        <v>0</v>
      </c>
      <c r="BI707">
        <f>0.34</f>
        <v>0.34</v>
      </c>
    </row>
    <row r="708" spans="1:61" x14ac:dyDescent="0.25">
      <c r="A708" t="s">
        <v>2611</v>
      </c>
      <c r="B708" t="s">
        <v>148</v>
      </c>
      <c r="C708" s="1">
        <v>45733</v>
      </c>
      <c r="D708" t="s">
        <v>269</v>
      </c>
      <c r="E708" t="s">
        <v>270</v>
      </c>
      <c r="F708" t="s">
        <v>271</v>
      </c>
      <c r="G708" t="s">
        <v>2612</v>
      </c>
      <c r="H708">
        <v>163</v>
      </c>
      <c r="I708" t="s">
        <v>2612</v>
      </c>
      <c r="J708">
        <v>60</v>
      </c>
      <c r="K708" t="s">
        <v>5254</v>
      </c>
      <c r="L708" t="s">
        <v>154</v>
      </c>
      <c r="M708" t="s">
        <v>2613</v>
      </c>
      <c r="N708" t="s">
        <v>2614</v>
      </c>
      <c r="O708" t="s">
        <v>2615</v>
      </c>
      <c r="R708">
        <f>1</f>
        <v>1</v>
      </c>
      <c r="S708">
        <f>8.5</f>
        <v>8.5</v>
      </c>
      <c r="T708">
        <f>7.6</f>
        <v>7.6</v>
      </c>
      <c r="U708">
        <f>556</f>
        <v>556</v>
      </c>
      <c r="V708">
        <f>0.22</f>
        <v>0.22</v>
      </c>
      <c r="X708">
        <f>0</f>
        <v>0</v>
      </c>
      <c r="Y708" t="s">
        <v>207</v>
      </c>
      <c r="Z708">
        <f>0</f>
        <v>0</v>
      </c>
      <c r="AA708">
        <f>14</f>
        <v>14</v>
      </c>
      <c r="AB708" t="s">
        <v>158</v>
      </c>
      <c r="AD708">
        <f>0</f>
        <v>0</v>
      </c>
      <c r="AE708">
        <f>0</f>
        <v>0</v>
      </c>
    </row>
    <row r="709" spans="1:61" x14ac:dyDescent="0.25">
      <c r="A709" t="s">
        <v>2616</v>
      </c>
      <c r="B709" t="s">
        <v>148</v>
      </c>
      <c r="C709" s="1">
        <v>45750</v>
      </c>
      <c r="D709" t="s">
        <v>317</v>
      </c>
      <c r="E709" t="s">
        <v>318</v>
      </c>
      <c r="F709" t="s">
        <v>325</v>
      </c>
      <c r="G709" t="s">
        <v>6106</v>
      </c>
      <c r="H709">
        <v>350</v>
      </c>
      <c r="I709" t="s">
        <v>6106</v>
      </c>
      <c r="J709">
        <v>91</v>
      </c>
      <c r="K709" t="s">
        <v>5257</v>
      </c>
      <c r="L709" t="s">
        <v>4966</v>
      </c>
      <c r="M709" t="s">
        <v>5603</v>
      </c>
      <c r="N709" t="s">
        <v>5604</v>
      </c>
      <c r="O709" t="s">
        <v>2617</v>
      </c>
      <c r="Q709" t="s">
        <v>6372</v>
      </c>
      <c r="R709">
        <f>1</f>
        <v>1</v>
      </c>
      <c r="S709">
        <f>8</f>
        <v>8</v>
      </c>
      <c r="T709">
        <f>7.6</f>
        <v>7.6</v>
      </c>
      <c r="U709">
        <f>385</f>
        <v>385</v>
      </c>
      <c r="X709">
        <f>0</f>
        <v>0</v>
      </c>
      <c r="Y709" t="s">
        <v>157</v>
      </c>
      <c r="Z709">
        <f>0</f>
        <v>0</v>
      </c>
      <c r="AA709">
        <f>0</f>
        <v>0</v>
      </c>
      <c r="AB709">
        <f>0</f>
        <v>0</v>
      </c>
      <c r="AC709">
        <f>0</f>
        <v>0</v>
      </c>
      <c r="AD709">
        <f>0</f>
        <v>0</v>
      </c>
      <c r="AE709">
        <f>0</f>
        <v>0</v>
      </c>
      <c r="AH709" t="s">
        <v>157</v>
      </c>
    </row>
    <row r="710" spans="1:61" x14ac:dyDescent="0.25">
      <c r="A710" t="s">
        <v>2618</v>
      </c>
      <c r="B710" t="s">
        <v>148</v>
      </c>
      <c r="C710" s="1">
        <v>45748</v>
      </c>
      <c r="D710" t="s">
        <v>242</v>
      </c>
      <c r="E710" t="s">
        <v>243</v>
      </c>
      <c r="F710" t="s">
        <v>6756</v>
      </c>
      <c r="G710" t="s">
        <v>2619</v>
      </c>
      <c r="H710">
        <v>826</v>
      </c>
      <c r="I710" t="s">
        <v>2619</v>
      </c>
      <c r="J710">
        <v>80</v>
      </c>
      <c r="K710" t="s">
        <v>5254</v>
      </c>
      <c r="L710" t="s">
        <v>1434</v>
      </c>
      <c r="M710" t="s">
        <v>5605</v>
      </c>
      <c r="N710" t="s">
        <v>6107</v>
      </c>
      <c r="O710" t="s">
        <v>2620</v>
      </c>
      <c r="Q710" t="s">
        <v>6365</v>
      </c>
      <c r="R710">
        <f>1</f>
        <v>1</v>
      </c>
      <c r="S710">
        <f>10.1</f>
        <v>10.1</v>
      </c>
      <c r="T710">
        <f>7.1</f>
        <v>7.1</v>
      </c>
      <c r="U710">
        <f>683</f>
        <v>683</v>
      </c>
      <c r="X710">
        <f>0</f>
        <v>0</v>
      </c>
      <c r="Y710">
        <f>3.73</f>
        <v>3.73</v>
      </c>
      <c r="Z710">
        <f>0</f>
        <v>0</v>
      </c>
      <c r="AA710">
        <f>72</f>
        <v>72</v>
      </c>
      <c r="AB710">
        <f>84</f>
        <v>84</v>
      </c>
      <c r="AD710">
        <f>0</f>
        <v>0</v>
      </c>
      <c r="AE710">
        <f>0</f>
        <v>0</v>
      </c>
      <c r="AH710" t="s">
        <v>157</v>
      </c>
      <c r="BI710">
        <f>1.2</f>
        <v>1.2</v>
      </c>
    </row>
    <row r="711" spans="1:61" x14ac:dyDescent="0.25">
      <c r="A711" t="s">
        <v>2621</v>
      </c>
      <c r="B711" t="s">
        <v>148</v>
      </c>
      <c r="C711" s="1">
        <v>45734</v>
      </c>
      <c r="D711" t="s">
        <v>242</v>
      </c>
      <c r="E711" t="s">
        <v>243</v>
      </c>
      <c r="F711" t="s">
        <v>5284</v>
      </c>
      <c r="G711" t="s">
        <v>6757</v>
      </c>
      <c r="H711">
        <v>859</v>
      </c>
      <c r="I711" t="s">
        <v>6757</v>
      </c>
      <c r="J711">
        <v>94</v>
      </c>
      <c r="K711" t="s">
        <v>5257</v>
      </c>
      <c r="L711" t="s">
        <v>180</v>
      </c>
      <c r="M711" t="s">
        <v>4854</v>
      </c>
      <c r="N711" t="s">
        <v>4855</v>
      </c>
      <c r="O711" t="s">
        <v>2622</v>
      </c>
      <c r="P711" t="s">
        <v>6398</v>
      </c>
      <c r="Q711" t="s">
        <v>6399</v>
      </c>
      <c r="R711">
        <f>1</f>
        <v>1</v>
      </c>
      <c r="S711">
        <f>9.9</f>
        <v>9.9</v>
      </c>
      <c r="T711">
        <f>7.8</f>
        <v>7.8</v>
      </c>
      <c r="U711">
        <f>474</f>
        <v>474</v>
      </c>
      <c r="X711">
        <f>1</f>
        <v>1</v>
      </c>
      <c r="Y711">
        <f>1.17</f>
        <v>1.17</v>
      </c>
      <c r="Z711">
        <f>0</f>
        <v>0</v>
      </c>
      <c r="AA711">
        <f>12</f>
        <v>12</v>
      </c>
      <c r="AB711" t="s">
        <v>158</v>
      </c>
      <c r="AC711">
        <f>0</f>
        <v>0</v>
      </c>
      <c r="AD711">
        <f>0</f>
        <v>0</v>
      </c>
      <c r="AE711">
        <f>0</f>
        <v>0</v>
      </c>
      <c r="AH711" t="s">
        <v>157</v>
      </c>
    </row>
    <row r="712" spans="1:61" x14ac:dyDescent="0.25">
      <c r="A712" t="s">
        <v>2623</v>
      </c>
      <c r="B712" t="s">
        <v>148</v>
      </c>
      <c r="C712" s="1">
        <v>45751</v>
      </c>
      <c r="D712" t="s">
        <v>317</v>
      </c>
      <c r="E712" t="s">
        <v>318</v>
      </c>
      <c r="F712" t="s">
        <v>338</v>
      </c>
      <c r="G712" t="s">
        <v>6108</v>
      </c>
      <c r="H712">
        <v>55</v>
      </c>
      <c r="I712" t="s">
        <v>6108</v>
      </c>
      <c r="J712">
        <v>84</v>
      </c>
      <c r="K712" t="s">
        <v>5254</v>
      </c>
      <c r="L712" t="s">
        <v>4948</v>
      </c>
      <c r="M712" t="s">
        <v>5606</v>
      </c>
      <c r="N712" t="s">
        <v>5607</v>
      </c>
      <c r="O712" t="s">
        <v>2624</v>
      </c>
      <c r="Q712" t="s">
        <v>6400</v>
      </c>
      <c r="R712">
        <f>1</f>
        <v>1</v>
      </c>
      <c r="S712">
        <f>8.6</f>
        <v>8.6</v>
      </c>
      <c r="T712">
        <f>7.9</f>
        <v>7.9</v>
      </c>
      <c r="U712">
        <f>296</f>
        <v>296</v>
      </c>
      <c r="X712">
        <f>0</f>
        <v>0</v>
      </c>
      <c r="Y712" t="s">
        <v>157</v>
      </c>
      <c r="Z712">
        <f>0</f>
        <v>0</v>
      </c>
      <c r="AA712">
        <f>0</f>
        <v>0</v>
      </c>
      <c r="AB712">
        <f>0</f>
        <v>0</v>
      </c>
      <c r="AD712">
        <f>0</f>
        <v>0</v>
      </c>
      <c r="AE712">
        <f>0</f>
        <v>0</v>
      </c>
      <c r="AH712" t="s">
        <v>157</v>
      </c>
    </row>
    <row r="713" spans="1:61" x14ac:dyDescent="0.25">
      <c r="A713" t="s">
        <v>2625</v>
      </c>
      <c r="B713" t="s">
        <v>268</v>
      </c>
      <c r="C713" s="1">
        <v>45734</v>
      </c>
      <c r="D713" t="s">
        <v>242</v>
      </c>
      <c r="E713" t="s">
        <v>295</v>
      </c>
      <c r="F713" t="s">
        <v>6758</v>
      </c>
      <c r="G713" t="s">
        <v>6109</v>
      </c>
      <c r="H713">
        <v>892</v>
      </c>
      <c r="I713" t="s">
        <v>6109</v>
      </c>
      <c r="J713">
        <v>70</v>
      </c>
      <c r="K713" t="s">
        <v>5254</v>
      </c>
      <c r="L713" t="s">
        <v>180</v>
      </c>
      <c r="M713" t="s">
        <v>5608</v>
      </c>
      <c r="N713" t="s">
        <v>5609</v>
      </c>
      <c r="O713" t="s">
        <v>2626</v>
      </c>
      <c r="Q713" t="s">
        <v>6340</v>
      </c>
      <c r="R713">
        <f>1</f>
        <v>1</v>
      </c>
      <c r="S713">
        <f>8.8</f>
        <v>8.8000000000000007</v>
      </c>
      <c r="T713">
        <f>7.8</f>
        <v>7.8</v>
      </c>
      <c r="U713">
        <f>473</f>
        <v>473</v>
      </c>
      <c r="X713">
        <f>0</f>
        <v>0</v>
      </c>
      <c r="Y713">
        <f>9.8</f>
        <v>9.8000000000000007</v>
      </c>
      <c r="Z713">
        <f>0</f>
        <v>0</v>
      </c>
      <c r="AA713">
        <f>37</f>
        <v>37</v>
      </c>
      <c r="AB713">
        <f>28</f>
        <v>28</v>
      </c>
      <c r="AD713">
        <f>0</f>
        <v>0</v>
      </c>
      <c r="AE713">
        <f>2</f>
        <v>2</v>
      </c>
      <c r="AH713" t="s">
        <v>157</v>
      </c>
      <c r="BI713">
        <f>3.4</f>
        <v>3.4</v>
      </c>
    </row>
    <row r="714" spans="1:61" x14ac:dyDescent="0.25">
      <c r="A714" t="s">
        <v>2627</v>
      </c>
      <c r="B714" t="s">
        <v>148</v>
      </c>
      <c r="C714" s="1">
        <v>45754</v>
      </c>
      <c r="D714" t="s">
        <v>175</v>
      </c>
      <c r="E714" t="s">
        <v>176</v>
      </c>
      <c r="F714" t="s">
        <v>343</v>
      </c>
      <c r="G714" t="s">
        <v>6110</v>
      </c>
      <c r="H714">
        <v>915</v>
      </c>
      <c r="I714" t="s">
        <v>6111</v>
      </c>
      <c r="J714">
        <v>123</v>
      </c>
      <c r="K714" t="s">
        <v>5254</v>
      </c>
      <c r="L714" t="s">
        <v>431</v>
      </c>
      <c r="M714" t="s">
        <v>5610</v>
      </c>
      <c r="N714" t="s">
        <v>5611</v>
      </c>
      <c r="O714" t="s">
        <v>2628</v>
      </c>
      <c r="Q714" t="s">
        <v>6372</v>
      </c>
      <c r="R714">
        <f>1</f>
        <v>1</v>
      </c>
      <c r="S714">
        <f>8.6</f>
        <v>8.6</v>
      </c>
      <c r="T714">
        <f>7.9</f>
        <v>7.9</v>
      </c>
      <c r="U714">
        <f>377</f>
        <v>377</v>
      </c>
      <c r="V714">
        <f>0.15</f>
        <v>0.15</v>
      </c>
      <c r="X714">
        <f>0</f>
        <v>0</v>
      </c>
      <c r="Y714">
        <f>0.17</f>
        <v>0.17</v>
      </c>
      <c r="Z714">
        <f>0</f>
        <v>0</v>
      </c>
      <c r="AA714">
        <f>0</f>
        <v>0</v>
      </c>
      <c r="AB714">
        <f>0</f>
        <v>0</v>
      </c>
      <c r="AD714">
        <f>0</f>
        <v>0</v>
      </c>
      <c r="AE714">
        <f>0</f>
        <v>0</v>
      </c>
      <c r="AH714" t="s">
        <v>157</v>
      </c>
    </row>
    <row r="715" spans="1:61" x14ac:dyDescent="0.25">
      <c r="A715" t="s">
        <v>2629</v>
      </c>
      <c r="B715" t="s">
        <v>148</v>
      </c>
      <c r="C715" s="1">
        <v>45889</v>
      </c>
      <c r="D715" t="s">
        <v>222</v>
      </c>
      <c r="E715" t="s">
        <v>223</v>
      </c>
      <c r="F715" t="s">
        <v>469</v>
      </c>
      <c r="G715" t="s">
        <v>6759</v>
      </c>
      <c r="H715">
        <v>409</v>
      </c>
      <c r="I715" t="s">
        <v>6759</v>
      </c>
      <c r="J715">
        <v>56</v>
      </c>
      <c r="K715" t="s">
        <v>5257</v>
      </c>
      <c r="L715" t="s">
        <v>431</v>
      </c>
      <c r="M715" t="s">
        <v>5384</v>
      </c>
      <c r="N715" t="s">
        <v>6760</v>
      </c>
      <c r="O715" t="s">
        <v>2630</v>
      </c>
      <c r="Q715" t="s">
        <v>6336</v>
      </c>
      <c r="R715">
        <f>1</f>
        <v>1</v>
      </c>
      <c r="S715">
        <f>20.3</f>
        <v>20.3</v>
      </c>
      <c r="T715">
        <f>8.1</f>
        <v>8.1</v>
      </c>
      <c r="U715">
        <f>186</f>
        <v>186</v>
      </c>
      <c r="X715">
        <f>1</f>
        <v>1</v>
      </c>
      <c r="Y715">
        <f>0.13</f>
        <v>0.13</v>
      </c>
      <c r="Z715">
        <f>0</f>
        <v>0</v>
      </c>
      <c r="AA715">
        <f>0</f>
        <v>0</v>
      </c>
      <c r="AB715">
        <f>0</f>
        <v>0</v>
      </c>
      <c r="AC715">
        <f>0</f>
        <v>0</v>
      </c>
      <c r="AD715">
        <f>0</f>
        <v>0</v>
      </c>
      <c r="AE715">
        <f>0</f>
        <v>0</v>
      </c>
      <c r="AH715" t="s">
        <v>166</v>
      </c>
    </row>
    <row r="716" spans="1:61" x14ac:dyDescent="0.25">
      <c r="A716" t="s">
        <v>2631</v>
      </c>
      <c r="B716" t="s">
        <v>148</v>
      </c>
      <c r="C716" s="1">
        <v>45748</v>
      </c>
      <c r="D716" t="s">
        <v>242</v>
      </c>
      <c r="E716" t="s">
        <v>243</v>
      </c>
      <c r="F716" t="s">
        <v>6756</v>
      </c>
      <c r="G716" t="s">
        <v>2632</v>
      </c>
      <c r="H716">
        <v>932</v>
      </c>
      <c r="I716" t="s">
        <v>2632</v>
      </c>
      <c r="J716">
        <v>80</v>
      </c>
      <c r="K716" t="s">
        <v>5257</v>
      </c>
      <c r="L716" t="s">
        <v>1434</v>
      </c>
      <c r="M716" t="s">
        <v>5612</v>
      </c>
      <c r="N716" t="s">
        <v>2633</v>
      </c>
      <c r="O716" t="s">
        <v>2634</v>
      </c>
      <c r="R716">
        <f>1</f>
        <v>1</v>
      </c>
      <c r="S716">
        <f>10.3</f>
        <v>10.3</v>
      </c>
      <c r="T716">
        <f>7.3</f>
        <v>7.3</v>
      </c>
      <c r="U716">
        <f>459</f>
        <v>459</v>
      </c>
      <c r="X716">
        <f>0</f>
        <v>0</v>
      </c>
      <c r="Y716">
        <f>2.32</f>
        <v>2.3199999999999998</v>
      </c>
      <c r="Z716">
        <f>0</f>
        <v>0</v>
      </c>
      <c r="AA716">
        <f>20</f>
        <v>20</v>
      </c>
      <c r="AB716">
        <f>24</f>
        <v>24</v>
      </c>
      <c r="AC716">
        <f>0</f>
        <v>0</v>
      </c>
      <c r="AD716">
        <f>0</f>
        <v>0</v>
      </c>
      <c r="AE716">
        <f>0</f>
        <v>0</v>
      </c>
      <c r="AH716" t="s">
        <v>157</v>
      </c>
      <c r="BI716">
        <f>0.32</f>
        <v>0.32</v>
      </c>
    </row>
    <row r="717" spans="1:61" x14ac:dyDescent="0.25">
      <c r="A717" t="s">
        <v>2635</v>
      </c>
      <c r="B717" t="s">
        <v>148</v>
      </c>
      <c r="C717" s="1">
        <v>45749</v>
      </c>
      <c r="D717" t="s">
        <v>175</v>
      </c>
      <c r="E717" t="s">
        <v>176</v>
      </c>
      <c r="F717" t="s">
        <v>370</v>
      </c>
      <c r="G717" t="s">
        <v>6112</v>
      </c>
      <c r="H717">
        <v>337</v>
      </c>
      <c r="I717" t="s">
        <v>6113</v>
      </c>
      <c r="J717">
        <v>118</v>
      </c>
      <c r="K717" t="s">
        <v>5254</v>
      </c>
      <c r="L717" t="s">
        <v>4966</v>
      </c>
      <c r="M717" t="s">
        <v>2636</v>
      </c>
      <c r="N717" t="s">
        <v>2637</v>
      </c>
      <c r="O717" t="s">
        <v>2638</v>
      </c>
      <c r="Q717" t="s">
        <v>6372</v>
      </c>
      <c r="R717">
        <f>1</f>
        <v>1</v>
      </c>
      <c r="S717">
        <f>9.9</f>
        <v>9.9</v>
      </c>
      <c r="T717">
        <f>7.9</f>
        <v>7.9</v>
      </c>
      <c r="U717">
        <f>236</f>
        <v>236</v>
      </c>
      <c r="X717">
        <f>0</f>
        <v>0</v>
      </c>
      <c r="Y717">
        <f>0.11</f>
        <v>0.11</v>
      </c>
      <c r="Z717">
        <f>0</f>
        <v>0</v>
      </c>
      <c r="AA717">
        <f>0</f>
        <v>0</v>
      </c>
      <c r="AB717">
        <f>0</f>
        <v>0</v>
      </c>
      <c r="AD717">
        <f>0</f>
        <v>0</v>
      </c>
      <c r="AE717">
        <f>0</f>
        <v>0</v>
      </c>
      <c r="AH717" t="s">
        <v>157</v>
      </c>
    </row>
    <row r="718" spans="1:61" x14ac:dyDescent="0.25">
      <c r="A718" t="s">
        <v>2639</v>
      </c>
      <c r="B718" t="s">
        <v>268</v>
      </c>
      <c r="C718" s="1">
        <v>45743</v>
      </c>
      <c r="D718" t="s">
        <v>175</v>
      </c>
      <c r="E718" t="s">
        <v>649</v>
      </c>
      <c r="F718" t="s">
        <v>2477</v>
      </c>
      <c r="G718" t="s">
        <v>6114</v>
      </c>
      <c r="H718">
        <v>982</v>
      </c>
      <c r="I718" t="s">
        <v>6114</v>
      </c>
      <c r="J718">
        <v>110</v>
      </c>
      <c r="K718" t="s">
        <v>5254</v>
      </c>
      <c r="L718" t="s">
        <v>180</v>
      </c>
      <c r="M718" t="s">
        <v>6115</v>
      </c>
      <c r="N718" t="s">
        <v>6116</v>
      </c>
      <c r="O718" t="s">
        <v>2640</v>
      </c>
      <c r="Q718" t="s">
        <v>6340</v>
      </c>
      <c r="R718">
        <f>1</f>
        <v>1</v>
      </c>
      <c r="S718">
        <f>7.6</f>
        <v>7.6</v>
      </c>
      <c r="T718">
        <f>8.2</f>
        <v>8.1999999999999993</v>
      </c>
      <c r="U718">
        <f>275</f>
        <v>275</v>
      </c>
      <c r="X718">
        <f>0</f>
        <v>0</v>
      </c>
      <c r="Y718" t="s">
        <v>157</v>
      </c>
      <c r="Z718">
        <f>0</f>
        <v>0</v>
      </c>
      <c r="AA718" t="s">
        <v>158</v>
      </c>
      <c r="AB718" t="s">
        <v>158</v>
      </c>
      <c r="AD718">
        <f>0</f>
        <v>0</v>
      </c>
      <c r="AE718">
        <f>3</f>
        <v>3</v>
      </c>
      <c r="AH718" t="s">
        <v>157</v>
      </c>
    </row>
    <row r="719" spans="1:61" x14ac:dyDescent="0.25">
      <c r="A719" t="s">
        <v>2641</v>
      </c>
      <c r="B719" t="s">
        <v>148</v>
      </c>
      <c r="C719" s="1">
        <v>45743</v>
      </c>
      <c r="D719" t="s">
        <v>175</v>
      </c>
      <c r="E719" t="s">
        <v>649</v>
      </c>
      <c r="F719" t="s">
        <v>2477</v>
      </c>
      <c r="G719" t="s">
        <v>6761</v>
      </c>
      <c r="H719">
        <v>983</v>
      </c>
      <c r="I719" t="s">
        <v>6761</v>
      </c>
      <c r="J719">
        <v>126</v>
      </c>
      <c r="K719" t="s">
        <v>5254</v>
      </c>
      <c r="L719" t="s">
        <v>431</v>
      </c>
      <c r="M719" t="s">
        <v>6762</v>
      </c>
      <c r="N719" t="s">
        <v>6763</v>
      </c>
      <c r="O719" t="s">
        <v>2642</v>
      </c>
      <c r="Q719" t="s">
        <v>6764</v>
      </c>
      <c r="R719">
        <f>1</f>
        <v>1</v>
      </c>
      <c r="S719">
        <f>12.1</f>
        <v>12.1</v>
      </c>
      <c r="T719">
        <f>8.1</f>
        <v>8.1</v>
      </c>
      <c r="U719">
        <f>336</f>
        <v>336</v>
      </c>
      <c r="X719">
        <f>0</f>
        <v>0</v>
      </c>
      <c r="Y719">
        <f>0.48</f>
        <v>0.48</v>
      </c>
      <c r="Z719">
        <f>0</f>
        <v>0</v>
      </c>
      <c r="AA719" t="s">
        <v>158</v>
      </c>
      <c r="AB719" t="s">
        <v>158</v>
      </c>
      <c r="AD719">
        <f>0</f>
        <v>0</v>
      </c>
      <c r="AE719">
        <f>0</f>
        <v>0</v>
      </c>
      <c r="AH719" t="s">
        <v>157</v>
      </c>
    </row>
    <row r="720" spans="1:61" x14ac:dyDescent="0.25">
      <c r="A720" t="s">
        <v>2643</v>
      </c>
      <c r="B720" t="s">
        <v>268</v>
      </c>
      <c r="C720" s="1">
        <v>45734</v>
      </c>
      <c r="D720" t="s">
        <v>175</v>
      </c>
      <c r="E720" t="s">
        <v>176</v>
      </c>
      <c r="F720" t="s">
        <v>4827</v>
      </c>
      <c r="G720" t="s">
        <v>5203</v>
      </c>
      <c r="H720">
        <v>985</v>
      </c>
      <c r="I720" t="s">
        <v>5203</v>
      </c>
      <c r="J720">
        <v>108</v>
      </c>
      <c r="K720" t="s">
        <v>5257</v>
      </c>
      <c r="L720" t="s">
        <v>180</v>
      </c>
      <c r="M720" t="s">
        <v>5204</v>
      </c>
      <c r="N720" t="s">
        <v>2644</v>
      </c>
      <c r="O720" t="s">
        <v>2645</v>
      </c>
      <c r="Q720" t="s">
        <v>2646</v>
      </c>
      <c r="R720">
        <f>1</f>
        <v>1</v>
      </c>
      <c r="S720">
        <f>8.3</f>
        <v>8.3000000000000007</v>
      </c>
      <c r="T720">
        <f>6.5</f>
        <v>6.5</v>
      </c>
      <c r="U720">
        <f>89</f>
        <v>89</v>
      </c>
      <c r="X720">
        <f>0</f>
        <v>0</v>
      </c>
      <c r="Y720">
        <f>7.5</f>
        <v>7.5</v>
      </c>
      <c r="Z720">
        <f>0</f>
        <v>0</v>
      </c>
      <c r="AA720" t="s">
        <v>158</v>
      </c>
      <c r="AB720" t="s">
        <v>158</v>
      </c>
      <c r="AC720">
        <f>0</f>
        <v>0</v>
      </c>
      <c r="AD720">
        <f>0</f>
        <v>0</v>
      </c>
      <c r="AE720">
        <f>0</f>
        <v>0</v>
      </c>
      <c r="BI720">
        <f>0.92</f>
        <v>0.92</v>
      </c>
    </row>
    <row r="721" spans="1:61" x14ac:dyDescent="0.25">
      <c r="A721" t="s">
        <v>2647</v>
      </c>
      <c r="B721" t="s">
        <v>148</v>
      </c>
      <c r="C721" s="1">
        <v>45791</v>
      </c>
      <c r="D721" t="s">
        <v>175</v>
      </c>
      <c r="E721" t="s">
        <v>176</v>
      </c>
      <c r="F721" t="s">
        <v>4828</v>
      </c>
      <c r="G721" t="s">
        <v>2648</v>
      </c>
      <c r="H721">
        <v>987</v>
      </c>
      <c r="I721" t="s">
        <v>2649</v>
      </c>
      <c r="J721">
        <v>142</v>
      </c>
      <c r="K721" t="s">
        <v>5257</v>
      </c>
      <c r="L721" t="s">
        <v>180</v>
      </c>
      <c r="M721" t="s">
        <v>2650</v>
      </c>
      <c r="N721" t="s">
        <v>2651</v>
      </c>
      <c r="O721" t="s">
        <v>2652</v>
      </c>
      <c r="Q721" t="s">
        <v>6332</v>
      </c>
      <c r="R721">
        <f>1</f>
        <v>1</v>
      </c>
      <c r="S721">
        <f>16.3</f>
        <v>16.3</v>
      </c>
      <c r="T721">
        <f>7.3</f>
        <v>7.3</v>
      </c>
      <c r="U721">
        <f>412</f>
        <v>412</v>
      </c>
      <c r="X721">
        <f>0</f>
        <v>0</v>
      </c>
      <c r="Y721" t="s">
        <v>157</v>
      </c>
      <c r="Z721">
        <f>0</f>
        <v>0</v>
      </c>
      <c r="AA721" t="s">
        <v>158</v>
      </c>
      <c r="AB721" t="s">
        <v>158</v>
      </c>
      <c r="AC721">
        <f>0</f>
        <v>0</v>
      </c>
      <c r="AD721">
        <f>0</f>
        <v>0</v>
      </c>
      <c r="AE721">
        <f>0</f>
        <v>0</v>
      </c>
      <c r="BI721">
        <f>0.93</f>
        <v>0.93</v>
      </c>
    </row>
    <row r="722" spans="1:61" x14ac:dyDescent="0.25">
      <c r="A722" t="s">
        <v>2653</v>
      </c>
      <c r="B722" t="s">
        <v>148</v>
      </c>
      <c r="C722" s="1">
        <v>45751</v>
      </c>
      <c r="D722" t="s">
        <v>317</v>
      </c>
      <c r="E722" t="s">
        <v>318</v>
      </c>
      <c r="F722" t="s">
        <v>847</v>
      </c>
      <c r="G722" t="s">
        <v>2654</v>
      </c>
      <c r="H722">
        <v>74</v>
      </c>
      <c r="I722" t="s">
        <v>2654</v>
      </c>
      <c r="J722">
        <v>84</v>
      </c>
      <c r="K722" t="s">
        <v>5254</v>
      </c>
      <c r="L722" t="s">
        <v>4966</v>
      </c>
      <c r="M722" t="s">
        <v>2655</v>
      </c>
      <c r="N722" t="s">
        <v>2656</v>
      </c>
      <c r="O722" t="s">
        <v>2657</v>
      </c>
      <c r="Q722" t="s">
        <v>329</v>
      </c>
      <c r="R722">
        <f>1</f>
        <v>1</v>
      </c>
      <c r="S722">
        <f>7.9</f>
        <v>7.9</v>
      </c>
      <c r="T722">
        <f>7.9</f>
        <v>7.9</v>
      </c>
      <c r="U722">
        <f>315</f>
        <v>315</v>
      </c>
      <c r="X722">
        <f>0</f>
        <v>0</v>
      </c>
      <c r="Y722" t="s">
        <v>157</v>
      </c>
      <c r="Z722">
        <f>0</f>
        <v>0</v>
      </c>
      <c r="AA722">
        <f>0</f>
        <v>0</v>
      </c>
      <c r="AB722">
        <f>0</f>
        <v>0</v>
      </c>
      <c r="AD722">
        <f>0</f>
        <v>0</v>
      </c>
      <c r="AE722">
        <f>0</f>
        <v>0</v>
      </c>
      <c r="AH722" t="s">
        <v>157</v>
      </c>
    </row>
    <row r="723" spans="1:61" x14ac:dyDescent="0.25">
      <c r="A723" t="s">
        <v>2658</v>
      </c>
      <c r="B723" t="s">
        <v>148</v>
      </c>
      <c r="C723" s="1">
        <v>45741</v>
      </c>
      <c r="D723" t="s">
        <v>317</v>
      </c>
      <c r="E723" t="s">
        <v>318</v>
      </c>
      <c r="F723" t="s">
        <v>6117</v>
      </c>
      <c r="G723" t="s">
        <v>2659</v>
      </c>
      <c r="H723">
        <v>992</v>
      </c>
      <c r="I723" t="s">
        <v>2659</v>
      </c>
      <c r="J723">
        <v>93</v>
      </c>
      <c r="K723" t="s">
        <v>5254</v>
      </c>
      <c r="L723" t="s">
        <v>180</v>
      </c>
      <c r="M723" t="s">
        <v>5613</v>
      </c>
      <c r="N723" t="s">
        <v>2660</v>
      </c>
      <c r="O723" t="s">
        <v>2661</v>
      </c>
      <c r="Q723" t="s">
        <v>329</v>
      </c>
      <c r="R723">
        <f>1</f>
        <v>1</v>
      </c>
      <c r="S723">
        <f>8</f>
        <v>8</v>
      </c>
      <c r="T723">
        <f>6.5</f>
        <v>6.5</v>
      </c>
      <c r="U723">
        <f>34</f>
        <v>34</v>
      </c>
      <c r="X723">
        <f>0</f>
        <v>0</v>
      </c>
      <c r="Y723">
        <f>0.16</f>
        <v>0.16</v>
      </c>
      <c r="Z723">
        <f>0</f>
        <v>0</v>
      </c>
      <c r="AA723">
        <f>47</f>
        <v>47</v>
      </c>
      <c r="AB723">
        <f>5</f>
        <v>5</v>
      </c>
      <c r="AD723">
        <f>0</f>
        <v>0</v>
      </c>
      <c r="AE723">
        <f>0</f>
        <v>0</v>
      </c>
      <c r="AH723" t="s">
        <v>157</v>
      </c>
      <c r="BI723" t="s">
        <v>167</v>
      </c>
    </row>
    <row r="724" spans="1:61" x14ac:dyDescent="0.25">
      <c r="A724" t="s">
        <v>2662</v>
      </c>
      <c r="B724" t="s">
        <v>148</v>
      </c>
      <c r="C724" s="1">
        <v>45728</v>
      </c>
      <c r="D724" t="s">
        <v>317</v>
      </c>
      <c r="E724" t="s">
        <v>318</v>
      </c>
      <c r="F724" t="s">
        <v>2663</v>
      </c>
      <c r="G724" t="s">
        <v>2664</v>
      </c>
      <c r="H724">
        <v>354</v>
      </c>
      <c r="I724" t="s">
        <v>2664</v>
      </c>
      <c r="J724">
        <v>73</v>
      </c>
      <c r="K724" t="s">
        <v>5254</v>
      </c>
      <c r="L724" t="s">
        <v>180</v>
      </c>
      <c r="M724" t="s">
        <v>2665</v>
      </c>
      <c r="N724" t="s">
        <v>6118</v>
      </c>
      <c r="O724" t="s">
        <v>2666</v>
      </c>
      <c r="Q724" t="s">
        <v>845</v>
      </c>
      <c r="R724">
        <f>1</f>
        <v>1</v>
      </c>
      <c r="S724">
        <f>7.2</f>
        <v>7.2</v>
      </c>
      <c r="T724">
        <f>6.6</f>
        <v>6.6</v>
      </c>
      <c r="U724">
        <f>47</f>
        <v>47</v>
      </c>
      <c r="X724">
        <f>0</f>
        <v>0</v>
      </c>
      <c r="Y724" t="s">
        <v>157</v>
      </c>
      <c r="Z724">
        <f>0</f>
        <v>0</v>
      </c>
      <c r="AA724">
        <f>13</f>
        <v>13</v>
      </c>
      <c r="AB724">
        <f>1</f>
        <v>1</v>
      </c>
      <c r="AD724">
        <f>0</f>
        <v>0</v>
      </c>
      <c r="AE724">
        <f>0</f>
        <v>0</v>
      </c>
      <c r="AH724" t="s">
        <v>157</v>
      </c>
      <c r="BI724" t="s">
        <v>167</v>
      </c>
    </row>
    <row r="725" spans="1:61" x14ac:dyDescent="0.25">
      <c r="A725" t="s">
        <v>2667</v>
      </c>
      <c r="B725" t="s">
        <v>148</v>
      </c>
      <c r="C725" s="1">
        <v>45728</v>
      </c>
      <c r="D725" t="s">
        <v>317</v>
      </c>
      <c r="E725" t="s">
        <v>318</v>
      </c>
      <c r="F725" t="s">
        <v>6765</v>
      </c>
      <c r="G725" t="s">
        <v>2668</v>
      </c>
      <c r="H725">
        <v>361</v>
      </c>
      <c r="I725" t="s">
        <v>2668</v>
      </c>
      <c r="J725">
        <v>80</v>
      </c>
      <c r="K725" t="s">
        <v>5254</v>
      </c>
      <c r="L725" t="s">
        <v>180</v>
      </c>
      <c r="M725" t="s">
        <v>4856</v>
      </c>
      <c r="N725" t="s">
        <v>6119</v>
      </c>
      <c r="O725" t="s">
        <v>2669</v>
      </c>
      <c r="Q725" t="s">
        <v>6401</v>
      </c>
      <c r="R725">
        <f>1</f>
        <v>1</v>
      </c>
      <c r="S725">
        <f>8.4</f>
        <v>8.4</v>
      </c>
      <c r="T725">
        <f>7.7</f>
        <v>7.7</v>
      </c>
      <c r="U725">
        <f>512</f>
        <v>512</v>
      </c>
      <c r="X725">
        <f>0</f>
        <v>0</v>
      </c>
      <c r="Y725" t="s">
        <v>157</v>
      </c>
      <c r="Z725">
        <f>0</f>
        <v>0</v>
      </c>
      <c r="AA725">
        <f>18</f>
        <v>18</v>
      </c>
      <c r="AB725">
        <f>10</f>
        <v>10</v>
      </c>
      <c r="AD725">
        <f>0</f>
        <v>0</v>
      </c>
      <c r="AE725">
        <f>0</f>
        <v>0</v>
      </c>
      <c r="AH725" t="s">
        <v>157</v>
      </c>
      <c r="BI725" t="s">
        <v>167</v>
      </c>
    </row>
    <row r="726" spans="1:61" x14ac:dyDescent="0.25">
      <c r="A726" t="s">
        <v>2670</v>
      </c>
      <c r="B726" t="s">
        <v>148</v>
      </c>
      <c r="C726" s="1">
        <v>45743</v>
      </c>
      <c r="D726" t="s">
        <v>175</v>
      </c>
      <c r="E726" t="s">
        <v>176</v>
      </c>
      <c r="F726" t="s">
        <v>5614</v>
      </c>
      <c r="G726" t="s">
        <v>5205</v>
      </c>
      <c r="H726">
        <v>1002</v>
      </c>
      <c r="I726" t="s">
        <v>5206</v>
      </c>
      <c r="J726">
        <v>140</v>
      </c>
      <c r="K726" t="s">
        <v>5254</v>
      </c>
      <c r="L726" t="s">
        <v>1882</v>
      </c>
      <c r="M726" t="s">
        <v>5207</v>
      </c>
      <c r="N726" t="s">
        <v>5208</v>
      </c>
      <c r="O726" t="s">
        <v>2671</v>
      </c>
      <c r="Q726" t="s">
        <v>6332</v>
      </c>
      <c r="R726">
        <f>1</f>
        <v>1</v>
      </c>
      <c r="S726">
        <f>23.9</f>
        <v>23.9</v>
      </c>
      <c r="T726">
        <f>7.7</f>
        <v>7.7</v>
      </c>
      <c r="U726">
        <f>419</f>
        <v>419</v>
      </c>
      <c r="X726">
        <f>0</f>
        <v>0</v>
      </c>
      <c r="Y726" t="s">
        <v>157</v>
      </c>
      <c r="Z726">
        <f>0</f>
        <v>0</v>
      </c>
      <c r="AA726" t="s">
        <v>158</v>
      </c>
      <c r="AB726" t="s">
        <v>158</v>
      </c>
      <c r="AD726">
        <f>0</f>
        <v>0</v>
      </c>
      <c r="AE726">
        <f>0</f>
        <v>0</v>
      </c>
    </row>
    <row r="727" spans="1:61" x14ac:dyDescent="0.25">
      <c r="A727" t="s">
        <v>2672</v>
      </c>
      <c r="B727" t="s">
        <v>148</v>
      </c>
      <c r="C727" s="1">
        <v>45743</v>
      </c>
      <c r="D727" t="s">
        <v>175</v>
      </c>
      <c r="E727" t="s">
        <v>176</v>
      </c>
      <c r="F727" t="s">
        <v>556</v>
      </c>
      <c r="G727" t="s">
        <v>6766</v>
      </c>
      <c r="H727">
        <v>1655</v>
      </c>
      <c r="I727" t="s">
        <v>6766</v>
      </c>
      <c r="J727">
        <v>154</v>
      </c>
      <c r="K727" t="s">
        <v>5254</v>
      </c>
      <c r="L727" t="s">
        <v>431</v>
      </c>
      <c r="M727" t="s">
        <v>2673</v>
      </c>
      <c r="N727" t="s">
        <v>4857</v>
      </c>
      <c r="O727" t="s">
        <v>2674</v>
      </c>
      <c r="Q727" t="s">
        <v>6332</v>
      </c>
      <c r="R727">
        <f>1</f>
        <v>1</v>
      </c>
      <c r="S727">
        <f>16.7</f>
        <v>16.7</v>
      </c>
      <c r="T727">
        <f>8</f>
        <v>8</v>
      </c>
      <c r="U727">
        <f>359</f>
        <v>359</v>
      </c>
      <c r="X727">
        <f>0</f>
        <v>0</v>
      </c>
      <c r="Y727" t="s">
        <v>157</v>
      </c>
      <c r="Z727">
        <f>0</f>
        <v>0</v>
      </c>
      <c r="AA727" t="s">
        <v>158</v>
      </c>
      <c r="AB727" t="s">
        <v>158</v>
      </c>
      <c r="AD727">
        <f>0</f>
        <v>0</v>
      </c>
      <c r="AE727">
        <f>0</f>
        <v>0</v>
      </c>
    </row>
    <row r="728" spans="1:61" x14ac:dyDescent="0.25">
      <c r="A728" t="s">
        <v>2675</v>
      </c>
      <c r="B728" t="s">
        <v>148</v>
      </c>
      <c r="C728" s="1">
        <v>45821</v>
      </c>
      <c r="D728" t="s">
        <v>311</v>
      </c>
      <c r="E728" t="s">
        <v>312</v>
      </c>
      <c r="F728" t="s">
        <v>4780</v>
      </c>
      <c r="G728" t="s">
        <v>6120</v>
      </c>
      <c r="H728">
        <v>922</v>
      </c>
      <c r="I728" t="s">
        <v>6121</v>
      </c>
      <c r="J728">
        <v>30</v>
      </c>
      <c r="K728" t="s">
        <v>5254</v>
      </c>
      <c r="L728" t="s">
        <v>180</v>
      </c>
      <c r="M728" t="s">
        <v>6122</v>
      </c>
      <c r="N728" t="s">
        <v>6767</v>
      </c>
      <c r="O728" t="s">
        <v>2676</v>
      </c>
      <c r="R728">
        <f>1</f>
        <v>1</v>
      </c>
      <c r="S728">
        <f>10.7</f>
        <v>10.7</v>
      </c>
      <c r="T728">
        <f>7.1</f>
        <v>7.1</v>
      </c>
      <c r="U728">
        <f>47</f>
        <v>47</v>
      </c>
      <c r="X728">
        <f>0</f>
        <v>0</v>
      </c>
      <c r="Y728" t="s">
        <v>157</v>
      </c>
      <c r="Z728">
        <f>0</f>
        <v>0</v>
      </c>
      <c r="AA728" t="s">
        <v>158</v>
      </c>
      <c r="AB728" t="s">
        <v>158</v>
      </c>
      <c r="AD728">
        <f>0</f>
        <v>0</v>
      </c>
      <c r="AE728">
        <f>0</f>
        <v>0</v>
      </c>
      <c r="AH728" t="s">
        <v>157</v>
      </c>
    </row>
    <row r="729" spans="1:61" x14ac:dyDescent="0.25">
      <c r="A729" t="s">
        <v>2677</v>
      </c>
      <c r="B729" t="s">
        <v>268</v>
      </c>
      <c r="C729" s="1">
        <v>45743</v>
      </c>
      <c r="D729" t="s">
        <v>175</v>
      </c>
      <c r="E729" t="s">
        <v>284</v>
      </c>
      <c r="F729" t="s">
        <v>678</v>
      </c>
      <c r="G729" t="s">
        <v>2678</v>
      </c>
      <c r="H729">
        <v>1070</v>
      </c>
      <c r="I729" t="s">
        <v>2678</v>
      </c>
      <c r="J729">
        <v>134</v>
      </c>
      <c r="K729" t="s">
        <v>5254</v>
      </c>
      <c r="L729" t="s">
        <v>180</v>
      </c>
      <c r="M729" t="s">
        <v>2679</v>
      </c>
      <c r="N729" t="s">
        <v>2680</v>
      </c>
      <c r="O729" t="s">
        <v>2681</v>
      </c>
      <c r="R729">
        <f>1</f>
        <v>1</v>
      </c>
      <c r="S729">
        <f>9</f>
        <v>9</v>
      </c>
      <c r="T729">
        <f>7.8</f>
        <v>7.8</v>
      </c>
      <c r="U729">
        <f>462</f>
        <v>462</v>
      </c>
      <c r="X729">
        <f>0</f>
        <v>0</v>
      </c>
      <c r="Y729" t="s">
        <v>157</v>
      </c>
      <c r="Z729">
        <f>0</f>
        <v>0</v>
      </c>
      <c r="AA729" t="s">
        <v>158</v>
      </c>
      <c r="AB729" t="s">
        <v>158</v>
      </c>
      <c r="AD729">
        <f>0</f>
        <v>0</v>
      </c>
      <c r="AE729">
        <f>27</f>
        <v>27</v>
      </c>
    </row>
    <row r="730" spans="1:61" x14ac:dyDescent="0.25">
      <c r="A730" t="s">
        <v>2682</v>
      </c>
      <c r="B730" t="s">
        <v>268</v>
      </c>
      <c r="C730" s="1">
        <v>45741</v>
      </c>
      <c r="D730" t="s">
        <v>175</v>
      </c>
      <c r="E730" t="s">
        <v>176</v>
      </c>
      <c r="F730" t="s">
        <v>1332</v>
      </c>
      <c r="G730" t="s">
        <v>2683</v>
      </c>
      <c r="H730">
        <v>577</v>
      </c>
      <c r="I730" t="s">
        <v>2683</v>
      </c>
      <c r="J730">
        <v>150</v>
      </c>
      <c r="K730" t="s">
        <v>5257</v>
      </c>
      <c r="L730" t="s">
        <v>180</v>
      </c>
      <c r="M730" t="s">
        <v>2684</v>
      </c>
      <c r="N730" t="s">
        <v>2685</v>
      </c>
      <c r="O730" t="s">
        <v>2686</v>
      </c>
      <c r="R730">
        <f>1</f>
        <v>1</v>
      </c>
      <c r="S730">
        <f>11.4</f>
        <v>11.4</v>
      </c>
      <c r="T730">
        <f>7.5</f>
        <v>7.5</v>
      </c>
      <c r="U730">
        <f>444</f>
        <v>444</v>
      </c>
      <c r="X730">
        <f>0</f>
        <v>0</v>
      </c>
      <c r="Y730" t="s">
        <v>157</v>
      </c>
      <c r="Z730">
        <f>0</f>
        <v>0</v>
      </c>
      <c r="AA730">
        <f>14</f>
        <v>14</v>
      </c>
      <c r="AB730" t="s">
        <v>158</v>
      </c>
      <c r="AC730">
        <f>0</f>
        <v>0</v>
      </c>
      <c r="AD730">
        <f>0</f>
        <v>0</v>
      </c>
      <c r="AE730">
        <f>48</f>
        <v>48</v>
      </c>
    </row>
    <row r="731" spans="1:61" x14ac:dyDescent="0.25">
      <c r="A731" t="s">
        <v>2687</v>
      </c>
      <c r="B731" t="s">
        <v>148</v>
      </c>
      <c r="C731" s="1">
        <v>45742</v>
      </c>
      <c r="D731" t="s">
        <v>317</v>
      </c>
      <c r="E731" t="s">
        <v>318</v>
      </c>
      <c r="F731" t="s">
        <v>2303</v>
      </c>
      <c r="G731" t="s">
        <v>2688</v>
      </c>
      <c r="H731">
        <v>1086</v>
      </c>
      <c r="I731" t="s">
        <v>2689</v>
      </c>
      <c r="J731">
        <v>84</v>
      </c>
      <c r="K731" t="s">
        <v>5254</v>
      </c>
      <c r="L731" t="s">
        <v>180</v>
      </c>
      <c r="M731" t="s">
        <v>4858</v>
      </c>
      <c r="N731" t="s">
        <v>6123</v>
      </c>
      <c r="O731" t="s">
        <v>2690</v>
      </c>
      <c r="Q731" t="s">
        <v>6402</v>
      </c>
      <c r="R731">
        <f>1</f>
        <v>1</v>
      </c>
      <c r="S731">
        <f>7.8</f>
        <v>7.8</v>
      </c>
      <c r="T731">
        <f>7.8</f>
        <v>7.8</v>
      </c>
      <c r="U731">
        <f>261</f>
        <v>261</v>
      </c>
      <c r="X731">
        <f>0</f>
        <v>0</v>
      </c>
      <c r="Y731">
        <f>0.53</f>
        <v>0.53</v>
      </c>
      <c r="Z731">
        <f>0</f>
        <v>0</v>
      </c>
      <c r="AA731">
        <f>7</f>
        <v>7</v>
      </c>
      <c r="AB731">
        <f>1</f>
        <v>1</v>
      </c>
      <c r="AD731">
        <f>0</f>
        <v>0</v>
      </c>
      <c r="AE731">
        <f>0</f>
        <v>0</v>
      </c>
      <c r="AH731" t="s">
        <v>157</v>
      </c>
      <c r="BI731" t="s">
        <v>167</v>
      </c>
    </row>
    <row r="732" spans="1:61" x14ac:dyDescent="0.25">
      <c r="A732" t="s">
        <v>2691</v>
      </c>
      <c r="B732" t="s">
        <v>148</v>
      </c>
      <c r="C732" s="1">
        <v>45758</v>
      </c>
      <c r="D732" t="s">
        <v>175</v>
      </c>
      <c r="E732" t="s">
        <v>176</v>
      </c>
      <c r="F732" t="s">
        <v>2692</v>
      </c>
      <c r="G732" t="s">
        <v>2692</v>
      </c>
      <c r="H732">
        <v>634</v>
      </c>
      <c r="I732" t="s">
        <v>2692</v>
      </c>
      <c r="J732">
        <v>104</v>
      </c>
      <c r="K732" t="s">
        <v>5254</v>
      </c>
      <c r="L732" t="s">
        <v>1882</v>
      </c>
      <c r="M732" t="s">
        <v>2693</v>
      </c>
      <c r="N732" t="s">
        <v>6124</v>
      </c>
      <c r="O732" t="s">
        <v>2694</v>
      </c>
      <c r="Q732" t="s">
        <v>347</v>
      </c>
      <c r="R732">
        <f>1</f>
        <v>1</v>
      </c>
      <c r="S732">
        <f>13.2</f>
        <v>13.2</v>
      </c>
      <c r="T732">
        <f>7.6</f>
        <v>7.6</v>
      </c>
      <c r="U732">
        <f>335</f>
        <v>335</v>
      </c>
      <c r="X732">
        <f>0</f>
        <v>0</v>
      </c>
      <c r="Y732">
        <f>0.29</f>
        <v>0.28999999999999998</v>
      </c>
      <c r="Z732">
        <f>0</f>
        <v>0</v>
      </c>
      <c r="AA732">
        <f>0</f>
        <v>0</v>
      </c>
      <c r="AB732">
        <f>0</f>
        <v>0</v>
      </c>
      <c r="AD732">
        <f>0</f>
        <v>0</v>
      </c>
      <c r="AE732">
        <f>0</f>
        <v>0</v>
      </c>
      <c r="AH732" t="s">
        <v>157</v>
      </c>
      <c r="BI732" t="s">
        <v>167</v>
      </c>
    </row>
    <row r="733" spans="1:61" x14ac:dyDescent="0.25">
      <c r="A733" t="s">
        <v>2695</v>
      </c>
      <c r="B733" t="s">
        <v>148</v>
      </c>
      <c r="C733" s="1">
        <v>45771</v>
      </c>
      <c r="D733" t="s">
        <v>242</v>
      </c>
      <c r="E733" t="s">
        <v>243</v>
      </c>
      <c r="F733" t="s">
        <v>6768</v>
      </c>
      <c r="G733" t="s">
        <v>2696</v>
      </c>
      <c r="H733">
        <v>1113</v>
      </c>
      <c r="I733" t="s">
        <v>2696</v>
      </c>
      <c r="J733">
        <v>80</v>
      </c>
      <c r="K733" t="s">
        <v>5257</v>
      </c>
      <c r="L733" t="s">
        <v>4808</v>
      </c>
      <c r="M733" t="s">
        <v>2697</v>
      </c>
      <c r="N733" t="s">
        <v>4859</v>
      </c>
      <c r="O733" t="s">
        <v>2698</v>
      </c>
      <c r="R733">
        <f>1</f>
        <v>1</v>
      </c>
      <c r="S733">
        <f>12.1</f>
        <v>12.1</v>
      </c>
      <c r="T733">
        <f>7.6</f>
        <v>7.6</v>
      </c>
      <c r="U733">
        <f>112</f>
        <v>112</v>
      </c>
      <c r="X733">
        <f>1</f>
        <v>1</v>
      </c>
      <c r="Y733">
        <f>0.23</f>
        <v>0.23</v>
      </c>
      <c r="Z733">
        <f>0</f>
        <v>0</v>
      </c>
      <c r="AA733" t="s">
        <v>158</v>
      </c>
      <c r="AB733" t="s">
        <v>158</v>
      </c>
      <c r="AC733">
        <f>0</f>
        <v>0</v>
      </c>
      <c r="AD733">
        <f>0</f>
        <v>0</v>
      </c>
      <c r="AE733">
        <f>0</f>
        <v>0</v>
      </c>
      <c r="AH733" t="s">
        <v>157</v>
      </c>
      <c r="BI733">
        <f>1.9</f>
        <v>1.9</v>
      </c>
    </row>
    <row r="734" spans="1:61" x14ac:dyDescent="0.25">
      <c r="A734" t="s">
        <v>2699</v>
      </c>
      <c r="B734" t="s">
        <v>148</v>
      </c>
      <c r="C734" s="1">
        <v>45729</v>
      </c>
      <c r="D734" t="s">
        <v>242</v>
      </c>
      <c r="E734" t="s">
        <v>243</v>
      </c>
      <c r="F734" t="s">
        <v>5349</v>
      </c>
      <c r="G734" t="s">
        <v>6125</v>
      </c>
      <c r="H734">
        <v>878</v>
      </c>
      <c r="I734" t="s">
        <v>6125</v>
      </c>
      <c r="J734">
        <v>110</v>
      </c>
      <c r="K734" t="s">
        <v>5254</v>
      </c>
      <c r="L734" t="s">
        <v>431</v>
      </c>
      <c r="M734" t="s">
        <v>5615</v>
      </c>
      <c r="N734" t="s">
        <v>5616</v>
      </c>
      <c r="O734" t="s">
        <v>2700</v>
      </c>
      <c r="R734">
        <f>1</f>
        <v>1</v>
      </c>
      <c r="S734">
        <f>9.3</f>
        <v>9.3000000000000007</v>
      </c>
      <c r="T734">
        <f>7.7</f>
        <v>7.7</v>
      </c>
      <c r="U734">
        <f>498</f>
        <v>498</v>
      </c>
      <c r="X734">
        <f>0</f>
        <v>0</v>
      </c>
      <c r="Y734" t="s">
        <v>157</v>
      </c>
      <c r="Z734">
        <f>0</f>
        <v>0</v>
      </c>
      <c r="AA734" t="s">
        <v>158</v>
      </c>
      <c r="AB734" t="s">
        <v>158</v>
      </c>
      <c r="AD734">
        <f>0</f>
        <v>0</v>
      </c>
      <c r="AE734">
        <f>0</f>
        <v>0</v>
      </c>
      <c r="AH734" t="s">
        <v>157</v>
      </c>
    </row>
    <row r="735" spans="1:61" x14ac:dyDescent="0.25">
      <c r="A735" t="s">
        <v>2701</v>
      </c>
      <c r="B735" t="s">
        <v>148</v>
      </c>
      <c r="C735" s="1">
        <v>45733</v>
      </c>
      <c r="D735" t="s">
        <v>175</v>
      </c>
      <c r="E735" t="s">
        <v>176</v>
      </c>
      <c r="F735" t="s">
        <v>1146</v>
      </c>
      <c r="G735" t="s">
        <v>2702</v>
      </c>
      <c r="H735">
        <v>1135</v>
      </c>
      <c r="I735" t="s">
        <v>2702</v>
      </c>
      <c r="J735">
        <v>143</v>
      </c>
      <c r="K735" t="s">
        <v>5254</v>
      </c>
      <c r="L735" t="s">
        <v>431</v>
      </c>
      <c r="M735" t="s">
        <v>5384</v>
      </c>
      <c r="N735" t="s">
        <v>5617</v>
      </c>
      <c r="O735" t="s">
        <v>2703</v>
      </c>
      <c r="R735">
        <f>1</f>
        <v>1</v>
      </c>
      <c r="S735">
        <f>10.9</f>
        <v>10.9</v>
      </c>
      <c r="T735">
        <f>7.6</f>
        <v>7.6</v>
      </c>
      <c r="U735">
        <f>421</f>
        <v>421</v>
      </c>
      <c r="X735">
        <f>0</f>
        <v>0</v>
      </c>
      <c r="Y735" t="s">
        <v>157</v>
      </c>
      <c r="Z735">
        <f>0</f>
        <v>0</v>
      </c>
      <c r="AA735" t="s">
        <v>158</v>
      </c>
      <c r="AB735" t="s">
        <v>158</v>
      </c>
      <c r="AD735">
        <f>0</f>
        <v>0</v>
      </c>
      <c r="AE735">
        <f>0</f>
        <v>0</v>
      </c>
    </row>
    <row r="736" spans="1:61" x14ac:dyDescent="0.25">
      <c r="A736" t="s">
        <v>2704</v>
      </c>
      <c r="B736" t="s">
        <v>148</v>
      </c>
      <c r="C736" s="1">
        <v>45750</v>
      </c>
      <c r="D736" t="s">
        <v>175</v>
      </c>
      <c r="E736" t="s">
        <v>270</v>
      </c>
      <c r="F736" t="s">
        <v>2705</v>
      </c>
      <c r="G736" t="s">
        <v>2706</v>
      </c>
      <c r="H736">
        <v>1139</v>
      </c>
      <c r="I736" t="s">
        <v>2706</v>
      </c>
      <c r="J736">
        <v>110</v>
      </c>
      <c r="K736" t="s">
        <v>5257</v>
      </c>
      <c r="L736" t="s">
        <v>302</v>
      </c>
      <c r="M736" t="s">
        <v>2707</v>
      </c>
      <c r="N736" t="s">
        <v>4860</v>
      </c>
      <c r="O736" t="s">
        <v>2708</v>
      </c>
      <c r="R736">
        <f>1</f>
        <v>1</v>
      </c>
      <c r="S736">
        <f>12.4</f>
        <v>12.4</v>
      </c>
      <c r="T736">
        <f>7.8</f>
        <v>7.8</v>
      </c>
      <c r="U736">
        <f>425</f>
        <v>425</v>
      </c>
      <c r="X736">
        <f>0</f>
        <v>0</v>
      </c>
      <c r="Y736">
        <f>0.44</f>
        <v>0.44</v>
      </c>
      <c r="Z736">
        <f>0</f>
        <v>0</v>
      </c>
      <c r="AA736" t="s">
        <v>158</v>
      </c>
      <c r="AB736" t="s">
        <v>158</v>
      </c>
      <c r="AC736">
        <f>0</f>
        <v>0</v>
      </c>
      <c r="AD736">
        <f>0</f>
        <v>0</v>
      </c>
      <c r="AE736">
        <f>0</f>
        <v>0</v>
      </c>
      <c r="BI736">
        <f>0.65</f>
        <v>0.65</v>
      </c>
    </row>
    <row r="737" spans="1:61" x14ac:dyDescent="0.25">
      <c r="A737" t="s">
        <v>2709</v>
      </c>
      <c r="B737" t="s">
        <v>148</v>
      </c>
      <c r="C737" s="1">
        <v>45734</v>
      </c>
      <c r="D737" t="s">
        <v>175</v>
      </c>
      <c r="E737" t="s">
        <v>270</v>
      </c>
      <c r="F737" t="s">
        <v>354</v>
      </c>
      <c r="G737" t="s">
        <v>2710</v>
      </c>
      <c r="H737">
        <v>672</v>
      </c>
      <c r="I737" t="s">
        <v>2710</v>
      </c>
      <c r="J737">
        <v>141</v>
      </c>
      <c r="K737" t="s">
        <v>5254</v>
      </c>
      <c r="L737" t="s">
        <v>4966</v>
      </c>
      <c r="M737" t="s">
        <v>2711</v>
      </c>
      <c r="N737" t="s">
        <v>5035</v>
      </c>
      <c r="O737" t="s">
        <v>2712</v>
      </c>
      <c r="Q737" t="s">
        <v>2713</v>
      </c>
      <c r="R737">
        <f>1</f>
        <v>1</v>
      </c>
      <c r="S737">
        <f>11.2</f>
        <v>11.2</v>
      </c>
      <c r="T737">
        <f>7.5</f>
        <v>7.5</v>
      </c>
      <c r="U737">
        <f>467</f>
        <v>467</v>
      </c>
      <c r="X737">
        <f>0</f>
        <v>0</v>
      </c>
      <c r="Y737" t="s">
        <v>207</v>
      </c>
      <c r="Z737">
        <f>0</f>
        <v>0</v>
      </c>
      <c r="AA737" t="s">
        <v>158</v>
      </c>
      <c r="AB737" t="s">
        <v>158</v>
      </c>
      <c r="AD737">
        <f>0</f>
        <v>0</v>
      </c>
      <c r="AE737">
        <f>0</f>
        <v>0</v>
      </c>
    </row>
    <row r="738" spans="1:61" x14ac:dyDescent="0.25">
      <c r="A738" t="s">
        <v>2714</v>
      </c>
      <c r="B738" t="s">
        <v>148</v>
      </c>
      <c r="C738" s="1">
        <v>45734</v>
      </c>
      <c r="D738" t="s">
        <v>242</v>
      </c>
      <c r="E738" t="s">
        <v>243</v>
      </c>
      <c r="F738" t="s">
        <v>5284</v>
      </c>
      <c r="G738" t="s">
        <v>6769</v>
      </c>
      <c r="H738">
        <v>1166</v>
      </c>
      <c r="I738" t="s">
        <v>6769</v>
      </c>
      <c r="J738">
        <v>85</v>
      </c>
      <c r="K738" t="s">
        <v>5254</v>
      </c>
      <c r="L738" t="s">
        <v>393</v>
      </c>
      <c r="M738" t="s">
        <v>5618</v>
      </c>
      <c r="N738" t="s">
        <v>4861</v>
      </c>
      <c r="O738" t="s">
        <v>2715</v>
      </c>
      <c r="R738">
        <f>1</f>
        <v>1</v>
      </c>
      <c r="S738">
        <f>9.6</f>
        <v>9.6</v>
      </c>
      <c r="T738">
        <f>7.9</f>
        <v>7.9</v>
      </c>
      <c r="U738">
        <f>412</f>
        <v>412</v>
      </c>
      <c r="V738">
        <f>0.18</f>
        <v>0.18</v>
      </c>
      <c r="X738">
        <f>1</f>
        <v>1</v>
      </c>
      <c r="Y738">
        <f>0.23</f>
        <v>0.23</v>
      </c>
      <c r="Z738">
        <f>0</f>
        <v>0</v>
      </c>
      <c r="AA738" t="s">
        <v>158</v>
      </c>
      <c r="AB738" t="s">
        <v>158</v>
      </c>
      <c r="AD738">
        <f>0</f>
        <v>0</v>
      </c>
      <c r="AE738">
        <f>0</f>
        <v>0</v>
      </c>
      <c r="AH738" t="s">
        <v>157</v>
      </c>
    </row>
    <row r="739" spans="1:61" x14ac:dyDescent="0.25">
      <c r="A739" t="s">
        <v>2716</v>
      </c>
      <c r="B739" t="s">
        <v>148</v>
      </c>
      <c r="C739" s="1">
        <v>45737</v>
      </c>
      <c r="D739" t="s">
        <v>242</v>
      </c>
      <c r="E739" t="s">
        <v>243</v>
      </c>
      <c r="F739" t="s">
        <v>5098</v>
      </c>
      <c r="G739" t="s">
        <v>6126</v>
      </c>
      <c r="H739">
        <v>1170</v>
      </c>
      <c r="I739" t="s">
        <v>6126</v>
      </c>
      <c r="J739">
        <v>103</v>
      </c>
      <c r="K739" t="s">
        <v>5254</v>
      </c>
      <c r="L739" t="s">
        <v>387</v>
      </c>
      <c r="M739" t="s">
        <v>5619</v>
      </c>
      <c r="N739" t="s">
        <v>5620</v>
      </c>
      <c r="O739" t="s">
        <v>2717</v>
      </c>
      <c r="R739">
        <f>1</f>
        <v>1</v>
      </c>
      <c r="S739">
        <f>9.1</f>
        <v>9.1</v>
      </c>
      <c r="T739">
        <f>8</f>
        <v>8</v>
      </c>
      <c r="U739">
        <f>305</f>
        <v>305</v>
      </c>
      <c r="V739">
        <f>0.45</f>
        <v>0.45</v>
      </c>
      <c r="X739">
        <f>1</f>
        <v>1</v>
      </c>
      <c r="Y739">
        <f>1.06</f>
        <v>1.06</v>
      </c>
      <c r="Z739">
        <f>0</f>
        <v>0</v>
      </c>
      <c r="AA739">
        <f>12</f>
        <v>12</v>
      </c>
      <c r="AB739" t="s">
        <v>158</v>
      </c>
      <c r="AD739">
        <f>0</f>
        <v>0</v>
      </c>
      <c r="AE739">
        <f>0</f>
        <v>0</v>
      </c>
      <c r="AH739" t="s">
        <v>157</v>
      </c>
    </row>
    <row r="740" spans="1:61" x14ac:dyDescent="0.25">
      <c r="A740" t="s">
        <v>2718</v>
      </c>
      <c r="B740" t="s">
        <v>148</v>
      </c>
      <c r="C740" s="1">
        <v>45758</v>
      </c>
      <c r="D740" t="s">
        <v>242</v>
      </c>
      <c r="E740" t="s">
        <v>243</v>
      </c>
      <c r="F740" t="s">
        <v>4727</v>
      </c>
      <c r="G740" t="s">
        <v>2719</v>
      </c>
      <c r="H740">
        <v>1173</v>
      </c>
      <c r="I740" t="s">
        <v>2719</v>
      </c>
      <c r="J740">
        <v>100</v>
      </c>
      <c r="K740" t="s">
        <v>5254</v>
      </c>
      <c r="L740" t="s">
        <v>2720</v>
      </c>
      <c r="M740" t="s">
        <v>4862</v>
      </c>
      <c r="N740" t="s">
        <v>4863</v>
      </c>
      <c r="O740" t="s">
        <v>2721</v>
      </c>
      <c r="R740">
        <f>1</f>
        <v>1</v>
      </c>
      <c r="S740">
        <f>9.9</f>
        <v>9.9</v>
      </c>
      <c r="T740">
        <f>6.6</f>
        <v>6.6</v>
      </c>
      <c r="U740">
        <f>107</f>
        <v>107</v>
      </c>
      <c r="V740">
        <f>0.22</f>
        <v>0.22</v>
      </c>
      <c r="X740">
        <f>1</f>
        <v>1</v>
      </c>
      <c r="Y740" t="s">
        <v>157</v>
      </c>
      <c r="Z740">
        <f>0</f>
        <v>0</v>
      </c>
      <c r="AA740" t="s">
        <v>158</v>
      </c>
      <c r="AB740" t="s">
        <v>158</v>
      </c>
      <c r="AD740">
        <f>0</f>
        <v>0</v>
      </c>
      <c r="AE740">
        <f>0</f>
        <v>0</v>
      </c>
      <c r="AH740" t="s">
        <v>157</v>
      </c>
    </row>
    <row r="741" spans="1:61" x14ac:dyDescent="0.25">
      <c r="A741" t="s">
        <v>2722</v>
      </c>
      <c r="B741" t="s">
        <v>148</v>
      </c>
      <c r="C741" s="1">
        <v>45736</v>
      </c>
      <c r="D741" t="s">
        <v>269</v>
      </c>
      <c r="E741" t="s">
        <v>295</v>
      </c>
      <c r="F741" t="s">
        <v>5621</v>
      </c>
      <c r="G741" t="s">
        <v>6127</v>
      </c>
      <c r="H741">
        <v>468</v>
      </c>
      <c r="I741" t="s">
        <v>6127</v>
      </c>
      <c r="J741">
        <v>90</v>
      </c>
      <c r="K741" t="s">
        <v>5257</v>
      </c>
      <c r="L741" t="s">
        <v>431</v>
      </c>
      <c r="M741" t="s">
        <v>5622</v>
      </c>
      <c r="N741" t="s">
        <v>5623</v>
      </c>
      <c r="O741" t="s">
        <v>2723</v>
      </c>
      <c r="R741">
        <f>1</f>
        <v>1</v>
      </c>
      <c r="S741">
        <f>6.9</f>
        <v>6.9</v>
      </c>
      <c r="T741">
        <f>7.7</f>
        <v>7.7</v>
      </c>
      <c r="U741">
        <f>398</f>
        <v>398</v>
      </c>
      <c r="X741">
        <f>0</f>
        <v>0</v>
      </c>
      <c r="Y741">
        <f>0.28</f>
        <v>0.28000000000000003</v>
      </c>
      <c r="Z741">
        <f>0</f>
        <v>0</v>
      </c>
      <c r="AA741" t="s">
        <v>158</v>
      </c>
      <c r="AB741" t="s">
        <v>158</v>
      </c>
      <c r="AC741">
        <f>0</f>
        <v>0</v>
      </c>
      <c r="AD741">
        <f>0</f>
        <v>0</v>
      </c>
      <c r="AE741">
        <f>0</f>
        <v>0</v>
      </c>
    </row>
    <row r="742" spans="1:61" x14ac:dyDescent="0.25">
      <c r="A742" t="s">
        <v>2724</v>
      </c>
      <c r="B742" t="s">
        <v>148</v>
      </c>
      <c r="C742" s="1">
        <v>45736</v>
      </c>
      <c r="D742" t="s">
        <v>269</v>
      </c>
      <c r="E742" t="s">
        <v>295</v>
      </c>
      <c r="F742" t="s">
        <v>331</v>
      </c>
      <c r="G742" t="s">
        <v>2725</v>
      </c>
      <c r="H742">
        <v>480</v>
      </c>
      <c r="I742" t="s">
        <v>2725</v>
      </c>
      <c r="J742">
        <v>67</v>
      </c>
      <c r="K742" t="s">
        <v>5257</v>
      </c>
      <c r="L742" t="s">
        <v>431</v>
      </c>
      <c r="M742" t="s">
        <v>2726</v>
      </c>
      <c r="N742" t="s">
        <v>2727</v>
      </c>
      <c r="O742" t="s">
        <v>2728</v>
      </c>
      <c r="R742">
        <f>1</f>
        <v>1</v>
      </c>
      <c r="S742">
        <f>9.9</f>
        <v>9.9</v>
      </c>
      <c r="T742">
        <f>7.6</f>
        <v>7.6</v>
      </c>
      <c r="U742">
        <f>472</f>
        <v>472</v>
      </c>
      <c r="X742">
        <f>0</f>
        <v>0</v>
      </c>
      <c r="Y742" t="s">
        <v>207</v>
      </c>
      <c r="Z742">
        <f>0</f>
        <v>0</v>
      </c>
      <c r="AA742" t="s">
        <v>158</v>
      </c>
      <c r="AB742" t="s">
        <v>158</v>
      </c>
      <c r="AC742">
        <f>0</f>
        <v>0</v>
      </c>
      <c r="AD742">
        <f>0</f>
        <v>0</v>
      </c>
      <c r="AE742">
        <f>0</f>
        <v>0</v>
      </c>
    </row>
    <row r="743" spans="1:61" x14ac:dyDescent="0.25">
      <c r="A743" t="s">
        <v>2729</v>
      </c>
      <c r="B743" t="s">
        <v>148</v>
      </c>
      <c r="C743" s="1">
        <v>45733</v>
      </c>
      <c r="D743" t="s">
        <v>269</v>
      </c>
      <c r="E743" t="s">
        <v>270</v>
      </c>
      <c r="F743" t="s">
        <v>754</v>
      </c>
      <c r="G743" t="s">
        <v>6770</v>
      </c>
      <c r="H743">
        <v>484</v>
      </c>
      <c r="I743" t="s">
        <v>6770</v>
      </c>
      <c r="J743">
        <v>80</v>
      </c>
      <c r="K743" t="s">
        <v>5257</v>
      </c>
      <c r="L743" t="s">
        <v>180</v>
      </c>
      <c r="M743" t="s">
        <v>4864</v>
      </c>
      <c r="N743" t="s">
        <v>4865</v>
      </c>
      <c r="O743" t="s">
        <v>2730</v>
      </c>
      <c r="R743">
        <f>1</f>
        <v>1</v>
      </c>
      <c r="S743">
        <f>9.8</f>
        <v>9.8000000000000007</v>
      </c>
      <c r="T743">
        <f>8</f>
        <v>8</v>
      </c>
      <c r="U743">
        <f>504</f>
        <v>504</v>
      </c>
      <c r="X743">
        <f>0</f>
        <v>0</v>
      </c>
      <c r="Y743">
        <f>0.18</f>
        <v>0.18</v>
      </c>
      <c r="Z743">
        <f>0</f>
        <v>0</v>
      </c>
      <c r="AA743" t="s">
        <v>158</v>
      </c>
      <c r="AB743" t="s">
        <v>158</v>
      </c>
      <c r="AC743">
        <f>0</f>
        <v>0</v>
      </c>
      <c r="AD743">
        <f>0</f>
        <v>0</v>
      </c>
      <c r="AE743">
        <f>0</f>
        <v>0</v>
      </c>
      <c r="BI743">
        <f>0.37</f>
        <v>0.37</v>
      </c>
    </row>
    <row r="744" spans="1:61" x14ac:dyDescent="0.25">
      <c r="A744" t="s">
        <v>2731</v>
      </c>
      <c r="B744" t="s">
        <v>268</v>
      </c>
      <c r="C744" s="1">
        <v>45733</v>
      </c>
      <c r="D744" t="s">
        <v>269</v>
      </c>
      <c r="E744" t="s">
        <v>270</v>
      </c>
      <c r="F744" t="s">
        <v>754</v>
      </c>
      <c r="G744" t="s">
        <v>2732</v>
      </c>
      <c r="H744">
        <v>485</v>
      </c>
      <c r="I744" t="s">
        <v>2732</v>
      </c>
      <c r="J744">
        <v>78</v>
      </c>
      <c r="K744" t="s">
        <v>5257</v>
      </c>
      <c r="L744" t="s">
        <v>431</v>
      </c>
      <c r="M744" t="s">
        <v>2733</v>
      </c>
      <c r="N744" t="s">
        <v>2734</v>
      </c>
      <c r="O744" t="s">
        <v>2735</v>
      </c>
      <c r="R744">
        <f>1</f>
        <v>1</v>
      </c>
      <c r="S744">
        <f>8.3</f>
        <v>8.3000000000000007</v>
      </c>
      <c r="T744">
        <f>7.4</f>
        <v>7.4</v>
      </c>
      <c r="U744">
        <f>431</f>
        <v>431</v>
      </c>
      <c r="X744">
        <f>0</f>
        <v>0</v>
      </c>
      <c r="Y744">
        <f>12.4</f>
        <v>12.4</v>
      </c>
      <c r="Z744">
        <f>0</f>
        <v>0</v>
      </c>
      <c r="AA744">
        <f>96</f>
        <v>96</v>
      </c>
      <c r="AB744">
        <f>49</f>
        <v>49</v>
      </c>
      <c r="AC744">
        <f>3</f>
        <v>3</v>
      </c>
      <c r="AD744">
        <f>0</f>
        <v>0</v>
      </c>
      <c r="AE744">
        <f>0</f>
        <v>0</v>
      </c>
    </row>
    <row r="745" spans="1:61" x14ac:dyDescent="0.25">
      <c r="A745" t="s">
        <v>2736</v>
      </c>
      <c r="B745" t="s">
        <v>268</v>
      </c>
      <c r="C745" s="1">
        <v>45736</v>
      </c>
      <c r="D745" t="s">
        <v>269</v>
      </c>
      <c r="E745" t="s">
        <v>295</v>
      </c>
      <c r="F745" t="s">
        <v>6128</v>
      </c>
      <c r="G745" t="s">
        <v>6129</v>
      </c>
      <c r="H745">
        <v>496</v>
      </c>
      <c r="I745" t="s">
        <v>6129</v>
      </c>
      <c r="J745">
        <v>60</v>
      </c>
      <c r="K745" t="s">
        <v>5257</v>
      </c>
      <c r="L745" t="s">
        <v>180</v>
      </c>
      <c r="M745" t="s">
        <v>2737</v>
      </c>
      <c r="N745" t="s">
        <v>2738</v>
      </c>
      <c r="O745" t="s">
        <v>2739</v>
      </c>
      <c r="R745">
        <f>1</f>
        <v>1</v>
      </c>
      <c r="S745">
        <f>8.6</f>
        <v>8.6</v>
      </c>
      <c r="T745">
        <f>7.8</f>
        <v>7.8</v>
      </c>
      <c r="U745">
        <f>500</f>
        <v>500</v>
      </c>
      <c r="X745">
        <f>0</f>
        <v>0</v>
      </c>
      <c r="Y745">
        <f>7.32</f>
        <v>7.32</v>
      </c>
      <c r="Z745">
        <f>13</f>
        <v>13</v>
      </c>
      <c r="AA745" t="s">
        <v>705</v>
      </c>
      <c r="AB745" t="s">
        <v>705</v>
      </c>
      <c r="AC745">
        <f>0</f>
        <v>0</v>
      </c>
      <c r="AD745">
        <f>12</f>
        <v>12</v>
      </c>
      <c r="AE745" t="s">
        <v>1780</v>
      </c>
      <c r="BI745">
        <f>0.4</f>
        <v>0.4</v>
      </c>
    </row>
    <row r="746" spans="1:61" x14ac:dyDescent="0.25">
      <c r="A746" t="s">
        <v>2740</v>
      </c>
      <c r="B746" t="s">
        <v>148</v>
      </c>
      <c r="C746" s="1">
        <v>45742</v>
      </c>
      <c r="D746" t="s">
        <v>269</v>
      </c>
      <c r="E746" t="s">
        <v>270</v>
      </c>
      <c r="F746" t="s">
        <v>2741</v>
      </c>
      <c r="G746" t="s">
        <v>2742</v>
      </c>
      <c r="H746">
        <v>486</v>
      </c>
      <c r="I746" t="s">
        <v>2742</v>
      </c>
      <c r="J746">
        <v>76</v>
      </c>
      <c r="K746" t="s">
        <v>5257</v>
      </c>
      <c r="L746" t="s">
        <v>180</v>
      </c>
      <c r="M746" t="s">
        <v>5209</v>
      </c>
      <c r="N746" t="s">
        <v>2743</v>
      </c>
      <c r="O746" t="s">
        <v>2744</v>
      </c>
      <c r="R746">
        <f>1</f>
        <v>1</v>
      </c>
      <c r="S746">
        <f>10</f>
        <v>10</v>
      </c>
      <c r="T746">
        <f>7.4</f>
        <v>7.4</v>
      </c>
      <c r="U746">
        <f>615</f>
        <v>615</v>
      </c>
      <c r="X746">
        <f>0</f>
        <v>0</v>
      </c>
      <c r="Y746" t="s">
        <v>207</v>
      </c>
      <c r="Z746">
        <f>0</f>
        <v>0</v>
      </c>
      <c r="AA746">
        <f>19</f>
        <v>19</v>
      </c>
      <c r="AB746" t="s">
        <v>158</v>
      </c>
      <c r="AC746">
        <f>0</f>
        <v>0</v>
      </c>
      <c r="AD746">
        <f>0</f>
        <v>0</v>
      </c>
      <c r="AE746">
        <f>0</f>
        <v>0</v>
      </c>
      <c r="BI746">
        <f>0.2</f>
        <v>0.2</v>
      </c>
    </row>
    <row r="747" spans="1:61" x14ac:dyDescent="0.25">
      <c r="A747" t="s">
        <v>2745</v>
      </c>
      <c r="B747" t="s">
        <v>268</v>
      </c>
      <c r="C747" s="1">
        <v>45736</v>
      </c>
      <c r="D747" t="s">
        <v>269</v>
      </c>
      <c r="E747" t="s">
        <v>295</v>
      </c>
      <c r="F747" t="s">
        <v>2746</v>
      </c>
      <c r="G747" t="s">
        <v>2747</v>
      </c>
      <c r="H747">
        <v>517</v>
      </c>
      <c r="I747" t="s">
        <v>2748</v>
      </c>
      <c r="J747">
        <v>62</v>
      </c>
      <c r="K747" t="s">
        <v>5257</v>
      </c>
      <c r="L747" t="s">
        <v>431</v>
      </c>
      <c r="M747" t="s">
        <v>2749</v>
      </c>
      <c r="N747" t="s">
        <v>2750</v>
      </c>
      <c r="O747" t="s">
        <v>2751</v>
      </c>
      <c r="R747">
        <f>1</f>
        <v>1</v>
      </c>
      <c r="S747">
        <f>9.2</f>
        <v>9.1999999999999993</v>
      </c>
      <c r="T747">
        <f>7.6</f>
        <v>7.6</v>
      </c>
      <c r="U747">
        <f>447</f>
        <v>447</v>
      </c>
      <c r="X747">
        <f>0</f>
        <v>0</v>
      </c>
      <c r="Y747">
        <f>9.94</f>
        <v>9.94</v>
      </c>
      <c r="Z747">
        <f>0</f>
        <v>0</v>
      </c>
      <c r="AA747" t="s">
        <v>705</v>
      </c>
      <c r="AB747" t="s">
        <v>705</v>
      </c>
      <c r="AC747">
        <f>22</f>
        <v>22</v>
      </c>
      <c r="AD747">
        <f>0</f>
        <v>0</v>
      </c>
      <c r="AE747">
        <f>0</f>
        <v>0</v>
      </c>
      <c r="BI747">
        <f>0.3</f>
        <v>0.3</v>
      </c>
    </row>
    <row r="748" spans="1:61" x14ac:dyDescent="0.25">
      <c r="A748" t="s">
        <v>2752</v>
      </c>
      <c r="B748" t="s">
        <v>268</v>
      </c>
      <c r="C748" s="1">
        <v>45742</v>
      </c>
      <c r="D748" t="s">
        <v>269</v>
      </c>
      <c r="E748" t="s">
        <v>270</v>
      </c>
      <c r="F748" t="s">
        <v>754</v>
      </c>
      <c r="G748" t="s">
        <v>2753</v>
      </c>
      <c r="H748">
        <v>1301</v>
      </c>
      <c r="I748" t="s">
        <v>2753</v>
      </c>
      <c r="J748">
        <v>180</v>
      </c>
      <c r="K748" t="s">
        <v>5257</v>
      </c>
      <c r="L748" t="s">
        <v>431</v>
      </c>
      <c r="M748" t="s">
        <v>5624</v>
      </c>
      <c r="N748" t="s">
        <v>2754</v>
      </c>
      <c r="O748" t="s">
        <v>2755</v>
      </c>
      <c r="Q748" t="s">
        <v>6403</v>
      </c>
      <c r="R748">
        <f>1</f>
        <v>1</v>
      </c>
      <c r="S748">
        <f>9.1</f>
        <v>9.1</v>
      </c>
      <c r="T748">
        <f>7.7</f>
        <v>7.7</v>
      </c>
      <c r="U748">
        <f>475</f>
        <v>475</v>
      </c>
      <c r="X748">
        <f>0</f>
        <v>0</v>
      </c>
      <c r="Y748">
        <f>1.35</f>
        <v>1.35</v>
      </c>
      <c r="Z748">
        <f>0</f>
        <v>0</v>
      </c>
      <c r="AA748" t="s">
        <v>705</v>
      </c>
      <c r="AB748" t="s">
        <v>158</v>
      </c>
      <c r="AC748">
        <f>0</f>
        <v>0</v>
      </c>
      <c r="AD748">
        <f>0</f>
        <v>0</v>
      </c>
      <c r="AE748">
        <f>0</f>
        <v>0</v>
      </c>
    </row>
    <row r="749" spans="1:61" x14ac:dyDescent="0.25">
      <c r="A749" t="s">
        <v>2756</v>
      </c>
      <c r="B749" t="s">
        <v>148</v>
      </c>
      <c r="C749" s="1">
        <v>45748</v>
      </c>
      <c r="D749" t="s">
        <v>242</v>
      </c>
      <c r="E749" t="s">
        <v>243</v>
      </c>
      <c r="F749" t="s">
        <v>5036</v>
      </c>
      <c r="G749" t="s">
        <v>2757</v>
      </c>
      <c r="H749">
        <v>1182</v>
      </c>
      <c r="I749" t="s">
        <v>2757</v>
      </c>
      <c r="J749">
        <v>100</v>
      </c>
      <c r="K749" t="s">
        <v>5254</v>
      </c>
      <c r="L749" t="s">
        <v>387</v>
      </c>
      <c r="M749" t="s">
        <v>5625</v>
      </c>
      <c r="N749" t="s">
        <v>6130</v>
      </c>
      <c r="O749" t="s">
        <v>2758</v>
      </c>
      <c r="R749">
        <f>1</f>
        <v>1</v>
      </c>
      <c r="S749">
        <f>11.1</f>
        <v>11.1</v>
      </c>
      <c r="T749">
        <f>7.3</f>
        <v>7.3</v>
      </c>
      <c r="U749">
        <f>587</f>
        <v>587</v>
      </c>
      <c r="X749">
        <f>0</f>
        <v>0</v>
      </c>
      <c r="Y749">
        <f>1.3</f>
        <v>1.3</v>
      </c>
      <c r="Z749">
        <f>0</f>
        <v>0</v>
      </c>
      <c r="AA749" t="s">
        <v>158</v>
      </c>
      <c r="AB749" t="s">
        <v>158</v>
      </c>
      <c r="AD749">
        <f>0</f>
        <v>0</v>
      </c>
      <c r="AE749">
        <f>0</f>
        <v>0</v>
      </c>
      <c r="AH749" t="s">
        <v>157</v>
      </c>
      <c r="BI749">
        <f>1.8</f>
        <v>1.8</v>
      </c>
    </row>
    <row r="750" spans="1:61" x14ac:dyDescent="0.25">
      <c r="A750" t="s">
        <v>2759</v>
      </c>
      <c r="B750" t="s">
        <v>148</v>
      </c>
      <c r="C750" s="1">
        <v>45741</v>
      </c>
      <c r="D750" t="s">
        <v>222</v>
      </c>
      <c r="E750" t="s">
        <v>223</v>
      </c>
      <c r="F750" t="s">
        <v>4938</v>
      </c>
      <c r="G750" t="s">
        <v>2760</v>
      </c>
      <c r="H750">
        <v>1277</v>
      </c>
      <c r="I750" t="s">
        <v>2760</v>
      </c>
      <c r="J750">
        <v>72</v>
      </c>
      <c r="K750" t="s">
        <v>5257</v>
      </c>
      <c r="L750" t="s">
        <v>431</v>
      </c>
      <c r="M750" t="s">
        <v>5384</v>
      </c>
      <c r="N750" t="s">
        <v>5626</v>
      </c>
      <c r="O750" t="s">
        <v>2761</v>
      </c>
      <c r="Q750" t="s">
        <v>6404</v>
      </c>
      <c r="R750">
        <f>1</f>
        <v>1</v>
      </c>
      <c r="S750">
        <f>10.1</f>
        <v>10.1</v>
      </c>
      <c r="T750">
        <f>8</f>
        <v>8</v>
      </c>
      <c r="U750">
        <f>366</f>
        <v>366</v>
      </c>
      <c r="X750">
        <f>1</f>
        <v>1</v>
      </c>
      <c r="Y750">
        <f>0.11</f>
        <v>0.11</v>
      </c>
      <c r="Z750">
        <f>0</f>
        <v>0</v>
      </c>
      <c r="AA750">
        <f>1</f>
        <v>1</v>
      </c>
      <c r="AB750">
        <f>6</f>
        <v>6</v>
      </c>
      <c r="AC750">
        <f>0</f>
        <v>0</v>
      </c>
      <c r="AD750">
        <f>0</f>
        <v>0</v>
      </c>
      <c r="AE750">
        <f>0</f>
        <v>0</v>
      </c>
      <c r="AH750" t="s">
        <v>166</v>
      </c>
    </row>
    <row r="751" spans="1:61" x14ac:dyDescent="0.25">
      <c r="A751" t="s">
        <v>2762</v>
      </c>
      <c r="B751" t="s">
        <v>148</v>
      </c>
      <c r="C751" s="1">
        <v>45849</v>
      </c>
      <c r="D751" t="s">
        <v>222</v>
      </c>
      <c r="E751" t="s">
        <v>223</v>
      </c>
      <c r="F751" t="s">
        <v>4745</v>
      </c>
      <c r="G751" t="s">
        <v>5210</v>
      </c>
      <c r="H751">
        <v>1289</v>
      </c>
      <c r="I751" t="s">
        <v>5210</v>
      </c>
      <c r="J751">
        <v>67</v>
      </c>
      <c r="K751" t="s">
        <v>5257</v>
      </c>
      <c r="L751" t="s">
        <v>431</v>
      </c>
      <c r="M751" t="s">
        <v>5037</v>
      </c>
      <c r="N751" t="s">
        <v>5038</v>
      </c>
      <c r="O751" t="s">
        <v>2763</v>
      </c>
      <c r="Q751" t="s">
        <v>5425</v>
      </c>
      <c r="R751">
        <f>1</f>
        <v>1</v>
      </c>
      <c r="S751">
        <f>18</f>
        <v>18</v>
      </c>
      <c r="T751">
        <f>7.9</f>
        <v>7.9</v>
      </c>
      <c r="U751">
        <f>223</f>
        <v>223</v>
      </c>
      <c r="V751">
        <f>0.14</f>
        <v>0.14000000000000001</v>
      </c>
      <c r="X751">
        <f>1</f>
        <v>1</v>
      </c>
      <c r="Y751">
        <f>0</f>
        <v>0</v>
      </c>
      <c r="Z751">
        <f>0</f>
        <v>0</v>
      </c>
      <c r="AA751">
        <f>0</f>
        <v>0</v>
      </c>
      <c r="AB751">
        <f>0</f>
        <v>0</v>
      </c>
      <c r="AC751">
        <f>0</f>
        <v>0</v>
      </c>
      <c r="AD751">
        <f>0</f>
        <v>0</v>
      </c>
      <c r="AE751">
        <f>0</f>
        <v>0</v>
      </c>
      <c r="AH751" t="s">
        <v>166</v>
      </c>
    </row>
    <row r="752" spans="1:61" x14ac:dyDescent="0.25">
      <c r="A752" t="s">
        <v>2764</v>
      </c>
      <c r="B752" t="s">
        <v>148</v>
      </c>
      <c r="C752" s="1">
        <v>45737</v>
      </c>
      <c r="D752" t="s">
        <v>242</v>
      </c>
      <c r="E752" t="s">
        <v>243</v>
      </c>
      <c r="F752" t="s">
        <v>2765</v>
      </c>
      <c r="G752" t="s">
        <v>2766</v>
      </c>
      <c r="H752">
        <v>1334</v>
      </c>
      <c r="I752" t="s">
        <v>2766</v>
      </c>
      <c r="J752">
        <v>90</v>
      </c>
      <c r="K752" t="s">
        <v>5254</v>
      </c>
      <c r="L752" t="s">
        <v>180</v>
      </c>
      <c r="M752" t="s">
        <v>5627</v>
      </c>
      <c r="N752" t="s">
        <v>5039</v>
      </c>
      <c r="O752" t="s">
        <v>2767</v>
      </c>
      <c r="R752">
        <f>1</f>
        <v>1</v>
      </c>
      <c r="S752">
        <f>9.1</f>
        <v>9.1</v>
      </c>
      <c r="T752">
        <f>8</f>
        <v>8</v>
      </c>
      <c r="U752">
        <f>269</f>
        <v>269</v>
      </c>
      <c r="X752">
        <f>0</f>
        <v>0</v>
      </c>
      <c r="Y752" t="s">
        <v>157</v>
      </c>
      <c r="Z752">
        <f>0</f>
        <v>0</v>
      </c>
      <c r="AA752" t="s">
        <v>158</v>
      </c>
      <c r="AB752" t="s">
        <v>158</v>
      </c>
      <c r="AD752">
        <f>0</f>
        <v>0</v>
      </c>
      <c r="AE752">
        <f>0</f>
        <v>0</v>
      </c>
      <c r="AH752" t="s">
        <v>157</v>
      </c>
      <c r="BI752">
        <f>0.26</f>
        <v>0.26</v>
      </c>
    </row>
    <row r="753" spans="1:61" x14ac:dyDescent="0.25">
      <c r="A753" t="s">
        <v>2768</v>
      </c>
      <c r="B753" t="s">
        <v>148</v>
      </c>
      <c r="C753" s="1">
        <v>45726</v>
      </c>
      <c r="D753" t="s">
        <v>222</v>
      </c>
      <c r="E753" t="s">
        <v>223</v>
      </c>
      <c r="F753" t="s">
        <v>469</v>
      </c>
      <c r="G753" t="s">
        <v>6771</v>
      </c>
      <c r="H753">
        <v>1365</v>
      </c>
      <c r="I753" t="s">
        <v>6771</v>
      </c>
      <c r="J753">
        <v>68</v>
      </c>
      <c r="K753" t="s">
        <v>5257</v>
      </c>
      <c r="L753" t="s">
        <v>431</v>
      </c>
      <c r="M753" t="s">
        <v>2769</v>
      </c>
      <c r="N753" t="s">
        <v>5628</v>
      </c>
      <c r="O753" t="s">
        <v>2770</v>
      </c>
      <c r="Q753" t="s">
        <v>6313</v>
      </c>
      <c r="R753">
        <f>1</f>
        <v>1</v>
      </c>
      <c r="S753">
        <f>10</f>
        <v>10</v>
      </c>
      <c r="T753">
        <f>8</f>
        <v>8</v>
      </c>
      <c r="U753">
        <f>225</f>
        <v>225</v>
      </c>
      <c r="X753">
        <f>1</f>
        <v>1</v>
      </c>
      <c r="Y753">
        <f>0.09</f>
        <v>0.09</v>
      </c>
      <c r="Z753">
        <f>0</f>
        <v>0</v>
      </c>
      <c r="AA753">
        <f>0</f>
        <v>0</v>
      </c>
      <c r="AB753">
        <f>0</f>
        <v>0</v>
      </c>
      <c r="AC753">
        <f>0</f>
        <v>0</v>
      </c>
      <c r="AD753">
        <f>0</f>
        <v>0</v>
      </c>
      <c r="AE753">
        <f>0</f>
        <v>0</v>
      </c>
      <c r="AH753" t="s">
        <v>166</v>
      </c>
    </row>
    <row r="754" spans="1:61" x14ac:dyDescent="0.25">
      <c r="A754" t="s">
        <v>2771</v>
      </c>
      <c r="B754" t="s">
        <v>148</v>
      </c>
      <c r="C754" s="1">
        <v>45740</v>
      </c>
      <c r="D754" t="s">
        <v>222</v>
      </c>
      <c r="E754" t="s">
        <v>223</v>
      </c>
      <c r="F754" t="s">
        <v>4723</v>
      </c>
      <c r="G754" t="s">
        <v>2772</v>
      </c>
      <c r="H754">
        <v>1401</v>
      </c>
      <c r="I754" t="s">
        <v>2773</v>
      </c>
      <c r="J754">
        <v>57</v>
      </c>
      <c r="K754" t="s">
        <v>5257</v>
      </c>
      <c r="L754" t="s">
        <v>431</v>
      </c>
      <c r="M754" t="s">
        <v>5629</v>
      </c>
      <c r="N754" t="s">
        <v>2774</v>
      </c>
      <c r="O754" t="s">
        <v>2775</v>
      </c>
      <c r="Q754" t="s">
        <v>6405</v>
      </c>
      <c r="R754">
        <f>1</f>
        <v>1</v>
      </c>
      <c r="S754">
        <f>10.8</f>
        <v>10.8</v>
      </c>
      <c r="T754">
        <f>7.9</f>
        <v>7.9</v>
      </c>
      <c r="U754">
        <f>223</f>
        <v>223</v>
      </c>
      <c r="X754">
        <f>1</f>
        <v>1</v>
      </c>
      <c r="Y754">
        <f>0.13</f>
        <v>0.13</v>
      </c>
      <c r="Z754">
        <f>0</f>
        <v>0</v>
      </c>
      <c r="AA754">
        <f>0</f>
        <v>0</v>
      </c>
      <c r="AB754">
        <f>0</f>
        <v>0</v>
      </c>
      <c r="AC754">
        <f>0</f>
        <v>0</v>
      </c>
      <c r="AD754">
        <f>0</f>
        <v>0</v>
      </c>
      <c r="AE754">
        <f>0</f>
        <v>0</v>
      </c>
      <c r="AH754" t="s">
        <v>166</v>
      </c>
    </row>
    <row r="755" spans="1:61" x14ac:dyDescent="0.25">
      <c r="A755" t="s">
        <v>2776</v>
      </c>
      <c r="B755" t="s">
        <v>148</v>
      </c>
      <c r="C755" s="1">
        <v>45729</v>
      </c>
      <c r="D755" t="s">
        <v>242</v>
      </c>
      <c r="E755" t="s">
        <v>295</v>
      </c>
      <c r="F755" t="s">
        <v>764</v>
      </c>
      <c r="G755" t="s">
        <v>2777</v>
      </c>
      <c r="H755">
        <v>999</v>
      </c>
      <c r="I755" t="s">
        <v>2777</v>
      </c>
      <c r="J755">
        <v>80</v>
      </c>
      <c r="K755" t="s">
        <v>5257</v>
      </c>
      <c r="L755" t="s">
        <v>393</v>
      </c>
      <c r="M755" t="s">
        <v>5630</v>
      </c>
      <c r="N755" t="s">
        <v>2778</v>
      </c>
      <c r="O755" t="s">
        <v>2779</v>
      </c>
      <c r="R755">
        <f>1</f>
        <v>1</v>
      </c>
      <c r="S755">
        <f>9</f>
        <v>9</v>
      </c>
      <c r="T755">
        <f>7.3</f>
        <v>7.3</v>
      </c>
      <c r="U755">
        <f>582</f>
        <v>582</v>
      </c>
      <c r="V755">
        <f>0.08</f>
        <v>0.08</v>
      </c>
      <c r="X755">
        <f>0</f>
        <v>0</v>
      </c>
      <c r="Y755">
        <f>0.22</f>
        <v>0.22</v>
      </c>
      <c r="Z755">
        <f>0</f>
        <v>0</v>
      </c>
      <c r="AA755" t="s">
        <v>158</v>
      </c>
      <c r="AB755" t="s">
        <v>158</v>
      </c>
      <c r="AC755">
        <f>0</f>
        <v>0</v>
      </c>
      <c r="AD755">
        <f>0</f>
        <v>0</v>
      </c>
      <c r="AE755">
        <f>0</f>
        <v>0</v>
      </c>
      <c r="AH755" t="s">
        <v>157</v>
      </c>
    </row>
    <row r="756" spans="1:61" x14ac:dyDescent="0.25">
      <c r="A756" t="s">
        <v>2780</v>
      </c>
      <c r="B756" t="s">
        <v>148</v>
      </c>
      <c r="C756" s="1">
        <v>45742</v>
      </c>
      <c r="D756" t="s">
        <v>242</v>
      </c>
      <c r="E756" t="s">
        <v>295</v>
      </c>
      <c r="F756" t="s">
        <v>764</v>
      </c>
      <c r="G756" t="s">
        <v>2781</v>
      </c>
      <c r="H756">
        <v>1405</v>
      </c>
      <c r="I756" t="s">
        <v>2781</v>
      </c>
      <c r="J756">
        <v>65</v>
      </c>
      <c r="K756" t="s">
        <v>5257</v>
      </c>
      <c r="L756" t="s">
        <v>431</v>
      </c>
      <c r="M756" t="s">
        <v>5631</v>
      </c>
      <c r="N756" t="s">
        <v>6131</v>
      </c>
      <c r="O756" t="s">
        <v>2782</v>
      </c>
      <c r="Q756" t="s">
        <v>6406</v>
      </c>
      <c r="R756">
        <f>1</f>
        <v>1</v>
      </c>
      <c r="S756">
        <f>9.9</f>
        <v>9.9</v>
      </c>
      <c r="T756">
        <f>7.3</f>
        <v>7.3</v>
      </c>
      <c r="U756">
        <f>675</f>
        <v>675</v>
      </c>
      <c r="X756">
        <f>0</f>
        <v>0</v>
      </c>
      <c r="Y756" t="s">
        <v>207</v>
      </c>
      <c r="Z756">
        <f>0</f>
        <v>0</v>
      </c>
      <c r="AA756" t="s">
        <v>158</v>
      </c>
      <c r="AB756" t="s">
        <v>158</v>
      </c>
      <c r="AC756">
        <f>0</f>
        <v>0</v>
      </c>
      <c r="AD756">
        <f>0</f>
        <v>0</v>
      </c>
      <c r="AE756">
        <f>0</f>
        <v>0</v>
      </c>
    </row>
    <row r="757" spans="1:61" x14ac:dyDescent="0.25">
      <c r="A757" t="s">
        <v>2783</v>
      </c>
      <c r="B757" t="s">
        <v>148</v>
      </c>
      <c r="C757" s="1">
        <v>45729</v>
      </c>
      <c r="D757" t="s">
        <v>242</v>
      </c>
      <c r="E757" t="s">
        <v>295</v>
      </c>
      <c r="F757" t="s">
        <v>764</v>
      </c>
      <c r="G757" t="s">
        <v>6772</v>
      </c>
      <c r="H757">
        <v>1413</v>
      </c>
      <c r="I757" t="s">
        <v>6772</v>
      </c>
      <c r="J757">
        <v>90</v>
      </c>
      <c r="K757" t="s">
        <v>5257</v>
      </c>
      <c r="L757" t="s">
        <v>431</v>
      </c>
      <c r="M757" t="s">
        <v>5632</v>
      </c>
      <c r="N757" t="s">
        <v>5633</v>
      </c>
      <c r="O757" t="s">
        <v>2784</v>
      </c>
      <c r="R757">
        <f>1</f>
        <v>1</v>
      </c>
      <c r="S757">
        <f>9.5</f>
        <v>9.5</v>
      </c>
      <c r="T757">
        <f>7.8</f>
        <v>7.8</v>
      </c>
      <c r="U757">
        <f>304</f>
        <v>304</v>
      </c>
      <c r="X757">
        <f>0</f>
        <v>0</v>
      </c>
      <c r="Y757" t="s">
        <v>157</v>
      </c>
      <c r="Z757">
        <f>0</f>
        <v>0</v>
      </c>
      <c r="AA757" t="s">
        <v>158</v>
      </c>
      <c r="AB757" t="s">
        <v>158</v>
      </c>
      <c r="AC757">
        <f>0</f>
        <v>0</v>
      </c>
      <c r="AD757">
        <f>0</f>
        <v>0</v>
      </c>
      <c r="AE757">
        <f>0</f>
        <v>0</v>
      </c>
      <c r="AH757" t="s">
        <v>157</v>
      </c>
    </row>
    <row r="758" spans="1:61" x14ac:dyDescent="0.25">
      <c r="A758" t="s">
        <v>2785</v>
      </c>
      <c r="B758" t="s">
        <v>148</v>
      </c>
      <c r="C758" s="1">
        <v>45742</v>
      </c>
      <c r="D758" t="s">
        <v>242</v>
      </c>
      <c r="E758" t="s">
        <v>295</v>
      </c>
      <c r="F758" t="s">
        <v>5634</v>
      </c>
      <c r="G758" t="s">
        <v>2786</v>
      </c>
      <c r="H758">
        <v>1426</v>
      </c>
      <c r="I758" t="s">
        <v>2786</v>
      </c>
      <c r="J758">
        <v>62</v>
      </c>
      <c r="K758" t="s">
        <v>5254</v>
      </c>
      <c r="M758" t="s">
        <v>5428</v>
      </c>
      <c r="N758" t="s">
        <v>5635</v>
      </c>
      <c r="O758" t="s">
        <v>2787</v>
      </c>
      <c r="R758">
        <f>1</f>
        <v>1</v>
      </c>
      <c r="S758">
        <f>10.3</f>
        <v>10.3</v>
      </c>
      <c r="T758">
        <f>7.5</f>
        <v>7.5</v>
      </c>
      <c r="U758">
        <f>466</f>
        <v>466</v>
      </c>
      <c r="X758">
        <f>0</f>
        <v>0</v>
      </c>
      <c r="Y758">
        <f>0.72</f>
        <v>0.72</v>
      </c>
      <c r="Z758">
        <f>0</f>
        <v>0</v>
      </c>
      <c r="AA758">
        <f>48</f>
        <v>48</v>
      </c>
      <c r="AB758">
        <f>21</f>
        <v>21</v>
      </c>
      <c r="AD758">
        <f>0</f>
        <v>0</v>
      </c>
      <c r="AE758">
        <f>0</f>
        <v>0</v>
      </c>
    </row>
    <row r="759" spans="1:61" x14ac:dyDescent="0.25">
      <c r="A759" t="s">
        <v>2788</v>
      </c>
      <c r="B759" t="s">
        <v>148</v>
      </c>
      <c r="C759" s="1">
        <v>45742</v>
      </c>
      <c r="D759" t="s">
        <v>242</v>
      </c>
      <c r="E759" t="s">
        <v>243</v>
      </c>
      <c r="F759" t="s">
        <v>884</v>
      </c>
      <c r="G759" t="s">
        <v>6579</v>
      </c>
      <c r="H759">
        <v>1812</v>
      </c>
      <c r="I759" t="s">
        <v>6773</v>
      </c>
      <c r="J759">
        <v>71</v>
      </c>
      <c r="K759" t="s">
        <v>4778</v>
      </c>
      <c r="L759" t="s">
        <v>393</v>
      </c>
      <c r="M759" t="s">
        <v>5636</v>
      </c>
      <c r="N759" t="s">
        <v>6132</v>
      </c>
      <c r="O759" t="s">
        <v>2789</v>
      </c>
      <c r="R759">
        <f>1</f>
        <v>1</v>
      </c>
      <c r="S759">
        <f>9.4</f>
        <v>9.4</v>
      </c>
      <c r="T759">
        <f>8.2</f>
        <v>8.1999999999999993</v>
      </c>
      <c r="U759">
        <f>266</f>
        <v>266</v>
      </c>
      <c r="V759">
        <f>0.15</f>
        <v>0.15</v>
      </c>
      <c r="X759">
        <f>0</f>
        <v>0</v>
      </c>
      <c r="Y759" t="s">
        <v>157</v>
      </c>
      <c r="Z759">
        <f>0</f>
        <v>0</v>
      </c>
      <c r="AA759" t="s">
        <v>158</v>
      </c>
      <c r="AB759" t="s">
        <v>158</v>
      </c>
      <c r="AC759">
        <f>0</f>
        <v>0</v>
      </c>
      <c r="AD759">
        <f>0</f>
        <v>0</v>
      </c>
      <c r="AE759">
        <f>0</f>
        <v>0</v>
      </c>
      <c r="AH759" t="s">
        <v>157</v>
      </c>
    </row>
    <row r="760" spans="1:61" x14ac:dyDescent="0.25">
      <c r="A760" t="s">
        <v>2790</v>
      </c>
      <c r="B760" t="s">
        <v>148</v>
      </c>
      <c r="C760" s="1">
        <v>45742</v>
      </c>
      <c r="D760" t="s">
        <v>242</v>
      </c>
      <c r="E760" t="s">
        <v>243</v>
      </c>
      <c r="F760" t="s">
        <v>884</v>
      </c>
      <c r="G760" t="s">
        <v>6579</v>
      </c>
      <c r="H760">
        <v>1813</v>
      </c>
      <c r="I760" t="s">
        <v>6774</v>
      </c>
      <c r="J760">
        <v>72</v>
      </c>
      <c r="K760" t="s">
        <v>5254</v>
      </c>
      <c r="L760" t="s">
        <v>4724</v>
      </c>
      <c r="M760" t="s">
        <v>5637</v>
      </c>
      <c r="N760" t="s">
        <v>6133</v>
      </c>
      <c r="O760" t="s">
        <v>2791</v>
      </c>
      <c r="Q760" t="s">
        <v>6407</v>
      </c>
      <c r="R760">
        <f>1</f>
        <v>1</v>
      </c>
      <c r="S760">
        <f>8.3</f>
        <v>8.3000000000000007</v>
      </c>
      <c r="T760">
        <f>8.4</f>
        <v>8.4</v>
      </c>
      <c r="U760">
        <f>302</f>
        <v>302</v>
      </c>
      <c r="V760">
        <f>0.13</f>
        <v>0.13</v>
      </c>
      <c r="X760">
        <f>0</f>
        <v>0</v>
      </c>
      <c r="Y760" t="s">
        <v>157</v>
      </c>
      <c r="Z760">
        <f>0</f>
        <v>0</v>
      </c>
      <c r="AA760">
        <f>17</f>
        <v>17</v>
      </c>
      <c r="AB760" t="s">
        <v>158</v>
      </c>
      <c r="AD760">
        <f>0</f>
        <v>0</v>
      </c>
      <c r="AE760">
        <f>0</f>
        <v>0</v>
      </c>
      <c r="AH760" t="s">
        <v>157</v>
      </c>
    </row>
    <row r="761" spans="1:61" x14ac:dyDescent="0.25">
      <c r="A761" t="s">
        <v>2792</v>
      </c>
      <c r="B761" t="s">
        <v>148</v>
      </c>
      <c r="C761" s="1">
        <v>45770</v>
      </c>
      <c r="D761" t="s">
        <v>242</v>
      </c>
      <c r="E761" t="s">
        <v>243</v>
      </c>
      <c r="F761" t="s">
        <v>1396</v>
      </c>
      <c r="G761" t="s">
        <v>2793</v>
      </c>
      <c r="H761">
        <v>1437</v>
      </c>
      <c r="I761" t="s">
        <v>2793</v>
      </c>
      <c r="J761">
        <v>70</v>
      </c>
      <c r="K761" t="s">
        <v>5254</v>
      </c>
      <c r="L761" t="s">
        <v>726</v>
      </c>
      <c r="M761" t="s">
        <v>4866</v>
      </c>
      <c r="N761" t="s">
        <v>2794</v>
      </c>
      <c r="O761" t="s">
        <v>2795</v>
      </c>
      <c r="R761">
        <f>1</f>
        <v>1</v>
      </c>
      <c r="S761">
        <f>13.1</f>
        <v>13.1</v>
      </c>
      <c r="T761">
        <f>7.8</f>
        <v>7.8</v>
      </c>
      <c r="U761">
        <f>460</f>
        <v>460</v>
      </c>
      <c r="X761">
        <f>0</f>
        <v>0</v>
      </c>
      <c r="Y761" t="s">
        <v>157</v>
      </c>
      <c r="Z761">
        <f>0</f>
        <v>0</v>
      </c>
      <c r="AA761" t="s">
        <v>158</v>
      </c>
      <c r="AB761" t="s">
        <v>158</v>
      </c>
      <c r="AD761">
        <f>0</f>
        <v>0</v>
      </c>
      <c r="AE761">
        <f>0</f>
        <v>0</v>
      </c>
      <c r="AH761" t="s">
        <v>157</v>
      </c>
    </row>
    <row r="762" spans="1:61" x14ac:dyDescent="0.25">
      <c r="A762" t="s">
        <v>2796</v>
      </c>
      <c r="B762" t="s">
        <v>148</v>
      </c>
      <c r="C762" s="1">
        <v>45735</v>
      </c>
      <c r="D762" t="s">
        <v>317</v>
      </c>
      <c r="E762" t="s">
        <v>318</v>
      </c>
      <c r="F762" t="s">
        <v>5108</v>
      </c>
      <c r="G762" t="s">
        <v>2797</v>
      </c>
      <c r="H762">
        <v>1465</v>
      </c>
      <c r="I762" t="s">
        <v>2797</v>
      </c>
      <c r="J762">
        <v>85</v>
      </c>
      <c r="K762" t="s">
        <v>5257</v>
      </c>
      <c r="M762" t="s">
        <v>6134</v>
      </c>
      <c r="N762" t="s">
        <v>5211</v>
      </c>
      <c r="O762" t="s">
        <v>2798</v>
      </c>
      <c r="Q762" t="s">
        <v>1299</v>
      </c>
      <c r="R762">
        <f>1</f>
        <v>1</v>
      </c>
      <c r="S762">
        <f>8</f>
        <v>8</v>
      </c>
      <c r="T762">
        <f>7.8</f>
        <v>7.8</v>
      </c>
      <c r="U762">
        <f>263</f>
        <v>263</v>
      </c>
      <c r="X762">
        <f>0</f>
        <v>0</v>
      </c>
      <c r="Y762" t="s">
        <v>157</v>
      </c>
      <c r="Z762">
        <f>0</f>
        <v>0</v>
      </c>
      <c r="AA762">
        <f>1</f>
        <v>1</v>
      </c>
      <c r="AB762">
        <f>0</f>
        <v>0</v>
      </c>
      <c r="AC762">
        <f>0</f>
        <v>0</v>
      </c>
      <c r="AD762">
        <f>0</f>
        <v>0</v>
      </c>
      <c r="AE762">
        <f>0</f>
        <v>0</v>
      </c>
      <c r="AH762" t="s">
        <v>157</v>
      </c>
    </row>
    <row r="763" spans="1:61" x14ac:dyDescent="0.25">
      <c r="A763" t="s">
        <v>2799</v>
      </c>
      <c r="B763" t="s">
        <v>268</v>
      </c>
      <c r="C763" s="1">
        <v>45785</v>
      </c>
      <c r="D763" t="s">
        <v>242</v>
      </c>
      <c r="E763" t="s">
        <v>243</v>
      </c>
      <c r="F763" t="s">
        <v>2800</v>
      </c>
      <c r="G763" t="s">
        <v>2801</v>
      </c>
      <c r="H763">
        <v>1026</v>
      </c>
      <c r="I763" t="s">
        <v>2801</v>
      </c>
      <c r="J763">
        <v>100</v>
      </c>
      <c r="K763" t="s">
        <v>5254</v>
      </c>
      <c r="L763" t="s">
        <v>180</v>
      </c>
      <c r="M763" t="s">
        <v>2802</v>
      </c>
      <c r="N763" t="s">
        <v>2803</v>
      </c>
      <c r="O763" t="s">
        <v>2804</v>
      </c>
      <c r="R763">
        <f>1</f>
        <v>1</v>
      </c>
      <c r="S763">
        <f>10.9</f>
        <v>10.9</v>
      </c>
      <c r="T763">
        <f>7.6</f>
        <v>7.6</v>
      </c>
      <c r="U763">
        <f>403</f>
        <v>403</v>
      </c>
      <c r="X763">
        <f>0</f>
        <v>0</v>
      </c>
      <c r="Y763" t="s">
        <v>157</v>
      </c>
      <c r="Z763">
        <f>0</f>
        <v>0</v>
      </c>
      <c r="AA763">
        <f>12</f>
        <v>12</v>
      </c>
      <c r="AB763" t="s">
        <v>158</v>
      </c>
      <c r="AD763">
        <f>0</f>
        <v>0</v>
      </c>
      <c r="AE763">
        <f>1</f>
        <v>1</v>
      </c>
      <c r="AH763" t="s">
        <v>157</v>
      </c>
      <c r="BI763" t="s">
        <v>836</v>
      </c>
    </row>
    <row r="764" spans="1:61" x14ac:dyDescent="0.25">
      <c r="A764" t="s">
        <v>2805</v>
      </c>
      <c r="B764" t="s">
        <v>148</v>
      </c>
      <c r="C764" s="1">
        <v>45862</v>
      </c>
      <c r="D764" t="s">
        <v>222</v>
      </c>
      <c r="E764" t="s">
        <v>223</v>
      </c>
      <c r="F764" t="s">
        <v>469</v>
      </c>
      <c r="G764" t="s">
        <v>5212</v>
      </c>
      <c r="H764">
        <v>1364</v>
      </c>
      <c r="I764" t="s">
        <v>5212</v>
      </c>
      <c r="J764">
        <v>56</v>
      </c>
      <c r="K764" t="s">
        <v>5257</v>
      </c>
      <c r="L764" t="s">
        <v>180</v>
      </c>
      <c r="M764" t="s">
        <v>2806</v>
      </c>
      <c r="N764" t="s">
        <v>5040</v>
      </c>
      <c r="O764" t="s">
        <v>2807</v>
      </c>
      <c r="R764">
        <f>1</f>
        <v>1</v>
      </c>
      <c r="S764">
        <f>21.1</f>
        <v>21.1</v>
      </c>
      <c r="T764">
        <f>8.1</f>
        <v>8.1</v>
      </c>
      <c r="U764">
        <f>317</f>
        <v>317</v>
      </c>
      <c r="X764">
        <f>1</f>
        <v>1</v>
      </c>
      <c r="Y764">
        <f>0.11</f>
        <v>0.11</v>
      </c>
      <c r="Z764">
        <f>0</f>
        <v>0</v>
      </c>
      <c r="AA764">
        <f>1</f>
        <v>1</v>
      </c>
      <c r="AB764">
        <f>1</f>
        <v>1</v>
      </c>
      <c r="AC764">
        <f>0</f>
        <v>0</v>
      </c>
      <c r="AD764">
        <f>0</f>
        <v>0</v>
      </c>
      <c r="AE764">
        <f>0</f>
        <v>0</v>
      </c>
      <c r="AH764" t="s">
        <v>166</v>
      </c>
      <c r="AI764">
        <f>0.51</f>
        <v>0.51</v>
      </c>
      <c r="AL764" t="s">
        <v>168</v>
      </c>
      <c r="AM764" t="s">
        <v>164</v>
      </c>
      <c r="AN764">
        <f>4.5</f>
        <v>4.5</v>
      </c>
      <c r="AO764">
        <f>0.09</f>
        <v>0.09</v>
      </c>
      <c r="AP764">
        <f>6.3</f>
        <v>6.3</v>
      </c>
      <c r="AQ764">
        <f>1.5</f>
        <v>1.5</v>
      </c>
      <c r="AR764" t="s">
        <v>167</v>
      </c>
    </row>
    <row r="765" spans="1:61" x14ac:dyDescent="0.25">
      <c r="A765" t="s">
        <v>2808</v>
      </c>
      <c r="B765" t="s">
        <v>148</v>
      </c>
      <c r="C765" s="1">
        <v>45740</v>
      </c>
      <c r="D765" t="s">
        <v>222</v>
      </c>
      <c r="E765" t="s">
        <v>223</v>
      </c>
      <c r="F765" t="s">
        <v>4723</v>
      </c>
      <c r="G765" t="s">
        <v>6135</v>
      </c>
      <c r="H765">
        <v>396</v>
      </c>
      <c r="I765" t="s">
        <v>6135</v>
      </c>
      <c r="J765">
        <v>60</v>
      </c>
      <c r="K765" t="s">
        <v>5257</v>
      </c>
      <c r="L765" t="s">
        <v>431</v>
      </c>
      <c r="M765" t="s">
        <v>5428</v>
      </c>
      <c r="N765" t="s">
        <v>5638</v>
      </c>
      <c r="O765" t="s">
        <v>2809</v>
      </c>
      <c r="Q765" t="s">
        <v>6408</v>
      </c>
      <c r="R765">
        <f>1</f>
        <v>1</v>
      </c>
      <c r="S765">
        <f>9.4</f>
        <v>9.4</v>
      </c>
      <c r="T765">
        <f>8.1</f>
        <v>8.1</v>
      </c>
      <c r="U765">
        <f>262</f>
        <v>262</v>
      </c>
      <c r="X765">
        <f>1</f>
        <v>1</v>
      </c>
      <c r="Y765">
        <f>0.22</f>
        <v>0.22</v>
      </c>
      <c r="Z765">
        <f>0</f>
        <v>0</v>
      </c>
      <c r="AA765">
        <f>0</f>
        <v>0</v>
      </c>
      <c r="AB765">
        <f>0</f>
        <v>0</v>
      </c>
      <c r="AD765">
        <f>0</f>
        <v>0</v>
      </c>
      <c r="AE765">
        <f>0</f>
        <v>0</v>
      </c>
      <c r="AH765" t="s">
        <v>166</v>
      </c>
    </row>
    <row r="766" spans="1:61" x14ac:dyDescent="0.25">
      <c r="A766" t="s">
        <v>2810</v>
      </c>
      <c r="B766" t="s">
        <v>148</v>
      </c>
      <c r="C766" s="1">
        <v>45729</v>
      </c>
      <c r="D766" t="s">
        <v>242</v>
      </c>
      <c r="E766" t="s">
        <v>295</v>
      </c>
      <c r="F766" t="s">
        <v>764</v>
      </c>
      <c r="G766" t="s">
        <v>2811</v>
      </c>
      <c r="H766">
        <v>1422</v>
      </c>
      <c r="I766" t="s">
        <v>2812</v>
      </c>
      <c r="J766">
        <v>98</v>
      </c>
      <c r="K766" t="s">
        <v>5257</v>
      </c>
      <c r="L766" t="s">
        <v>393</v>
      </c>
      <c r="M766" t="s">
        <v>5639</v>
      </c>
      <c r="N766" t="s">
        <v>2813</v>
      </c>
      <c r="O766" t="s">
        <v>2814</v>
      </c>
      <c r="R766">
        <f>1</f>
        <v>1</v>
      </c>
      <c r="S766">
        <f>9.9</f>
        <v>9.9</v>
      </c>
      <c r="T766">
        <f>7.7</f>
        <v>7.7</v>
      </c>
      <c r="U766">
        <f>464</f>
        <v>464</v>
      </c>
      <c r="X766">
        <f>1</f>
        <v>1</v>
      </c>
      <c r="Y766">
        <f>0.18</f>
        <v>0.18</v>
      </c>
      <c r="Z766">
        <f>0</f>
        <v>0</v>
      </c>
      <c r="AA766" t="s">
        <v>158</v>
      </c>
      <c r="AB766" t="s">
        <v>158</v>
      </c>
      <c r="AC766">
        <f>0</f>
        <v>0</v>
      </c>
      <c r="AD766">
        <f>0</f>
        <v>0</v>
      </c>
      <c r="AE766">
        <f>0</f>
        <v>0</v>
      </c>
      <c r="AH766" t="s">
        <v>157</v>
      </c>
    </row>
    <row r="767" spans="1:61" x14ac:dyDescent="0.25">
      <c r="A767" t="s">
        <v>2815</v>
      </c>
      <c r="B767" t="s">
        <v>148</v>
      </c>
      <c r="C767" s="1">
        <v>45742</v>
      </c>
      <c r="D767" t="s">
        <v>317</v>
      </c>
      <c r="E767" t="s">
        <v>318</v>
      </c>
      <c r="F767" t="s">
        <v>2816</v>
      </c>
      <c r="G767" t="s">
        <v>6775</v>
      </c>
      <c r="H767">
        <v>1477</v>
      </c>
      <c r="I767" t="s">
        <v>6775</v>
      </c>
      <c r="J767">
        <v>90</v>
      </c>
      <c r="K767" t="s">
        <v>5254</v>
      </c>
      <c r="M767" t="s">
        <v>2817</v>
      </c>
      <c r="N767" t="s">
        <v>6136</v>
      </c>
      <c r="O767" t="s">
        <v>2818</v>
      </c>
      <c r="Q767" t="s">
        <v>347</v>
      </c>
      <c r="R767">
        <f>1</f>
        <v>1</v>
      </c>
      <c r="S767">
        <f>7.5</f>
        <v>7.5</v>
      </c>
      <c r="T767">
        <f>6.8</f>
        <v>6.8</v>
      </c>
      <c r="U767">
        <f>67</f>
        <v>67</v>
      </c>
      <c r="X767">
        <f>0</f>
        <v>0</v>
      </c>
      <c r="Y767" t="s">
        <v>157</v>
      </c>
      <c r="Z767">
        <f>0</f>
        <v>0</v>
      </c>
      <c r="AA767">
        <f>0</f>
        <v>0</v>
      </c>
      <c r="AB767">
        <f>0</f>
        <v>0</v>
      </c>
      <c r="AD767">
        <f>0</f>
        <v>0</v>
      </c>
      <c r="AE767">
        <f>0</f>
        <v>0</v>
      </c>
      <c r="AH767" t="s">
        <v>157</v>
      </c>
    </row>
    <row r="768" spans="1:61" x14ac:dyDescent="0.25">
      <c r="A768" t="s">
        <v>2819</v>
      </c>
      <c r="B768" t="s">
        <v>148</v>
      </c>
      <c r="C768" s="1">
        <v>45754</v>
      </c>
      <c r="D768" t="s">
        <v>175</v>
      </c>
      <c r="E768" t="s">
        <v>176</v>
      </c>
      <c r="F768" t="s">
        <v>343</v>
      </c>
      <c r="G768" t="s">
        <v>6776</v>
      </c>
      <c r="H768">
        <v>1495</v>
      </c>
      <c r="I768" t="s">
        <v>6776</v>
      </c>
      <c r="J768">
        <v>105</v>
      </c>
      <c r="K768" t="s">
        <v>5254</v>
      </c>
      <c r="L768" t="s">
        <v>431</v>
      </c>
      <c r="M768" t="s">
        <v>2820</v>
      </c>
      <c r="N768" t="s">
        <v>6777</v>
      </c>
      <c r="O768" t="s">
        <v>2821</v>
      </c>
      <c r="Q768" t="s">
        <v>6409</v>
      </c>
      <c r="R768">
        <f>1</f>
        <v>1</v>
      </c>
      <c r="S768">
        <f>8.7</f>
        <v>8.6999999999999993</v>
      </c>
      <c r="T768">
        <f>8.1</f>
        <v>8.1</v>
      </c>
      <c r="U768">
        <f>336</f>
        <v>336</v>
      </c>
      <c r="V768">
        <f>0.05</f>
        <v>0.05</v>
      </c>
      <c r="X768">
        <f>0</f>
        <v>0</v>
      </c>
      <c r="Y768">
        <f>0.45</f>
        <v>0.45</v>
      </c>
      <c r="Z768">
        <f>0</f>
        <v>0</v>
      </c>
      <c r="AA768">
        <f>0</f>
        <v>0</v>
      </c>
      <c r="AB768">
        <f>0</f>
        <v>0</v>
      </c>
      <c r="AD768">
        <f>0</f>
        <v>0</v>
      </c>
      <c r="AE768">
        <f>0</f>
        <v>0</v>
      </c>
      <c r="AH768" t="s">
        <v>157</v>
      </c>
    </row>
    <row r="769" spans="1:61" x14ac:dyDescent="0.25">
      <c r="A769" t="s">
        <v>2822</v>
      </c>
      <c r="B769" t="s">
        <v>148</v>
      </c>
      <c r="C769" s="1">
        <v>45849</v>
      </c>
      <c r="D769" t="s">
        <v>222</v>
      </c>
      <c r="E769" t="s">
        <v>223</v>
      </c>
      <c r="F769" t="s">
        <v>4745</v>
      </c>
      <c r="G769" t="s">
        <v>6778</v>
      </c>
      <c r="H769">
        <v>1304</v>
      </c>
      <c r="I769" t="s">
        <v>6778</v>
      </c>
      <c r="J769">
        <v>63</v>
      </c>
      <c r="K769" t="s">
        <v>5257</v>
      </c>
      <c r="L769" t="s">
        <v>5041</v>
      </c>
      <c r="M769" t="s">
        <v>6779</v>
      </c>
      <c r="N769" t="s">
        <v>6780</v>
      </c>
      <c r="O769" t="s">
        <v>2823</v>
      </c>
      <c r="Q769" t="s">
        <v>2824</v>
      </c>
      <c r="R769">
        <f>1</f>
        <v>1</v>
      </c>
      <c r="S769">
        <f>17</f>
        <v>17</v>
      </c>
      <c r="T769">
        <f>7.8</f>
        <v>7.8</v>
      </c>
      <c r="U769">
        <f>214</f>
        <v>214</v>
      </c>
      <c r="X769">
        <f>0</f>
        <v>0</v>
      </c>
      <c r="Y769">
        <f>0</f>
        <v>0</v>
      </c>
      <c r="Z769">
        <f>0</f>
        <v>0</v>
      </c>
      <c r="AA769">
        <f>9</f>
        <v>9</v>
      </c>
      <c r="AB769">
        <f>40</f>
        <v>40</v>
      </c>
      <c r="AD769">
        <f>0</f>
        <v>0</v>
      </c>
      <c r="AE769">
        <f>0</f>
        <v>0</v>
      </c>
      <c r="AH769" t="s">
        <v>166</v>
      </c>
    </row>
    <row r="770" spans="1:61" x14ac:dyDescent="0.25">
      <c r="A770" t="s">
        <v>2825</v>
      </c>
      <c r="B770" t="s">
        <v>148</v>
      </c>
      <c r="C770" s="1">
        <v>45790</v>
      </c>
      <c r="D770" t="s">
        <v>317</v>
      </c>
      <c r="E770" t="s">
        <v>318</v>
      </c>
      <c r="F770" t="s">
        <v>2826</v>
      </c>
      <c r="G770" t="s">
        <v>6137</v>
      </c>
      <c r="H770">
        <v>365</v>
      </c>
      <c r="I770" t="s">
        <v>6137</v>
      </c>
      <c r="J770">
        <v>100</v>
      </c>
      <c r="K770" t="s">
        <v>5254</v>
      </c>
      <c r="L770" t="s">
        <v>180</v>
      </c>
      <c r="M770" t="s">
        <v>2827</v>
      </c>
      <c r="N770" t="s">
        <v>6138</v>
      </c>
      <c r="O770" t="s">
        <v>2828</v>
      </c>
      <c r="Q770" t="s">
        <v>6372</v>
      </c>
      <c r="R770">
        <f>1</f>
        <v>1</v>
      </c>
      <c r="S770">
        <f>15.8</f>
        <v>15.8</v>
      </c>
      <c r="T770">
        <f>7.9</f>
        <v>7.9</v>
      </c>
      <c r="U770">
        <f>273</f>
        <v>273</v>
      </c>
      <c r="X770">
        <f>0</f>
        <v>0</v>
      </c>
      <c r="Y770" t="s">
        <v>157</v>
      </c>
      <c r="Z770">
        <f>0</f>
        <v>0</v>
      </c>
      <c r="AA770">
        <f>25</f>
        <v>25</v>
      </c>
      <c r="AB770">
        <f>0</f>
        <v>0</v>
      </c>
      <c r="AD770">
        <f>0</f>
        <v>0</v>
      </c>
      <c r="AE770">
        <f>0</f>
        <v>0</v>
      </c>
      <c r="AH770" t="s">
        <v>157</v>
      </c>
      <c r="BI770" t="s">
        <v>167</v>
      </c>
    </row>
    <row r="771" spans="1:61" x14ac:dyDescent="0.25">
      <c r="A771" t="s">
        <v>2829</v>
      </c>
      <c r="B771" t="s">
        <v>148</v>
      </c>
      <c r="C771" s="1">
        <v>45754</v>
      </c>
      <c r="D771" t="s">
        <v>175</v>
      </c>
      <c r="E771" t="s">
        <v>176</v>
      </c>
      <c r="F771" t="s">
        <v>2830</v>
      </c>
      <c r="G771" t="s">
        <v>2831</v>
      </c>
      <c r="H771">
        <v>1518</v>
      </c>
      <c r="I771" t="s">
        <v>2832</v>
      </c>
      <c r="J771">
        <v>150</v>
      </c>
      <c r="K771" t="s">
        <v>5254</v>
      </c>
      <c r="M771" t="s">
        <v>2833</v>
      </c>
      <c r="N771" t="s">
        <v>2834</v>
      </c>
      <c r="O771" t="s">
        <v>2835</v>
      </c>
      <c r="Q771" t="s">
        <v>1097</v>
      </c>
      <c r="R771">
        <f>1</f>
        <v>1</v>
      </c>
      <c r="S771">
        <f>10.5</f>
        <v>10.5</v>
      </c>
      <c r="T771">
        <f>7.6</f>
        <v>7.6</v>
      </c>
      <c r="U771">
        <f>558</f>
        <v>558</v>
      </c>
      <c r="X771">
        <f>0</f>
        <v>0</v>
      </c>
      <c r="Y771" t="s">
        <v>157</v>
      </c>
      <c r="Z771">
        <f>0</f>
        <v>0</v>
      </c>
      <c r="AA771" t="s">
        <v>158</v>
      </c>
      <c r="AB771" t="s">
        <v>158</v>
      </c>
      <c r="AD771">
        <f>0</f>
        <v>0</v>
      </c>
      <c r="AE771">
        <f>0</f>
        <v>0</v>
      </c>
      <c r="BI771">
        <f>0.29</f>
        <v>0.28999999999999998</v>
      </c>
    </row>
    <row r="772" spans="1:61" x14ac:dyDescent="0.25">
      <c r="A772" t="s">
        <v>2836</v>
      </c>
      <c r="B772" t="s">
        <v>148</v>
      </c>
      <c r="C772" s="1">
        <v>45730</v>
      </c>
      <c r="D772" t="s">
        <v>175</v>
      </c>
      <c r="E772" t="s">
        <v>649</v>
      </c>
      <c r="F772" t="s">
        <v>685</v>
      </c>
      <c r="G772" t="s">
        <v>2837</v>
      </c>
      <c r="H772">
        <v>1527</v>
      </c>
      <c r="I772" t="s">
        <v>2838</v>
      </c>
      <c r="J772">
        <v>143</v>
      </c>
      <c r="K772" t="s">
        <v>5257</v>
      </c>
      <c r="L772" t="s">
        <v>393</v>
      </c>
      <c r="M772" t="s">
        <v>5560</v>
      </c>
      <c r="N772" t="s">
        <v>6139</v>
      </c>
      <c r="O772" t="s">
        <v>2839</v>
      </c>
      <c r="Q772" t="s">
        <v>2840</v>
      </c>
      <c r="R772">
        <f>1</f>
        <v>1</v>
      </c>
      <c r="S772">
        <f>9</f>
        <v>9</v>
      </c>
      <c r="T772">
        <f>8</f>
        <v>8</v>
      </c>
      <c r="U772">
        <f>624</f>
        <v>624</v>
      </c>
      <c r="X772">
        <f>1</f>
        <v>1</v>
      </c>
      <c r="Y772" t="s">
        <v>157</v>
      </c>
      <c r="Z772">
        <f>0</f>
        <v>0</v>
      </c>
      <c r="AA772" t="s">
        <v>158</v>
      </c>
      <c r="AB772" t="s">
        <v>158</v>
      </c>
      <c r="AC772">
        <f>0</f>
        <v>0</v>
      </c>
      <c r="AD772">
        <f>0</f>
        <v>0</v>
      </c>
      <c r="AE772">
        <f>0</f>
        <v>0</v>
      </c>
    </row>
    <row r="773" spans="1:61" x14ac:dyDescent="0.25">
      <c r="A773" t="s">
        <v>2841</v>
      </c>
      <c r="B773" t="s">
        <v>148</v>
      </c>
      <c r="C773" s="1">
        <v>45730</v>
      </c>
      <c r="D773" t="s">
        <v>175</v>
      </c>
      <c r="E773" t="s">
        <v>649</v>
      </c>
      <c r="F773" t="s">
        <v>685</v>
      </c>
      <c r="G773" t="s">
        <v>2842</v>
      </c>
      <c r="H773">
        <v>1532</v>
      </c>
      <c r="I773" t="s">
        <v>2842</v>
      </c>
      <c r="J773">
        <v>137</v>
      </c>
      <c r="K773" t="s">
        <v>5257</v>
      </c>
      <c r="L773" t="s">
        <v>393</v>
      </c>
      <c r="M773" t="s">
        <v>2842</v>
      </c>
      <c r="N773" t="s">
        <v>6140</v>
      </c>
      <c r="O773" t="s">
        <v>2843</v>
      </c>
      <c r="Q773" t="s">
        <v>2844</v>
      </c>
      <c r="R773">
        <f>1</f>
        <v>1</v>
      </c>
      <c r="S773">
        <f>9.3</f>
        <v>9.3000000000000007</v>
      </c>
      <c r="T773">
        <f>7.8</f>
        <v>7.8</v>
      </c>
      <c r="U773">
        <f>533</f>
        <v>533</v>
      </c>
      <c r="X773">
        <f>1</f>
        <v>1</v>
      </c>
      <c r="Y773" t="s">
        <v>157</v>
      </c>
      <c r="Z773">
        <f>0</f>
        <v>0</v>
      </c>
      <c r="AA773" t="s">
        <v>158</v>
      </c>
      <c r="AB773" t="s">
        <v>158</v>
      </c>
      <c r="AC773">
        <f>0</f>
        <v>0</v>
      </c>
      <c r="AD773">
        <f>0</f>
        <v>0</v>
      </c>
      <c r="AE773">
        <f>0</f>
        <v>0</v>
      </c>
    </row>
    <row r="774" spans="1:61" x14ac:dyDescent="0.25">
      <c r="A774" t="s">
        <v>2845</v>
      </c>
      <c r="B774" t="s">
        <v>148</v>
      </c>
      <c r="C774" s="1">
        <v>45740</v>
      </c>
      <c r="D774" t="s">
        <v>222</v>
      </c>
      <c r="E774" t="s">
        <v>223</v>
      </c>
      <c r="F774" t="s">
        <v>4723</v>
      </c>
      <c r="G774" t="s">
        <v>2846</v>
      </c>
      <c r="H774">
        <v>1535</v>
      </c>
      <c r="I774" t="s">
        <v>2846</v>
      </c>
      <c r="J774">
        <v>69</v>
      </c>
      <c r="K774" t="s">
        <v>5257</v>
      </c>
      <c r="L774" t="s">
        <v>4947</v>
      </c>
      <c r="M774" s="2" t="s">
        <v>5640</v>
      </c>
      <c r="N774" t="s">
        <v>2847</v>
      </c>
      <c r="O774" t="s">
        <v>2848</v>
      </c>
      <c r="R774">
        <f>1</f>
        <v>1</v>
      </c>
      <c r="S774">
        <f>8.3</f>
        <v>8.3000000000000007</v>
      </c>
      <c r="T774">
        <f>7.6</f>
        <v>7.6</v>
      </c>
      <c r="U774">
        <f>327</f>
        <v>327</v>
      </c>
      <c r="X774">
        <f>1</f>
        <v>1</v>
      </c>
      <c r="Y774">
        <f>0.16</f>
        <v>0.16</v>
      </c>
      <c r="Z774">
        <f>0</f>
        <v>0</v>
      </c>
      <c r="AA774">
        <f>0</f>
        <v>0</v>
      </c>
      <c r="AB774">
        <f>0</f>
        <v>0</v>
      </c>
      <c r="AC774">
        <f>0</f>
        <v>0</v>
      </c>
      <c r="AD774">
        <f>0</f>
        <v>0</v>
      </c>
      <c r="AE774">
        <f>0</f>
        <v>0</v>
      </c>
      <c r="AH774" t="s">
        <v>166</v>
      </c>
    </row>
    <row r="775" spans="1:61" x14ac:dyDescent="0.25">
      <c r="A775" t="s">
        <v>2849</v>
      </c>
      <c r="B775" t="s">
        <v>148</v>
      </c>
      <c r="C775" s="1">
        <v>45748</v>
      </c>
      <c r="D775" t="s">
        <v>175</v>
      </c>
      <c r="E775" t="s">
        <v>270</v>
      </c>
      <c r="F775" t="s">
        <v>354</v>
      </c>
      <c r="G775" t="s">
        <v>2850</v>
      </c>
      <c r="H775">
        <v>671</v>
      </c>
      <c r="I775" t="s">
        <v>2850</v>
      </c>
      <c r="J775">
        <v>146</v>
      </c>
      <c r="K775" t="s">
        <v>5257</v>
      </c>
      <c r="L775" t="s">
        <v>431</v>
      </c>
      <c r="M775" t="s">
        <v>6141</v>
      </c>
      <c r="N775" t="s">
        <v>4867</v>
      </c>
      <c r="O775" t="s">
        <v>2851</v>
      </c>
      <c r="Q775" t="s">
        <v>6410</v>
      </c>
      <c r="R775">
        <f>1</f>
        <v>1</v>
      </c>
      <c r="S775">
        <f>10.5</f>
        <v>10.5</v>
      </c>
      <c r="T775">
        <f>7.6</f>
        <v>7.6</v>
      </c>
      <c r="U775">
        <f>488</f>
        <v>488</v>
      </c>
      <c r="X775">
        <f>0</f>
        <v>0</v>
      </c>
      <c r="Y775">
        <f>0.87</f>
        <v>0.87</v>
      </c>
      <c r="Z775">
        <f>0</f>
        <v>0</v>
      </c>
      <c r="AA775" t="s">
        <v>158</v>
      </c>
      <c r="AB775" t="s">
        <v>158</v>
      </c>
      <c r="AC775">
        <f>0</f>
        <v>0</v>
      </c>
      <c r="AD775">
        <f>0</f>
        <v>0</v>
      </c>
      <c r="AE775">
        <f>0</f>
        <v>0</v>
      </c>
    </row>
    <row r="776" spans="1:61" x14ac:dyDescent="0.25">
      <c r="A776" t="s">
        <v>2852</v>
      </c>
      <c r="B776" t="s">
        <v>148</v>
      </c>
      <c r="C776" s="1">
        <v>45852</v>
      </c>
      <c r="D776" t="s">
        <v>222</v>
      </c>
      <c r="E776" t="s">
        <v>223</v>
      </c>
      <c r="F776" t="s">
        <v>469</v>
      </c>
      <c r="G776" t="s">
        <v>2853</v>
      </c>
      <c r="H776">
        <v>435</v>
      </c>
      <c r="I776" t="s">
        <v>2853</v>
      </c>
      <c r="J776">
        <v>80</v>
      </c>
      <c r="K776" t="s">
        <v>5257</v>
      </c>
      <c r="L776" t="s">
        <v>431</v>
      </c>
      <c r="M776" t="s">
        <v>5641</v>
      </c>
      <c r="N776" t="s">
        <v>4868</v>
      </c>
      <c r="O776" t="s">
        <v>2854</v>
      </c>
      <c r="R776">
        <f>1</f>
        <v>1</v>
      </c>
      <c r="S776">
        <f>19.3</f>
        <v>19.3</v>
      </c>
      <c r="T776">
        <f>8.5</f>
        <v>8.5</v>
      </c>
      <c r="U776">
        <f>168</f>
        <v>168</v>
      </c>
      <c r="X776">
        <f>1</f>
        <v>1</v>
      </c>
      <c r="Y776">
        <f>0.15</f>
        <v>0.15</v>
      </c>
      <c r="Z776">
        <f>0</f>
        <v>0</v>
      </c>
      <c r="AA776">
        <f>0</f>
        <v>0</v>
      </c>
      <c r="AB776">
        <f>0</f>
        <v>0</v>
      </c>
      <c r="AC776">
        <f>0</f>
        <v>0</v>
      </c>
      <c r="AD776">
        <f>0</f>
        <v>0</v>
      </c>
      <c r="AE776">
        <f>0</f>
        <v>0</v>
      </c>
      <c r="AH776" t="s">
        <v>166</v>
      </c>
    </row>
    <row r="777" spans="1:61" x14ac:dyDescent="0.25">
      <c r="A777" t="s">
        <v>2855</v>
      </c>
      <c r="B777" t="s">
        <v>148</v>
      </c>
      <c r="C777" s="1">
        <v>45736</v>
      </c>
      <c r="D777" t="s">
        <v>317</v>
      </c>
      <c r="E777" t="s">
        <v>318</v>
      </c>
      <c r="F777" t="s">
        <v>5042</v>
      </c>
      <c r="G777" t="s">
        <v>6781</v>
      </c>
      <c r="H777">
        <v>1105</v>
      </c>
      <c r="I777" t="s">
        <v>6781</v>
      </c>
      <c r="J777">
        <v>78</v>
      </c>
      <c r="K777" t="s">
        <v>5254</v>
      </c>
      <c r="L777" t="s">
        <v>180</v>
      </c>
      <c r="M777" t="s">
        <v>5642</v>
      </c>
      <c r="N777" t="s">
        <v>5043</v>
      </c>
      <c r="O777" t="s">
        <v>2856</v>
      </c>
      <c r="Q777" t="s">
        <v>2857</v>
      </c>
      <c r="R777">
        <f>1</f>
        <v>1</v>
      </c>
      <c r="S777">
        <f>7.8</f>
        <v>7.8</v>
      </c>
      <c r="T777">
        <f>7.9</f>
        <v>7.9</v>
      </c>
      <c r="U777">
        <f>361</f>
        <v>361</v>
      </c>
      <c r="X777">
        <f>0</f>
        <v>0</v>
      </c>
      <c r="Y777">
        <f>0.13</f>
        <v>0.13</v>
      </c>
      <c r="Z777">
        <f>0</f>
        <v>0</v>
      </c>
      <c r="AA777">
        <f>0</f>
        <v>0</v>
      </c>
      <c r="AB777">
        <f>0</f>
        <v>0</v>
      </c>
      <c r="AD777">
        <f>0</f>
        <v>0</v>
      </c>
      <c r="AE777">
        <f>0</f>
        <v>0</v>
      </c>
      <c r="AH777" t="s">
        <v>157</v>
      </c>
      <c r="BI777" t="s">
        <v>167</v>
      </c>
    </row>
    <row r="778" spans="1:61" x14ac:dyDescent="0.25">
      <c r="A778" t="s">
        <v>2858</v>
      </c>
      <c r="B778" t="s">
        <v>268</v>
      </c>
      <c r="C778" s="1">
        <v>45733</v>
      </c>
      <c r="D778" t="s">
        <v>242</v>
      </c>
      <c r="E778" t="s">
        <v>295</v>
      </c>
      <c r="F778" t="s">
        <v>764</v>
      </c>
      <c r="G778" t="s">
        <v>2859</v>
      </c>
      <c r="H778">
        <v>1546</v>
      </c>
      <c r="I778" t="s">
        <v>2859</v>
      </c>
      <c r="J778">
        <v>65</v>
      </c>
      <c r="K778" t="s">
        <v>5257</v>
      </c>
      <c r="L778" t="s">
        <v>393</v>
      </c>
      <c r="M778" t="s">
        <v>5044</v>
      </c>
      <c r="N778" t="s">
        <v>5643</v>
      </c>
      <c r="O778" t="s">
        <v>2860</v>
      </c>
      <c r="R778">
        <f>1</f>
        <v>1</v>
      </c>
      <c r="S778">
        <f>8.8</f>
        <v>8.8000000000000007</v>
      </c>
      <c r="T778">
        <f>7.5</f>
        <v>7.5</v>
      </c>
      <c r="U778">
        <f>540</f>
        <v>540</v>
      </c>
      <c r="X778">
        <f>0</f>
        <v>0</v>
      </c>
      <c r="Y778">
        <f>6.41</f>
        <v>6.41</v>
      </c>
      <c r="Z778">
        <f>0</f>
        <v>0</v>
      </c>
      <c r="AA778">
        <f>13</f>
        <v>13</v>
      </c>
      <c r="AB778">
        <f>13</f>
        <v>13</v>
      </c>
      <c r="AC778">
        <f>0</f>
        <v>0</v>
      </c>
      <c r="AD778">
        <f>0</f>
        <v>0</v>
      </c>
      <c r="AE778">
        <f>0</f>
        <v>0</v>
      </c>
    </row>
    <row r="779" spans="1:61" x14ac:dyDescent="0.25">
      <c r="A779" t="s">
        <v>2861</v>
      </c>
      <c r="B779" t="s">
        <v>148</v>
      </c>
      <c r="C779" s="1">
        <v>45750</v>
      </c>
      <c r="D779" t="s">
        <v>222</v>
      </c>
      <c r="E779" t="s">
        <v>223</v>
      </c>
      <c r="F779" t="s">
        <v>2862</v>
      </c>
      <c r="G779" t="s">
        <v>2863</v>
      </c>
      <c r="H779">
        <v>1299</v>
      </c>
      <c r="I779" t="s">
        <v>2863</v>
      </c>
      <c r="J779">
        <v>76</v>
      </c>
      <c r="K779" t="s">
        <v>5257</v>
      </c>
      <c r="L779" t="s">
        <v>180</v>
      </c>
      <c r="M779" t="s">
        <v>2864</v>
      </c>
      <c r="N779" t="s">
        <v>2865</v>
      </c>
      <c r="O779" t="s">
        <v>2866</v>
      </c>
      <c r="Q779" t="s">
        <v>5532</v>
      </c>
      <c r="R779">
        <f>1</f>
        <v>1</v>
      </c>
      <c r="S779">
        <f>9.6</f>
        <v>9.6</v>
      </c>
      <c r="T779">
        <f>8.1</f>
        <v>8.1</v>
      </c>
      <c r="U779">
        <f>203</f>
        <v>203</v>
      </c>
      <c r="X779">
        <f>1</f>
        <v>1</v>
      </c>
      <c r="Y779">
        <f>0.12</f>
        <v>0.12</v>
      </c>
      <c r="Z779">
        <f>0</f>
        <v>0</v>
      </c>
      <c r="AA779">
        <f>0</f>
        <v>0</v>
      </c>
      <c r="AB779">
        <f>0</f>
        <v>0</v>
      </c>
      <c r="AC779">
        <f>0</f>
        <v>0</v>
      </c>
      <c r="AD779">
        <f>0</f>
        <v>0</v>
      </c>
      <c r="AE779">
        <f>0</f>
        <v>0</v>
      </c>
      <c r="AH779" t="s">
        <v>166</v>
      </c>
      <c r="BI779" t="s">
        <v>157</v>
      </c>
    </row>
    <row r="780" spans="1:61" x14ac:dyDescent="0.25">
      <c r="A780" t="s">
        <v>2867</v>
      </c>
      <c r="B780" t="s">
        <v>148</v>
      </c>
      <c r="C780" s="1">
        <v>45741</v>
      </c>
      <c r="D780" t="s">
        <v>317</v>
      </c>
      <c r="E780" t="s">
        <v>318</v>
      </c>
      <c r="F780" t="s">
        <v>5213</v>
      </c>
      <c r="G780" t="s">
        <v>5213</v>
      </c>
      <c r="H780">
        <v>358</v>
      </c>
      <c r="I780" t="s">
        <v>5213</v>
      </c>
      <c r="J780">
        <v>74</v>
      </c>
      <c r="K780" t="s">
        <v>5254</v>
      </c>
      <c r="L780" t="s">
        <v>180</v>
      </c>
      <c r="M780" t="s">
        <v>2868</v>
      </c>
      <c r="N780" t="s">
        <v>6142</v>
      </c>
      <c r="O780" t="s">
        <v>2869</v>
      </c>
      <c r="Q780" t="s">
        <v>4970</v>
      </c>
      <c r="R780">
        <f>1</f>
        <v>1</v>
      </c>
      <c r="S780">
        <f>8.3</f>
        <v>8.3000000000000007</v>
      </c>
      <c r="T780">
        <f>7.7</f>
        <v>7.7</v>
      </c>
      <c r="U780">
        <f>382</f>
        <v>382</v>
      </c>
      <c r="X780">
        <f>0</f>
        <v>0</v>
      </c>
      <c r="Y780">
        <f>0.31</f>
        <v>0.31</v>
      </c>
      <c r="Z780">
        <f>0</f>
        <v>0</v>
      </c>
      <c r="AA780">
        <f>0</f>
        <v>0</v>
      </c>
      <c r="AB780">
        <f>0</f>
        <v>0</v>
      </c>
      <c r="AD780">
        <f>0</f>
        <v>0</v>
      </c>
      <c r="AE780">
        <f>0</f>
        <v>0</v>
      </c>
      <c r="AH780" t="s">
        <v>157</v>
      </c>
      <c r="BI780" t="s">
        <v>167</v>
      </c>
    </row>
    <row r="781" spans="1:61" x14ac:dyDescent="0.25">
      <c r="A781" t="s">
        <v>2870</v>
      </c>
      <c r="B781" t="s">
        <v>268</v>
      </c>
      <c r="C781" s="1">
        <v>45737</v>
      </c>
      <c r="D781" t="s">
        <v>242</v>
      </c>
      <c r="E781" t="s">
        <v>243</v>
      </c>
      <c r="F781" t="s">
        <v>2871</v>
      </c>
      <c r="G781" t="s">
        <v>2872</v>
      </c>
      <c r="H781">
        <v>1186</v>
      </c>
      <c r="I781" t="s">
        <v>2872</v>
      </c>
      <c r="J781">
        <v>90</v>
      </c>
      <c r="K781" t="s">
        <v>5254</v>
      </c>
      <c r="L781" t="s">
        <v>180</v>
      </c>
      <c r="M781" t="s">
        <v>5644</v>
      </c>
      <c r="N781" t="s">
        <v>2873</v>
      </c>
      <c r="O781" t="s">
        <v>2874</v>
      </c>
      <c r="R781">
        <f>1</f>
        <v>1</v>
      </c>
      <c r="S781">
        <f>7.1</f>
        <v>7.1</v>
      </c>
      <c r="T781">
        <f>8.1</f>
        <v>8.1</v>
      </c>
      <c r="U781">
        <f>283</f>
        <v>283</v>
      </c>
      <c r="X781">
        <f>0</f>
        <v>0</v>
      </c>
      <c r="Y781" t="s">
        <v>157</v>
      </c>
      <c r="Z781">
        <f>0</f>
        <v>0</v>
      </c>
      <c r="AA781">
        <f>14</f>
        <v>14</v>
      </c>
      <c r="AB781">
        <f>14</f>
        <v>14</v>
      </c>
      <c r="AD781">
        <f>0</f>
        <v>0</v>
      </c>
      <c r="AE781">
        <f>9</f>
        <v>9</v>
      </c>
      <c r="AH781" t="s">
        <v>157</v>
      </c>
      <c r="BI781" t="s">
        <v>836</v>
      </c>
    </row>
    <row r="782" spans="1:61" x14ac:dyDescent="0.25">
      <c r="A782" t="s">
        <v>2875</v>
      </c>
      <c r="B782" t="s">
        <v>148</v>
      </c>
      <c r="C782" s="1">
        <v>45748</v>
      </c>
      <c r="D782" t="s">
        <v>242</v>
      </c>
      <c r="E782" t="s">
        <v>295</v>
      </c>
      <c r="F782" t="s">
        <v>4944</v>
      </c>
      <c r="G782" t="s">
        <v>6411</v>
      </c>
      <c r="H782">
        <v>1548</v>
      </c>
      <c r="I782" t="s">
        <v>2876</v>
      </c>
      <c r="J782">
        <v>67</v>
      </c>
      <c r="K782" t="s">
        <v>5257</v>
      </c>
      <c r="L782" t="s">
        <v>431</v>
      </c>
      <c r="M782" s="2" t="s">
        <v>5645</v>
      </c>
      <c r="N782" t="s">
        <v>5646</v>
      </c>
      <c r="O782" t="s">
        <v>2877</v>
      </c>
      <c r="Q782" t="s">
        <v>2878</v>
      </c>
      <c r="R782">
        <f>1</f>
        <v>1</v>
      </c>
      <c r="S782">
        <f>9.1</f>
        <v>9.1</v>
      </c>
      <c r="T782">
        <f>7.8</f>
        <v>7.8</v>
      </c>
      <c r="U782">
        <f>448</f>
        <v>448</v>
      </c>
      <c r="X782">
        <f>0</f>
        <v>0</v>
      </c>
      <c r="Y782">
        <f>0.05</f>
        <v>0.05</v>
      </c>
      <c r="Z782">
        <f>0</f>
        <v>0</v>
      </c>
      <c r="AA782" t="s">
        <v>158</v>
      </c>
      <c r="AB782" t="s">
        <v>158</v>
      </c>
      <c r="AC782">
        <f>0</f>
        <v>0</v>
      </c>
      <c r="AD782">
        <f>0</f>
        <v>0</v>
      </c>
      <c r="AE782">
        <f>0</f>
        <v>0</v>
      </c>
    </row>
    <row r="783" spans="1:61" x14ac:dyDescent="0.25">
      <c r="A783" t="s">
        <v>2879</v>
      </c>
      <c r="B783" t="s">
        <v>148</v>
      </c>
      <c r="C783" s="1">
        <v>45743</v>
      </c>
      <c r="D783" t="s">
        <v>175</v>
      </c>
      <c r="E783" t="s">
        <v>649</v>
      </c>
      <c r="F783" t="s">
        <v>650</v>
      </c>
      <c r="G783" t="s">
        <v>5647</v>
      </c>
      <c r="H783">
        <v>1550</v>
      </c>
      <c r="I783" t="s">
        <v>5647</v>
      </c>
      <c r="J783">
        <v>111</v>
      </c>
      <c r="K783" t="s">
        <v>5254</v>
      </c>
      <c r="L783" t="s">
        <v>154</v>
      </c>
      <c r="M783" t="s">
        <v>5434</v>
      </c>
      <c r="N783" t="s">
        <v>5648</v>
      </c>
      <c r="O783" t="s">
        <v>2880</v>
      </c>
      <c r="R783">
        <f>1</f>
        <v>1</v>
      </c>
      <c r="S783">
        <f>10</f>
        <v>10</v>
      </c>
      <c r="T783">
        <f>8.1</f>
        <v>8.1</v>
      </c>
      <c r="U783">
        <f>384</f>
        <v>384</v>
      </c>
      <c r="X783">
        <f>0</f>
        <v>0</v>
      </c>
      <c r="Y783" t="s">
        <v>157</v>
      </c>
      <c r="Z783">
        <f>0</f>
        <v>0</v>
      </c>
      <c r="AA783">
        <f>46</f>
        <v>46</v>
      </c>
      <c r="AB783" t="s">
        <v>158</v>
      </c>
      <c r="AD783">
        <f>0</f>
        <v>0</v>
      </c>
      <c r="AE783">
        <f>0</f>
        <v>0</v>
      </c>
      <c r="AH783" t="s">
        <v>157</v>
      </c>
    </row>
    <row r="784" spans="1:61" x14ac:dyDescent="0.25">
      <c r="A784" t="s">
        <v>2881</v>
      </c>
      <c r="B784" t="s">
        <v>148</v>
      </c>
      <c r="C784" s="1">
        <v>45810</v>
      </c>
      <c r="D784" t="s">
        <v>269</v>
      </c>
      <c r="E784" t="s">
        <v>270</v>
      </c>
      <c r="F784" t="s">
        <v>6531</v>
      </c>
      <c r="G784" t="s">
        <v>2882</v>
      </c>
      <c r="H784">
        <v>1582</v>
      </c>
      <c r="I784" t="s">
        <v>2882</v>
      </c>
      <c r="J784">
        <v>80</v>
      </c>
      <c r="K784" t="s">
        <v>5254</v>
      </c>
      <c r="L784" t="s">
        <v>1586</v>
      </c>
      <c r="M784" t="s">
        <v>6143</v>
      </c>
      <c r="N784" t="s">
        <v>2883</v>
      </c>
      <c r="O784" t="s">
        <v>2884</v>
      </c>
      <c r="R784">
        <f>1</f>
        <v>1</v>
      </c>
      <c r="S784">
        <f>16.8</f>
        <v>16.8</v>
      </c>
      <c r="T784">
        <f>8.1</f>
        <v>8.1</v>
      </c>
      <c r="U784">
        <f>383</f>
        <v>383</v>
      </c>
      <c r="X784">
        <f>0</f>
        <v>0</v>
      </c>
      <c r="Y784" t="s">
        <v>207</v>
      </c>
      <c r="Z784">
        <f>0</f>
        <v>0</v>
      </c>
      <c r="AA784" t="s">
        <v>158</v>
      </c>
      <c r="AB784" t="s">
        <v>158</v>
      </c>
      <c r="AD784">
        <f>0</f>
        <v>0</v>
      </c>
      <c r="AE784">
        <f>0</f>
        <v>0</v>
      </c>
      <c r="AH784" t="s">
        <v>166</v>
      </c>
      <c r="BB784">
        <f>42</f>
        <v>42</v>
      </c>
    </row>
    <row r="785" spans="1:61" x14ac:dyDescent="0.25">
      <c r="A785" t="s">
        <v>2885</v>
      </c>
      <c r="B785" t="s">
        <v>148</v>
      </c>
      <c r="C785" s="1">
        <v>45751</v>
      </c>
      <c r="D785" t="s">
        <v>311</v>
      </c>
      <c r="E785" t="s">
        <v>312</v>
      </c>
      <c r="F785" t="s">
        <v>4780</v>
      </c>
      <c r="G785" t="s">
        <v>2886</v>
      </c>
      <c r="H785">
        <v>1558</v>
      </c>
      <c r="I785" t="s">
        <v>2886</v>
      </c>
      <c r="J785">
        <v>5</v>
      </c>
      <c r="K785" t="s">
        <v>5257</v>
      </c>
      <c r="L785" t="s">
        <v>4775</v>
      </c>
      <c r="M785" t="s">
        <v>2887</v>
      </c>
      <c r="N785" t="s">
        <v>4869</v>
      </c>
      <c r="O785" t="s">
        <v>2888</v>
      </c>
      <c r="R785">
        <f>1</f>
        <v>1</v>
      </c>
      <c r="S785">
        <f>10.4</f>
        <v>10.4</v>
      </c>
      <c r="T785">
        <f>7.5</f>
        <v>7.5</v>
      </c>
      <c r="U785">
        <f>288</f>
        <v>288</v>
      </c>
      <c r="X785">
        <f>0</f>
        <v>0</v>
      </c>
      <c r="Y785" t="s">
        <v>157</v>
      </c>
      <c r="Z785">
        <f>0</f>
        <v>0</v>
      </c>
      <c r="AA785" t="s">
        <v>158</v>
      </c>
      <c r="AB785" t="s">
        <v>158</v>
      </c>
      <c r="AC785">
        <f>0</f>
        <v>0</v>
      </c>
      <c r="AD785">
        <f>0</f>
        <v>0</v>
      </c>
      <c r="AE785">
        <f>0</f>
        <v>0</v>
      </c>
      <c r="AH785" t="s">
        <v>157</v>
      </c>
    </row>
    <row r="786" spans="1:61" x14ac:dyDescent="0.25">
      <c r="A786" t="s">
        <v>2889</v>
      </c>
      <c r="B786" t="s">
        <v>148</v>
      </c>
      <c r="C786" s="1">
        <v>45736</v>
      </c>
      <c r="D786" t="s">
        <v>269</v>
      </c>
      <c r="E786" t="s">
        <v>295</v>
      </c>
      <c r="F786" t="s">
        <v>5045</v>
      </c>
      <c r="G786" t="s">
        <v>5214</v>
      </c>
      <c r="H786">
        <v>491</v>
      </c>
      <c r="I786" t="s">
        <v>5214</v>
      </c>
      <c r="J786">
        <v>68</v>
      </c>
      <c r="K786" t="s">
        <v>5257</v>
      </c>
      <c r="L786" t="s">
        <v>431</v>
      </c>
      <c r="M786" t="s">
        <v>5046</v>
      </c>
      <c r="N786" t="s">
        <v>5047</v>
      </c>
      <c r="O786" t="s">
        <v>2890</v>
      </c>
      <c r="R786">
        <f>1</f>
        <v>1</v>
      </c>
      <c r="S786">
        <f>9.6</f>
        <v>9.6</v>
      </c>
      <c r="T786">
        <f>7.7</f>
        <v>7.7</v>
      </c>
      <c r="U786">
        <f>185</f>
        <v>185</v>
      </c>
      <c r="X786">
        <f>0</f>
        <v>0</v>
      </c>
      <c r="Y786">
        <f>0.32</f>
        <v>0.32</v>
      </c>
      <c r="Z786">
        <f>0</f>
        <v>0</v>
      </c>
      <c r="AA786" t="s">
        <v>158</v>
      </c>
      <c r="AB786" t="s">
        <v>158</v>
      </c>
      <c r="AC786">
        <f>0</f>
        <v>0</v>
      </c>
      <c r="AD786">
        <f>0</f>
        <v>0</v>
      </c>
      <c r="AE786">
        <f>0</f>
        <v>0</v>
      </c>
      <c r="BI786" t="s">
        <v>157</v>
      </c>
    </row>
    <row r="787" spans="1:61" x14ac:dyDescent="0.25">
      <c r="A787" t="s">
        <v>2891</v>
      </c>
      <c r="B787" t="s">
        <v>268</v>
      </c>
      <c r="C787" s="1">
        <v>45743</v>
      </c>
      <c r="D787" t="s">
        <v>175</v>
      </c>
      <c r="E787" t="s">
        <v>649</v>
      </c>
      <c r="F787" t="s">
        <v>2477</v>
      </c>
      <c r="G787" t="s">
        <v>2892</v>
      </c>
      <c r="H787">
        <v>1615</v>
      </c>
      <c r="I787" t="s">
        <v>2893</v>
      </c>
      <c r="J787">
        <v>132</v>
      </c>
      <c r="K787" t="s">
        <v>5257</v>
      </c>
      <c r="M787" t="s">
        <v>2894</v>
      </c>
      <c r="N787" t="s">
        <v>2895</v>
      </c>
      <c r="O787" t="s">
        <v>2896</v>
      </c>
      <c r="R787">
        <f>1</f>
        <v>1</v>
      </c>
      <c r="S787">
        <f>8.9</f>
        <v>8.9</v>
      </c>
      <c r="T787">
        <f>8.1</f>
        <v>8.1</v>
      </c>
      <c r="U787">
        <f>283</f>
        <v>283</v>
      </c>
      <c r="X787">
        <f>0</f>
        <v>0</v>
      </c>
      <c r="Y787">
        <f>1.01</f>
        <v>1.01</v>
      </c>
      <c r="Z787">
        <f>0</f>
        <v>0</v>
      </c>
      <c r="AA787">
        <f>78</f>
        <v>78</v>
      </c>
      <c r="AB787" t="s">
        <v>158</v>
      </c>
      <c r="AC787">
        <f>0</f>
        <v>0</v>
      </c>
      <c r="AD787">
        <f>0</f>
        <v>0</v>
      </c>
      <c r="AE787" t="s">
        <v>1845</v>
      </c>
      <c r="AH787" t="s">
        <v>157</v>
      </c>
    </row>
    <row r="788" spans="1:61" x14ac:dyDescent="0.25">
      <c r="A788" t="s">
        <v>2897</v>
      </c>
      <c r="B788" t="s">
        <v>268</v>
      </c>
      <c r="C788" s="1">
        <v>45737</v>
      </c>
      <c r="D788" t="s">
        <v>242</v>
      </c>
      <c r="E788" t="s">
        <v>243</v>
      </c>
      <c r="F788" t="s">
        <v>4870</v>
      </c>
      <c r="G788" t="s">
        <v>6144</v>
      </c>
      <c r="H788">
        <v>1621</v>
      </c>
      <c r="I788" t="s">
        <v>6144</v>
      </c>
      <c r="J788">
        <v>110</v>
      </c>
      <c r="K788" t="s">
        <v>5257</v>
      </c>
      <c r="M788" t="s">
        <v>6144</v>
      </c>
      <c r="N788" t="s">
        <v>2898</v>
      </c>
      <c r="O788" t="s">
        <v>2899</v>
      </c>
      <c r="Q788" t="s">
        <v>6365</v>
      </c>
      <c r="R788">
        <f>1</f>
        <v>1</v>
      </c>
      <c r="S788">
        <f>9.3</f>
        <v>9.3000000000000007</v>
      </c>
      <c r="T788">
        <f>7.4</f>
        <v>7.4</v>
      </c>
      <c r="U788">
        <f>358</f>
        <v>358</v>
      </c>
      <c r="X788">
        <f>0</f>
        <v>0</v>
      </c>
      <c r="Y788">
        <f>3.03</f>
        <v>3.03</v>
      </c>
      <c r="Z788">
        <f>0</f>
        <v>0</v>
      </c>
      <c r="AA788">
        <f>228</f>
        <v>228</v>
      </c>
      <c r="AB788">
        <f>127</f>
        <v>127</v>
      </c>
      <c r="AC788">
        <f>6</f>
        <v>6</v>
      </c>
      <c r="AD788">
        <f>8</f>
        <v>8</v>
      </c>
      <c r="AE788" t="s">
        <v>1845</v>
      </c>
      <c r="AH788" t="s">
        <v>157</v>
      </c>
      <c r="BI788" t="s">
        <v>836</v>
      </c>
    </row>
    <row r="789" spans="1:61" x14ac:dyDescent="0.25">
      <c r="A789" t="s">
        <v>2900</v>
      </c>
      <c r="B789" t="s">
        <v>148</v>
      </c>
      <c r="C789" s="1">
        <v>45775</v>
      </c>
      <c r="D789" t="s">
        <v>242</v>
      </c>
      <c r="E789" t="s">
        <v>243</v>
      </c>
      <c r="F789" t="s">
        <v>2499</v>
      </c>
      <c r="G789" t="s">
        <v>2500</v>
      </c>
      <c r="H789">
        <v>1625</v>
      </c>
      <c r="I789" t="s">
        <v>2901</v>
      </c>
      <c r="J789">
        <v>70</v>
      </c>
      <c r="K789" t="s">
        <v>5254</v>
      </c>
      <c r="M789" t="s">
        <v>2902</v>
      </c>
      <c r="N789" t="s">
        <v>6145</v>
      </c>
      <c r="O789" t="s">
        <v>2903</v>
      </c>
      <c r="Q789" t="s">
        <v>6412</v>
      </c>
      <c r="R789">
        <f>1</f>
        <v>1</v>
      </c>
      <c r="S789">
        <f>11.2</f>
        <v>11.2</v>
      </c>
      <c r="T789">
        <f>7.4</f>
        <v>7.4</v>
      </c>
      <c r="U789">
        <f>183</f>
        <v>183</v>
      </c>
      <c r="X789">
        <f>0</f>
        <v>0</v>
      </c>
      <c r="Y789" t="s">
        <v>157</v>
      </c>
      <c r="Z789">
        <f>0</f>
        <v>0</v>
      </c>
      <c r="AA789" t="s">
        <v>158</v>
      </c>
      <c r="AB789" t="s">
        <v>158</v>
      </c>
      <c r="AD789">
        <f>0</f>
        <v>0</v>
      </c>
      <c r="AE789">
        <f>0</f>
        <v>0</v>
      </c>
      <c r="AH789" t="s">
        <v>157</v>
      </c>
      <c r="BI789" t="s">
        <v>836</v>
      </c>
    </row>
    <row r="790" spans="1:61" x14ac:dyDescent="0.25">
      <c r="A790" t="s">
        <v>2904</v>
      </c>
      <c r="B790" t="s">
        <v>148</v>
      </c>
      <c r="C790" s="1">
        <v>45743</v>
      </c>
      <c r="D790" t="s">
        <v>242</v>
      </c>
      <c r="E790" t="s">
        <v>295</v>
      </c>
      <c r="F790" t="s">
        <v>4944</v>
      </c>
      <c r="G790" t="s">
        <v>5215</v>
      </c>
      <c r="H790">
        <v>1424</v>
      </c>
      <c r="I790" t="s">
        <v>5215</v>
      </c>
      <c r="J790">
        <v>86</v>
      </c>
      <c r="K790" t="s">
        <v>5254</v>
      </c>
      <c r="L790" t="s">
        <v>431</v>
      </c>
      <c r="M790" t="s">
        <v>5649</v>
      </c>
      <c r="N790" t="s">
        <v>5048</v>
      </c>
      <c r="O790" t="s">
        <v>2905</v>
      </c>
      <c r="Q790" t="s">
        <v>2906</v>
      </c>
      <c r="R790">
        <f>1</f>
        <v>1</v>
      </c>
      <c r="S790">
        <f>9.9</f>
        <v>9.9</v>
      </c>
      <c r="T790">
        <f>7.4</f>
        <v>7.4</v>
      </c>
      <c r="U790">
        <f>618</f>
        <v>618</v>
      </c>
      <c r="X790">
        <f>0</f>
        <v>0</v>
      </c>
      <c r="Y790">
        <f>0.12</f>
        <v>0.12</v>
      </c>
      <c r="Z790">
        <f>0</f>
        <v>0</v>
      </c>
      <c r="AA790" t="s">
        <v>158</v>
      </c>
      <c r="AB790" t="s">
        <v>158</v>
      </c>
      <c r="AD790">
        <f>0</f>
        <v>0</v>
      </c>
      <c r="AE790">
        <f>0</f>
        <v>0</v>
      </c>
    </row>
    <row r="791" spans="1:61" x14ac:dyDescent="0.25">
      <c r="A791" t="s">
        <v>2907</v>
      </c>
      <c r="B791" t="s">
        <v>148</v>
      </c>
      <c r="C791" s="1">
        <v>45728</v>
      </c>
      <c r="D791" t="s">
        <v>317</v>
      </c>
      <c r="E791" t="s">
        <v>318</v>
      </c>
      <c r="F791" t="s">
        <v>4828</v>
      </c>
      <c r="G791" t="s">
        <v>2908</v>
      </c>
      <c r="H791">
        <v>1611</v>
      </c>
      <c r="I791" t="s">
        <v>2908</v>
      </c>
      <c r="J791">
        <v>100</v>
      </c>
      <c r="K791" t="s">
        <v>5257</v>
      </c>
      <c r="M791" t="s">
        <v>4871</v>
      </c>
      <c r="N791" t="s">
        <v>2909</v>
      </c>
      <c r="O791" t="s">
        <v>2910</v>
      </c>
      <c r="Q791" t="s">
        <v>845</v>
      </c>
      <c r="R791">
        <f>1</f>
        <v>1</v>
      </c>
      <c r="S791">
        <f>6.5</f>
        <v>6.5</v>
      </c>
      <c r="T791">
        <f>7.6</f>
        <v>7.6</v>
      </c>
      <c r="U791">
        <f>434</f>
        <v>434</v>
      </c>
      <c r="X791">
        <f>0</f>
        <v>0</v>
      </c>
      <c r="Y791" t="s">
        <v>157</v>
      </c>
      <c r="Z791">
        <f>0</f>
        <v>0</v>
      </c>
      <c r="AA791">
        <f>0</f>
        <v>0</v>
      </c>
      <c r="AB791">
        <f>0</f>
        <v>0</v>
      </c>
      <c r="AC791">
        <f>0</f>
        <v>0</v>
      </c>
      <c r="AD791">
        <f>0</f>
        <v>0</v>
      </c>
      <c r="AE791">
        <f>0</f>
        <v>0</v>
      </c>
      <c r="AH791" t="s">
        <v>157</v>
      </c>
      <c r="BI791" t="s">
        <v>167</v>
      </c>
    </row>
    <row r="792" spans="1:61" x14ac:dyDescent="0.25">
      <c r="A792" t="s">
        <v>2911</v>
      </c>
      <c r="B792" t="s">
        <v>148</v>
      </c>
      <c r="C792" s="1">
        <v>45754</v>
      </c>
      <c r="D792" t="s">
        <v>175</v>
      </c>
      <c r="E792" t="s">
        <v>649</v>
      </c>
      <c r="F792" t="s">
        <v>685</v>
      </c>
      <c r="G792" t="s">
        <v>5650</v>
      </c>
      <c r="H792">
        <v>1639</v>
      </c>
      <c r="I792" t="s">
        <v>5650</v>
      </c>
      <c r="J792">
        <v>130</v>
      </c>
      <c r="K792" t="s">
        <v>5254</v>
      </c>
      <c r="L792" t="s">
        <v>431</v>
      </c>
      <c r="M792" t="s">
        <v>2912</v>
      </c>
      <c r="N792" t="s">
        <v>5651</v>
      </c>
      <c r="O792" t="s">
        <v>2913</v>
      </c>
      <c r="Q792" t="s">
        <v>6413</v>
      </c>
      <c r="R792">
        <f>1</f>
        <v>1</v>
      </c>
      <c r="S792">
        <f>10.4</f>
        <v>10.4</v>
      </c>
      <c r="T792">
        <f>7.7</f>
        <v>7.7</v>
      </c>
      <c r="U792">
        <f>515</f>
        <v>515</v>
      </c>
      <c r="X792">
        <f>0</f>
        <v>0</v>
      </c>
      <c r="Y792" t="s">
        <v>157</v>
      </c>
      <c r="Z792">
        <f>0</f>
        <v>0</v>
      </c>
      <c r="AA792" t="s">
        <v>158</v>
      </c>
      <c r="AB792" t="s">
        <v>158</v>
      </c>
      <c r="AD792">
        <f>0</f>
        <v>0</v>
      </c>
      <c r="AE792">
        <f>0</f>
        <v>0</v>
      </c>
    </row>
    <row r="793" spans="1:61" x14ac:dyDescent="0.25">
      <c r="A793" t="s">
        <v>2914</v>
      </c>
      <c r="B793" t="s">
        <v>148</v>
      </c>
      <c r="C793" s="1">
        <v>45730</v>
      </c>
      <c r="D793" t="s">
        <v>175</v>
      </c>
      <c r="E793" t="s">
        <v>649</v>
      </c>
      <c r="F793" t="s">
        <v>685</v>
      </c>
      <c r="G793" t="s">
        <v>6146</v>
      </c>
      <c r="H793">
        <v>1528</v>
      </c>
      <c r="I793" t="s">
        <v>6146</v>
      </c>
      <c r="J793">
        <v>139</v>
      </c>
      <c r="K793" t="s">
        <v>5257</v>
      </c>
      <c r="L793" t="s">
        <v>431</v>
      </c>
      <c r="M793" t="s">
        <v>2915</v>
      </c>
      <c r="N793" t="s">
        <v>6147</v>
      </c>
      <c r="O793" t="s">
        <v>2916</v>
      </c>
      <c r="R793">
        <f>1</f>
        <v>1</v>
      </c>
      <c r="S793">
        <f>9.2</f>
        <v>9.1999999999999993</v>
      </c>
      <c r="T793">
        <f>6.8</f>
        <v>6.8</v>
      </c>
      <c r="U793">
        <f>143</f>
        <v>143</v>
      </c>
      <c r="X793">
        <f>1</f>
        <v>1</v>
      </c>
      <c r="Y793" t="s">
        <v>157</v>
      </c>
      <c r="Z793">
        <f>0</f>
        <v>0</v>
      </c>
      <c r="AA793" t="s">
        <v>158</v>
      </c>
      <c r="AB793" t="s">
        <v>158</v>
      </c>
      <c r="AC793">
        <f>0</f>
        <v>0</v>
      </c>
      <c r="AD793">
        <f>0</f>
        <v>0</v>
      </c>
      <c r="AE793">
        <f>0</f>
        <v>0</v>
      </c>
    </row>
    <row r="794" spans="1:61" x14ac:dyDescent="0.25">
      <c r="A794" t="s">
        <v>2917</v>
      </c>
      <c r="B794" t="s">
        <v>148</v>
      </c>
      <c r="C794" s="1">
        <v>45758</v>
      </c>
      <c r="D794" t="s">
        <v>242</v>
      </c>
      <c r="E794" t="s">
        <v>243</v>
      </c>
      <c r="F794" t="s">
        <v>4727</v>
      </c>
      <c r="G794" t="s">
        <v>6587</v>
      </c>
      <c r="H794">
        <v>1653</v>
      </c>
      <c r="I794" t="s">
        <v>5216</v>
      </c>
      <c r="J794">
        <v>92</v>
      </c>
      <c r="K794" t="s">
        <v>5254</v>
      </c>
      <c r="L794" t="s">
        <v>393</v>
      </c>
      <c r="M794" t="s">
        <v>4872</v>
      </c>
      <c r="N794" t="s">
        <v>4873</v>
      </c>
      <c r="O794" t="s">
        <v>2918</v>
      </c>
      <c r="Q794" t="s">
        <v>6414</v>
      </c>
      <c r="R794">
        <f>1</f>
        <v>1</v>
      </c>
      <c r="S794">
        <f>11.9</f>
        <v>11.9</v>
      </c>
      <c r="T794">
        <f>8</f>
        <v>8</v>
      </c>
      <c r="U794">
        <f>304</f>
        <v>304</v>
      </c>
      <c r="X794">
        <f>1</f>
        <v>1</v>
      </c>
      <c r="Y794" t="s">
        <v>157</v>
      </c>
      <c r="Z794">
        <f>0</f>
        <v>0</v>
      </c>
      <c r="AA794" t="s">
        <v>158</v>
      </c>
      <c r="AB794" t="s">
        <v>158</v>
      </c>
      <c r="AD794">
        <f>0</f>
        <v>0</v>
      </c>
      <c r="AE794">
        <f>0</f>
        <v>0</v>
      </c>
      <c r="AH794" t="s">
        <v>157</v>
      </c>
    </row>
    <row r="795" spans="1:61" x14ac:dyDescent="0.25">
      <c r="A795" t="s">
        <v>2919</v>
      </c>
      <c r="B795" t="s">
        <v>268</v>
      </c>
      <c r="C795" s="1">
        <v>45743</v>
      </c>
      <c r="D795" t="s">
        <v>175</v>
      </c>
      <c r="E795" t="s">
        <v>176</v>
      </c>
      <c r="F795" t="s">
        <v>556</v>
      </c>
      <c r="G795" t="s">
        <v>5217</v>
      </c>
      <c r="H795">
        <v>1006</v>
      </c>
      <c r="I795" t="s">
        <v>5218</v>
      </c>
      <c r="J795">
        <v>146</v>
      </c>
      <c r="K795" t="s">
        <v>5254</v>
      </c>
      <c r="L795" t="s">
        <v>393</v>
      </c>
      <c r="M795" t="s">
        <v>2920</v>
      </c>
      <c r="N795" t="s">
        <v>5219</v>
      </c>
      <c r="O795" t="s">
        <v>2921</v>
      </c>
      <c r="Q795" t="s">
        <v>4970</v>
      </c>
      <c r="R795">
        <f>1</f>
        <v>1</v>
      </c>
      <c r="S795">
        <f>10.5</f>
        <v>10.5</v>
      </c>
      <c r="T795">
        <f>7.9</f>
        <v>7.9</v>
      </c>
      <c r="U795">
        <f>342</f>
        <v>342</v>
      </c>
      <c r="X795">
        <f>0</f>
        <v>0</v>
      </c>
      <c r="Y795">
        <f>0.2</f>
        <v>0.2</v>
      </c>
      <c r="Z795">
        <f>0</f>
        <v>0</v>
      </c>
      <c r="AA795" t="s">
        <v>158</v>
      </c>
      <c r="AB795" t="s">
        <v>158</v>
      </c>
      <c r="AD795">
        <f>0</f>
        <v>0</v>
      </c>
      <c r="AE795">
        <f>0</f>
        <v>0</v>
      </c>
      <c r="BI795">
        <f>16</f>
        <v>16</v>
      </c>
    </row>
    <row r="796" spans="1:61" x14ac:dyDescent="0.25">
      <c r="A796" t="s">
        <v>2922</v>
      </c>
      <c r="B796" t="s">
        <v>148</v>
      </c>
      <c r="C796" s="1">
        <v>45733</v>
      </c>
      <c r="D796" t="s">
        <v>269</v>
      </c>
      <c r="E796" t="s">
        <v>270</v>
      </c>
      <c r="F796" t="s">
        <v>754</v>
      </c>
      <c r="G796" t="s">
        <v>2923</v>
      </c>
      <c r="H796">
        <v>1645</v>
      </c>
      <c r="I796" t="s">
        <v>2923</v>
      </c>
      <c r="J796">
        <v>60</v>
      </c>
      <c r="K796" t="s">
        <v>5254</v>
      </c>
      <c r="L796" t="s">
        <v>431</v>
      </c>
      <c r="M796" t="s">
        <v>5652</v>
      </c>
      <c r="N796" t="s">
        <v>2924</v>
      </c>
      <c r="O796" t="s">
        <v>2925</v>
      </c>
      <c r="R796">
        <f>1</f>
        <v>1</v>
      </c>
      <c r="S796">
        <f>10</f>
        <v>10</v>
      </c>
      <c r="T796">
        <f>7.6</f>
        <v>7.6</v>
      </c>
      <c r="U796">
        <f>566</f>
        <v>566</v>
      </c>
      <c r="X796">
        <f>0</f>
        <v>0</v>
      </c>
      <c r="Y796">
        <f>0.06</f>
        <v>0.06</v>
      </c>
      <c r="Z796">
        <f>0</f>
        <v>0</v>
      </c>
      <c r="AA796" t="s">
        <v>158</v>
      </c>
      <c r="AB796" t="s">
        <v>158</v>
      </c>
      <c r="AD796">
        <f>0</f>
        <v>0</v>
      </c>
      <c r="AE796">
        <f>0</f>
        <v>0</v>
      </c>
    </row>
    <row r="797" spans="1:61" x14ac:dyDescent="0.25">
      <c r="A797" t="s">
        <v>2926</v>
      </c>
      <c r="B797" t="s">
        <v>148</v>
      </c>
      <c r="C797" s="1">
        <v>45735</v>
      </c>
      <c r="D797" t="s">
        <v>317</v>
      </c>
      <c r="E797" t="s">
        <v>318</v>
      </c>
      <c r="F797" t="s">
        <v>5108</v>
      </c>
      <c r="G797" t="s">
        <v>2927</v>
      </c>
      <c r="H797">
        <v>116</v>
      </c>
      <c r="I797" t="s">
        <v>2927</v>
      </c>
      <c r="J797">
        <v>90</v>
      </c>
      <c r="K797" t="s">
        <v>5254</v>
      </c>
      <c r="L797" t="s">
        <v>180</v>
      </c>
      <c r="M797" t="s">
        <v>2928</v>
      </c>
      <c r="N797" t="s">
        <v>5220</v>
      </c>
      <c r="O797" t="s">
        <v>2929</v>
      </c>
      <c r="Q797" t="s">
        <v>845</v>
      </c>
      <c r="R797">
        <f>1</f>
        <v>1</v>
      </c>
      <c r="S797">
        <f>6.7</f>
        <v>6.7</v>
      </c>
      <c r="T797">
        <f>8</f>
        <v>8</v>
      </c>
      <c r="U797">
        <f>242</f>
        <v>242</v>
      </c>
      <c r="X797">
        <f>0</f>
        <v>0</v>
      </c>
      <c r="Y797" t="s">
        <v>157</v>
      </c>
      <c r="Z797">
        <f>0</f>
        <v>0</v>
      </c>
      <c r="AA797">
        <f>0</f>
        <v>0</v>
      </c>
      <c r="AB797">
        <f>0</f>
        <v>0</v>
      </c>
      <c r="AD797">
        <f>0</f>
        <v>0</v>
      </c>
      <c r="AE797">
        <f>0</f>
        <v>0</v>
      </c>
      <c r="AH797" t="s">
        <v>157</v>
      </c>
    </row>
    <row r="798" spans="1:61" x14ac:dyDescent="0.25">
      <c r="A798" t="s">
        <v>2930</v>
      </c>
      <c r="B798" t="s">
        <v>148</v>
      </c>
      <c r="C798" s="1">
        <v>45735</v>
      </c>
      <c r="D798" t="s">
        <v>317</v>
      </c>
      <c r="E798" t="s">
        <v>318</v>
      </c>
      <c r="F798" t="s">
        <v>6566</v>
      </c>
      <c r="G798" t="s">
        <v>5221</v>
      </c>
      <c r="H798">
        <v>627</v>
      </c>
      <c r="I798" t="s">
        <v>5221</v>
      </c>
      <c r="J798">
        <v>100</v>
      </c>
      <c r="K798" t="s">
        <v>5254</v>
      </c>
      <c r="L798" t="s">
        <v>4966</v>
      </c>
      <c r="M798" t="s">
        <v>5384</v>
      </c>
      <c r="N798" t="s">
        <v>5222</v>
      </c>
      <c r="O798" t="s">
        <v>2931</v>
      </c>
      <c r="Q798" t="s">
        <v>6415</v>
      </c>
      <c r="R798">
        <f>1</f>
        <v>1</v>
      </c>
      <c r="S798">
        <f>8</f>
        <v>8</v>
      </c>
      <c r="T798">
        <f>7</f>
        <v>7</v>
      </c>
      <c r="U798">
        <f>25</f>
        <v>25</v>
      </c>
      <c r="X798">
        <f>0</f>
        <v>0</v>
      </c>
      <c r="Y798">
        <f>0.31</f>
        <v>0.31</v>
      </c>
      <c r="Z798">
        <f>0</f>
        <v>0</v>
      </c>
      <c r="AA798">
        <f>7</f>
        <v>7</v>
      </c>
      <c r="AB798">
        <f>6</f>
        <v>6</v>
      </c>
      <c r="AD798">
        <f>0</f>
        <v>0</v>
      </c>
      <c r="AE798">
        <f>0</f>
        <v>0</v>
      </c>
      <c r="AH798" t="s">
        <v>157</v>
      </c>
    </row>
    <row r="799" spans="1:61" x14ac:dyDescent="0.25">
      <c r="A799" t="s">
        <v>2932</v>
      </c>
      <c r="B799" t="s">
        <v>148</v>
      </c>
      <c r="C799" s="1">
        <v>45735</v>
      </c>
      <c r="D799" t="s">
        <v>317</v>
      </c>
      <c r="E799" t="s">
        <v>318</v>
      </c>
      <c r="F799" t="s">
        <v>6566</v>
      </c>
      <c r="G799" t="s">
        <v>5223</v>
      </c>
      <c r="H799">
        <v>626</v>
      </c>
      <c r="I799" t="s">
        <v>5223</v>
      </c>
      <c r="J799">
        <v>73</v>
      </c>
      <c r="K799" t="s">
        <v>5254</v>
      </c>
      <c r="L799" t="s">
        <v>4966</v>
      </c>
      <c r="M799" t="s">
        <v>5384</v>
      </c>
      <c r="N799" t="s">
        <v>5224</v>
      </c>
      <c r="O799" t="s">
        <v>2933</v>
      </c>
      <c r="Q799" t="s">
        <v>2934</v>
      </c>
      <c r="R799">
        <f>1</f>
        <v>1</v>
      </c>
      <c r="S799">
        <f>7.8</f>
        <v>7.8</v>
      </c>
      <c r="T799">
        <f>6.5</f>
        <v>6.5</v>
      </c>
      <c r="U799">
        <f>22</f>
        <v>22</v>
      </c>
      <c r="X799">
        <f>0</f>
        <v>0</v>
      </c>
      <c r="Y799" t="s">
        <v>157</v>
      </c>
      <c r="Z799">
        <f>0</f>
        <v>0</v>
      </c>
      <c r="AA799">
        <f>4</f>
        <v>4</v>
      </c>
      <c r="AB799">
        <f>4</f>
        <v>4</v>
      </c>
      <c r="AD799">
        <f>0</f>
        <v>0</v>
      </c>
      <c r="AE799">
        <f>0</f>
        <v>0</v>
      </c>
      <c r="AH799" t="s">
        <v>157</v>
      </c>
    </row>
    <row r="800" spans="1:61" x14ac:dyDescent="0.25">
      <c r="A800" t="s">
        <v>2935</v>
      </c>
      <c r="B800" t="s">
        <v>268</v>
      </c>
      <c r="C800" s="1">
        <v>45735</v>
      </c>
      <c r="D800" t="s">
        <v>317</v>
      </c>
      <c r="E800" t="s">
        <v>318</v>
      </c>
      <c r="F800" t="s">
        <v>6566</v>
      </c>
      <c r="G800" t="s">
        <v>2936</v>
      </c>
      <c r="H800">
        <v>623</v>
      </c>
      <c r="I800" t="s">
        <v>2936</v>
      </c>
      <c r="J800">
        <v>73</v>
      </c>
      <c r="K800" t="s">
        <v>5254</v>
      </c>
      <c r="L800" t="s">
        <v>4966</v>
      </c>
      <c r="M800" t="s">
        <v>5384</v>
      </c>
      <c r="N800" t="s">
        <v>5225</v>
      </c>
      <c r="O800" t="s">
        <v>2937</v>
      </c>
      <c r="Q800" t="s">
        <v>347</v>
      </c>
      <c r="R800">
        <f>1</f>
        <v>1</v>
      </c>
      <c r="S800">
        <f>6.7</f>
        <v>6.7</v>
      </c>
      <c r="T800">
        <f>7.8</f>
        <v>7.8</v>
      </c>
      <c r="U800">
        <f>137</f>
        <v>137</v>
      </c>
      <c r="X800">
        <f>0</f>
        <v>0</v>
      </c>
      <c r="Y800">
        <f>0.32</f>
        <v>0.32</v>
      </c>
      <c r="Z800">
        <f>0</f>
        <v>0</v>
      </c>
      <c r="AA800" t="s">
        <v>705</v>
      </c>
      <c r="AB800">
        <f>66</f>
        <v>66</v>
      </c>
      <c r="AD800">
        <f>0</f>
        <v>0</v>
      </c>
      <c r="AE800">
        <f>0</f>
        <v>0</v>
      </c>
      <c r="AH800" t="s">
        <v>157</v>
      </c>
    </row>
    <row r="801" spans="1:149" x14ac:dyDescent="0.25">
      <c r="A801" t="s">
        <v>2938</v>
      </c>
      <c r="B801" t="s">
        <v>148</v>
      </c>
      <c r="C801" s="1">
        <v>45729</v>
      </c>
      <c r="D801" t="s">
        <v>317</v>
      </c>
      <c r="E801" t="s">
        <v>318</v>
      </c>
      <c r="F801" t="s">
        <v>2939</v>
      </c>
      <c r="G801" t="s">
        <v>5653</v>
      </c>
      <c r="H801">
        <v>1675</v>
      </c>
      <c r="I801" t="s">
        <v>5654</v>
      </c>
      <c r="J801">
        <v>80</v>
      </c>
      <c r="K801" t="s">
        <v>5331</v>
      </c>
      <c r="L801" t="s">
        <v>4966</v>
      </c>
      <c r="M801" t="s">
        <v>2940</v>
      </c>
      <c r="N801" t="s">
        <v>2941</v>
      </c>
      <c r="O801" t="s">
        <v>2942</v>
      </c>
      <c r="Q801" t="s">
        <v>6339</v>
      </c>
      <c r="R801">
        <f>1</f>
        <v>1</v>
      </c>
      <c r="S801">
        <f>5</f>
        <v>5</v>
      </c>
      <c r="T801">
        <f>8.1</f>
        <v>8.1</v>
      </c>
      <c r="U801">
        <f>239</f>
        <v>239</v>
      </c>
      <c r="X801">
        <f>0</f>
        <v>0</v>
      </c>
      <c r="Y801">
        <f>0.35</f>
        <v>0.35</v>
      </c>
      <c r="Z801">
        <f>0</f>
        <v>0</v>
      </c>
      <c r="AA801">
        <f>4</f>
        <v>4</v>
      </c>
      <c r="AB801">
        <f>0</f>
        <v>0</v>
      </c>
      <c r="AC801">
        <f>0</f>
        <v>0</v>
      </c>
      <c r="AD801">
        <f>0</f>
        <v>0</v>
      </c>
      <c r="AE801">
        <f>0</f>
        <v>0</v>
      </c>
      <c r="AH801" t="s">
        <v>157</v>
      </c>
      <c r="BI801" t="s">
        <v>167</v>
      </c>
    </row>
    <row r="802" spans="1:149" x14ac:dyDescent="0.25">
      <c r="A802" t="s">
        <v>2943</v>
      </c>
      <c r="B802" t="s">
        <v>148</v>
      </c>
      <c r="C802" s="1">
        <v>45740</v>
      </c>
      <c r="D802" t="s">
        <v>222</v>
      </c>
      <c r="E802" t="s">
        <v>223</v>
      </c>
      <c r="F802" t="s">
        <v>4723</v>
      </c>
      <c r="G802" t="s">
        <v>2944</v>
      </c>
      <c r="H802">
        <v>275</v>
      </c>
      <c r="I802" t="s">
        <v>2944</v>
      </c>
      <c r="J802">
        <v>70</v>
      </c>
      <c r="K802" t="s">
        <v>5257</v>
      </c>
      <c r="L802" t="s">
        <v>431</v>
      </c>
      <c r="M802" t="s">
        <v>5655</v>
      </c>
      <c r="N802" t="s">
        <v>2945</v>
      </c>
      <c r="O802" t="s">
        <v>2946</v>
      </c>
      <c r="Q802" t="s">
        <v>6416</v>
      </c>
      <c r="R802">
        <f>1</f>
        <v>1</v>
      </c>
      <c r="S802">
        <f>11.3</f>
        <v>11.3</v>
      </c>
      <c r="T802">
        <f>7.7</f>
        <v>7.7</v>
      </c>
      <c r="U802">
        <f>269</f>
        <v>269</v>
      </c>
      <c r="V802">
        <f>0.1</f>
        <v>0.1</v>
      </c>
      <c r="X802">
        <f>1</f>
        <v>1</v>
      </c>
      <c r="Y802">
        <f>0.25</f>
        <v>0.25</v>
      </c>
      <c r="Z802">
        <f>0</f>
        <v>0</v>
      </c>
      <c r="AA802">
        <f>7</f>
        <v>7</v>
      </c>
      <c r="AB802">
        <f>53</f>
        <v>53</v>
      </c>
      <c r="AC802">
        <f>0</f>
        <v>0</v>
      </c>
      <c r="AD802">
        <f>0</f>
        <v>0</v>
      </c>
      <c r="AE802">
        <f>0</f>
        <v>0</v>
      </c>
      <c r="AH802" t="s">
        <v>166</v>
      </c>
      <c r="BJ802" t="s">
        <v>216</v>
      </c>
    </row>
    <row r="803" spans="1:149" x14ac:dyDescent="0.25">
      <c r="A803" t="s">
        <v>2947</v>
      </c>
      <c r="B803" t="s">
        <v>148</v>
      </c>
      <c r="C803" s="1">
        <v>45740</v>
      </c>
      <c r="D803" t="s">
        <v>222</v>
      </c>
      <c r="E803" t="s">
        <v>223</v>
      </c>
      <c r="F803" t="s">
        <v>224</v>
      </c>
      <c r="G803" t="s">
        <v>6782</v>
      </c>
      <c r="H803">
        <v>1686</v>
      </c>
      <c r="I803" t="s">
        <v>6782</v>
      </c>
      <c r="J803">
        <v>69</v>
      </c>
      <c r="K803" t="s">
        <v>5254</v>
      </c>
      <c r="L803" t="s">
        <v>4966</v>
      </c>
      <c r="M803" t="s">
        <v>6783</v>
      </c>
      <c r="N803" t="s">
        <v>6784</v>
      </c>
      <c r="Q803" t="s">
        <v>6785</v>
      </c>
      <c r="R803">
        <f>1</f>
        <v>1</v>
      </c>
      <c r="S803">
        <f>7.8</f>
        <v>7.8</v>
      </c>
      <c r="T803">
        <f>8</f>
        <v>8</v>
      </c>
      <c r="U803">
        <f>367</f>
        <v>367</v>
      </c>
      <c r="X803">
        <f>1</f>
        <v>1</v>
      </c>
      <c r="Y803">
        <f>0.05</f>
        <v>0.05</v>
      </c>
      <c r="Z803">
        <f>0</f>
        <v>0</v>
      </c>
      <c r="AA803">
        <f>0</f>
        <v>0</v>
      </c>
      <c r="AB803">
        <f>0</f>
        <v>0</v>
      </c>
      <c r="AD803">
        <f>0</f>
        <v>0</v>
      </c>
      <c r="AE803">
        <f>0</f>
        <v>0</v>
      </c>
      <c r="AH803" t="s">
        <v>166</v>
      </c>
    </row>
    <row r="804" spans="1:149" x14ac:dyDescent="0.25">
      <c r="A804" t="s">
        <v>2948</v>
      </c>
      <c r="B804" t="s">
        <v>268</v>
      </c>
      <c r="C804" s="1">
        <v>45758</v>
      </c>
      <c r="D804" t="s">
        <v>311</v>
      </c>
      <c r="E804" t="s">
        <v>312</v>
      </c>
      <c r="F804" t="s">
        <v>2047</v>
      </c>
      <c r="G804" t="s">
        <v>2048</v>
      </c>
      <c r="H804">
        <v>1689</v>
      </c>
      <c r="I804" t="s">
        <v>2949</v>
      </c>
      <c r="J804">
        <v>50</v>
      </c>
      <c r="K804" t="s">
        <v>5331</v>
      </c>
      <c r="M804" t="s">
        <v>4874</v>
      </c>
      <c r="N804" t="s">
        <v>5049</v>
      </c>
      <c r="O804" t="s">
        <v>2950</v>
      </c>
      <c r="R804">
        <f>1</f>
        <v>1</v>
      </c>
      <c r="S804">
        <f>11.5</f>
        <v>11.5</v>
      </c>
      <c r="T804">
        <f>6.6</f>
        <v>6.6</v>
      </c>
      <c r="U804">
        <f>88</f>
        <v>88</v>
      </c>
      <c r="X804">
        <f>0</f>
        <v>0</v>
      </c>
      <c r="Y804" t="s">
        <v>157</v>
      </c>
      <c r="Z804">
        <f>0</f>
        <v>0</v>
      </c>
      <c r="AA804">
        <f>211</f>
        <v>211</v>
      </c>
      <c r="AB804">
        <f>171</f>
        <v>171</v>
      </c>
      <c r="AC804">
        <f>0</f>
        <v>0</v>
      </c>
      <c r="AD804">
        <f>0</f>
        <v>0</v>
      </c>
      <c r="AE804">
        <f>6</f>
        <v>6</v>
      </c>
      <c r="AH804" t="s">
        <v>157</v>
      </c>
      <c r="BI804">
        <f>0.56</f>
        <v>0.56000000000000005</v>
      </c>
    </row>
    <row r="805" spans="1:149" x14ac:dyDescent="0.25">
      <c r="A805" t="s">
        <v>2951</v>
      </c>
      <c r="B805" t="s">
        <v>148</v>
      </c>
      <c r="C805" s="1">
        <v>45875</v>
      </c>
      <c r="D805" t="s">
        <v>222</v>
      </c>
      <c r="E805" t="s">
        <v>223</v>
      </c>
      <c r="F805" t="s">
        <v>4745</v>
      </c>
      <c r="G805" t="s">
        <v>2952</v>
      </c>
      <c r="H805">
        <v>1295</v>
      </c>
      <c r="I805" t="s">
        <v>2952</v>
      </c>
      <c r="J805">
        <v>72</v>
      </c>
      <c r="K805" t="s">
        <v>5257</v>
      </c>
      <c r="L805" t="s">
        <v>5050</v>
      </c>
      <c r="M805" t="s">
        <v>5656</v>
      </c>
      <c r="N805" t="s">
        <v>2953</v>
      </c>
      <c r="O805" t="s">
        <v>2954</v>
      </c>
      <c r="Q805" t="s">
        <v>6417</v>
      </c>
      <c r="R805">
        <f>1</f>
        <v>1</v>
      </c>
      <c r="S805">
        <f>17.4</f>
        <v>17.399999999999999</v>
      </c>
      <c r="T805">
        <f>8</f>
        <v>8</v>
      </c>
      <c r="U805">
        <f>244</f>
        <v>244</v>
      </c>
      <c r="X805">
        <f>1</f>
        <v>1</v>
      </c>
      <c r="Y805">
        <f>0.11</f>
        <v>0.11</v>
      </c>
      <c r="Z805">
        <f>0</f>
        <v>0</v>
      </c>
      <c r="AA805">
        <f>2</f>
        <v>2</v>
      </c>
      <c r="AB805">
        <f>2</f>
        <v>2</v>
      </c>
      <c r="AC805">
        <f>0</f>
        <v>0</v>
      </c>
      <c r="AD805">
        <f>0</f>
        <v>0</v>
      </c>
      <c r="AE805">
        <f>0</f>
        <v>0</v>
      </c>
      <c r="AH805" t="s">
        <v>166</v>
      </c>
      <c r="AI805" t="s">
        <v>300</v>
      </c>
      <c r="AL805" t="s">
        <v>168</v>
      </c>
      <c r="AM805" t="s">
        <v>164</v>
      </c>
      <c r="AN805">
        <f>7.2</f>
        <v>7.2</v>
      </c>
      <c r="AO805">
        <f>0.14</f>
        <v>0.14000000000000001</v>
      </c>
      <c r="AP805">
        <f>7.6</f>
        <v>7.6</v>
      </c>
      <c r="AQ805">
        <f>1.6</f>
        <v>1.6</v>
      </c>
      <c r="AR805" t="s">
        <v>167</v>
      </c>
    </row>
    <row r="806" spans="1:149" x14ac:dyDescent="0.25">
      <c r="A806" t="s">
        <v>2955</v>
      </c>
      <c r="B806" t="s">
        <v>148</v>
      </c>
      <c r="C806" s="1">
        <v>45751</v>
      </c>
      <c r="D806" t="s">
        <v>317</v>
      </c>
      <c r="E806" t="s">
        <v>318</v>
      </c>
      <c r="F806" t="s">
        <v>6576</v>
      </c>
      <c r="G806" t="s">
        <v>2956</v>
      </c>
      <c r="H806">
        <v>1093</v>
      </c>
      <c r="I806" t="s">
        <v>2956</v>
      </c>
      <c r="J806">
        <v>95</v>
      </c>
      <c r="K806" t="s">
        <v>5254</v>
      </c>
      <c r="L806" t="s">
        <v>180</v>
      </c>
      <c r="M806" t="s">
        <v>5051</v>
      </c>
      <c r="N806" t="s">
        <v>6148</v>
      </c>
      <c r="O806" t="s">
        <v>2957</v>
      </c>
      <c r="Q806" t="s">
        <v>2857</v>
      </c>
      <c r="R806">
        <f>1</f>
        <v>1</v>
      </c>
      <c r="S806">
        <f>9.4</f>
        <v>9.4</v>
      </c>
      <c r="T806">
        <f>7.4</f>
        <v>7.4</v>
      </c>
      <c r="U806">
        <f>33</f>
        <v>33</v>
      </c>
      <c r="X806">
        <f>0</f>
        <v>0</v>
      </c>
      <c r="Y806" t="s">
        <v>157</v>
      </c>
      <c r="Z806">
        <f>0</f>
        <v>0</v>
      </c>
      <c r="AA806">
        <f>0</f>
        <v>0</v>
      </c>
      <c r="AB806">
        <f>0</f>
        <v>0</v>
      </c>
      <c r="AD806">
        <f>0</f>
        <v>0</v>
      </c>
      <c r="AE806">
        <f>0</f>
        <v>0</v>
      </c>
      <c r="AH806" t="s">
        <v>157</v>
      </c>
    </row>
    <row r="807" spans="1:149" x14ac:dyDescent="0.25">
      <c r="A807" t="s">
        <v>2958</v>
      </c>
      <c r="B807" t="s">
        <v>148</v>
      </c>
      <c r="C807" s="1">
        <v>45726</v>
      </c>
      <c r="D807" t="s">
        <v>618</v>
      </c>
      <c r="E807" t="s">
        <v>619</v>
      </c>
      <c r="F807" t="s">
        <v>6648</v>
      </c>
      <c r="G807" t="s">
        <v>6149</v>
      </c>
      <c r="H807">
        <v>960</v>
      </c>
      <c r="I807" t="s">
        <v>6149</v>
      </c>
      <c r="J807">
        <v>50</v>
      </c>
      <c r="K807" t="s">
        <v>5257</v>
      </c>
      <c r="L807" t="s">
        <v>4875</v>
      </c>
      <c r="M807" t="s">
        <v>5657</v>
      </c>
      <c r="N807" t="s">
        <v>6786</v>
      </c>
      <c r="O807" t="s">
        <v>2959</v>
      </c>
      <c r="R807">
        <f>1</f>
        <v>1</v>
      </c>
      <c r="S807">
        <f>5.5</f>
        <v>5.5</v>
      </c>
      <c r="T807">
        <f>8</f>
        <v>8</v>
      </c>
      <c r="U807">
        <f>310</f>
        <v>310</v>
      </c>
      <c r="X807">
        <f>0</f>
        <v>0</v>
      </c>
      <c r="Y807">
        <f>0.1</f>
        <v>0.1</v>
      </c>
      <c r="Z807">
        <f>0</f>
        <v>0</v>
      </c>
      <c r="AA807" t="s">
        <v>158</v>
      </c>
      <c r="AB807" t="s">
        <v>158</v>
      </c>
      <c r="AC807">
        <f>0</f>
        <v>0</v>
      </c>
      <c r="AD807">
        <f>0</f>
        <v>0</v>
      </c>
      <c r="AE807">
        <f>0</f>
        <v>0</v>
      </c>
      <c r="AH807" t="s">
        <v>157</v>
      </c>
    </row>
    <row r="808" spans="1:149" x14ac:dyDescent="0.25">
      <c r="A808" t="s">
        <v>2960</v>
      </c>
      <c r="B808" t="s">
        <v>148</v>
      </c>
      <c r="C808" s="1">
        <v>45733</v>
      </c>
      <c r="D808" t="s">
        <v>175</v>
      </c>
      <c r="E808" t="s">
        <v>176</v>
      </c>
      <c r="F808" t="s">
        <v>556</v>
      </c>
      <c r="G808" t="s">
        <v>557</v>
      </c>
      <c r="H808">
        <v>1701</v>
      </c>
      <c r="I808" t="s">
        <v>6554</v>
      </c>
      <c r="J808">
        <v>138695</v>
      </c>
      <c r="K808" t="s">
        <v>5254</v>
      </c>
      <c r="L808" t="s">
        <v>180</v>
      </c>
      <c r="M808" t="s">
        <v>4960</v>
      </c>
      <c r="N808" t="s">
        <v>4711</v>
      </c>
      <c r="O808" t="s">
        <v>583</v>
      </c>
      <c r="Q808" t="s">
        <v>6313</v>
      </c>
      <c r="R808">
        <f>1</f>
        <v>1</v>
      </c>
      <c r="S808">
        <f>15.4</f>
        <v>15.4</v>
      </c>
      <c r="T808">
        <f>7.4</f>
        <v>7.4</v>
      </c>
      <c r="U808">
        <f>497</f>
        <v>497</v>
      </c>
      <c r="X808">
        <f>0</f>
        <v>0</v>
      </c>
      <c r="Y808" t="s">
        <v>157</v>
      </c>
      <c r="Z808">
        <f>0</f>
        <v>0</v>
      </c>
      <c r="AA808">
        <f>61</f>
        <v>61</v>
      </c>
      <c r="AB808">
        <f>79</f>
        <v>79</v>
      </c>
      <c r="AD808">
        <f>0</f>
        <v>0</v>
      </c>
      <c r="AE808">
        <f>0</f>
        <v>0</v>
      </c>
    </row>
    <row r="809" spans="1:149" x14ac:dyDescent="0.25">
      <c r="A809" t="s">
        <v>2961</v>
      </c>
      <c r="B809" t="s">
        <v>148</v>
      </c>
      <c r="C809" s="1">
        <v>45797</v>
      </c>
      <c r="D809" t="s">
        <v>175</v>
      </c>
      <c r="E809" t="s">
        <v>176</v>
      </c>
      <c r="F809" t="s">
        <v>556</v>
      </c>
      <c r="G809" t="s">
        <v>557</v>
      </c>
      <c r="H809">
        <v>1701</v>
      </c>
      <c r="I809" t="s">
        <v>6554</v>
      </c>
      <c r="J809">
        <v>138695</v>
      </c>
      <c r="K809" t="s">
        <v>5254</v>
      </c>
      <c r="L809" t="s">
        <v>180</v>
      </c>
      <c r="M809" t="s">
        <v>5830</v>
      </c>
      <c r="N809" t="s">
        <v>587</v>
      </c>
      <c r="O809" t="s">
        <v>588</v>
      </c>
      <c r="Q809" t="s">
        <v>1097</v>
      </c>
      <c r="R809">
        <f>1</f>
        <v>1</v>
      </c>
      <c r="S809">
        <f>15.9</f>
        <v>15.9</v>
      </c>
      <c r="T809">
        <f>7.5</f>
        <v>7.5</v>
      </c>
      <c r="U809">
        <f>442</f>
        <v>442</v>
      </c>
      <c r="X809">
        <f>0</f>
        <v>0</v>
      </c>
      <c r="Y809" t="s">
        <v>157</v>
      </c>
      <c r="Z809">
        <f>0</f>
        <v>0</v>
      </c>
      <c r="AA809" t="s">
        <v>158</v>
      </c>
      <c r="AB809" t="s">
        <v>158</v>
      </c>
      <c r="AD809">
        <f>0</f>
        <v>0</v>
      </c>
      <c r="AE809">
        <f>0</f>
        <v>0</v>
      </c>
      <c r="AH809" t="s">
        <v>157</v>
      </c>
      <c r="EP809" t="s">
        <v>157</v>
      </c>
      <c r="EQ809" t="s">
        <v>157</v>
      </c>
      <c r="ES809" t="s">
        <v>166</v>
      </c>
    </row>
    <row r="810" spans="1:149" x14ac:dyDescent="0.25">
      <c r="A810" t="s">
        <v>2962</v>
      </c>
      <c r="B810" t="s">
        <v>148</v>
      </c>
      <c r="C810" s="1">
        <v>45727</v>
      </c>
      <c r="D810" t="s">
        <v>175</v>
      </c>
      <c r="E810" t="s">
        <v>176</v>
      </c>
      <c r="F810" t="s">
        <v>1637</v>
      </c>
      <c r="G810" t="s">
        <v>2963</v>
      </c>
      <c r="H810">
        <v>952</v>
      </c>
      <c r="I810" t="s">
        <v>2963</v>
      </c>
      <c r="J810">
        <v>129</v>
      </c>
      <c r="K810" t="s">
        <v>5254</v>
      </c>
      <c r="L810" t="s">
        <v>431</v>
      </c>
      <c r="M810" t="s">
        <v>5658</v>
      </c>
      <c r="N810" t="s">
        <v>5659</v>
      </c>
      <c r="O810" t="s">
        <v>2964</v>
      </c>
      <c r="R810">
        <f>1</f>
        <v>1</v>
      </c>
      <c r="S810">
        <f>7.7</f>
        <v>7.7</v>
      </c>
      <c r="T810">
        <f>7.3</f>
        <v>7.3</v>
      </c>
      <c r="U810">
        <f>598</f>
        <v>598</v>
      </c>
      <c r="V810">
        <f>0.3</f>
        <v>0.3</v>
      </c>
      <c r="X810">
        <f>1</f>
        <v>1</v>
      </c>
      <c r="Y810" t="s">
        <v>157</v>
      </c>
      <c r="Z810">
        <f>0</f>
        <v>0</v>
      </c>
      <c r="AA810" t="s">
        <v>158</v>
      </c>
      <c r="AB810" t="s">
        <v>158</v>
      </c>
      <c r="AD810">
        <f>0</f>
        <v>0</v>
      </c>
      <c r="AE810">
        <f>0</f>
        <v>0</v>
      </c>
    </row>
    <row r="811" spans="1:149" x14ac:dyDescent="0.25">
      <c r="A811" t="s">
        <v>2965</v>
      </c>
      <c r="B811" t="s">
        <v>148</v>
      </c>
      <c r="C811" s="1">
        <v>45756</v>
      </c>
      <c r="D811" t="s">
        <v>222</v>
      </c>
      <c r="E811" t="s">
        <v>223</v>
      </c>
      <c r="F811" t="s">
        <v>4723</v>
      </c>
      <c r="G811" t="s">
        <v>2966</v>
      </c>
      <c r="H811">
        <v>258</v>
      </c>
      <c r="I811" t="s">
        <v>2966</v>
      </c>
      <c r="J811">
        <v>72</v>
      </c>
      <c r="K811" t="s">
        <v>5257</v>
      </c>
      <c r="L811" t="s">
        <v>393</v>
      </c>
      <c r="M811" t="s">
        <v>5660</v>
      </c>
      <c r="N811" t="s">
        <v>2967</v>
      </c>
      <c r="Q811" t="s">
        <v>2968</v>
      </c>
      <c r="R811">
        <f>1</f>
        <v>1</v>
      </c>
      <c r="S811">
        <f>10.4</f>
        <v>10.4</v>
      </c>
      <c r="T811">
        <f>8.1</f>
        <v>8.1</v>
      </c>
      <c r="U811">
        <f>253</f>
        <v>253</v>
      </c>
      <c r="X811">
        <f>1</f>
        <v>1</v>
      </c>
      <c r="Y811">
        <f>0.19</f>
        <v>0.19</v>
      </c>
      <c r="Z811">
        <f>0</f>
        <v>0</v>
      </c>
      <c r="AA811">
        <f>0</f>
        <v>0</v>
      </c>
      <c r="AB811">
        <f>0</f>
        <v>0</v>
      </c>
      <c r="AD811">
        <f>0</f>
        <v>0</v>
      </c>
      <c r="AE811">
        <f>0</f>
        <v>0</v>
      </c>
      <c r="AH811" t="s">
        <v>166</v>
      </c>
    </row>
    <row r="812" spans="1:149" x14ac:dyDescent="0.25">
      <c r="A812" t="s">
        <v>2969</v>
      </c>
      <c r="B812" t="s">
        <v>148</v>
      </c>
      <c r="C812" s="1">
        <v>45740</v>
      </c>
      <c r="D812" t="s">
        <v>222</v>
      </c>
      <c r="E812" t="s">
        <v>223</v>
      </c>
      <c r="F812" t="s">
        <v>4723</v>
      </c>
      <c r="G812" t="s">
        <v>769</v>
      </c>
      <c r="H812">
        <v>1805</v>
      </c>
      <c r="I812" t="s">
        <v>6787</v>
      </c>
      <c r="J812">
        <v>160</v>
      </c>
      <c r="K812" t="s">
        <v>5257</v>
      </c>
      <c r="L812" t="s">
        <v>393</v>
      </c>
      <c r="M812" t="s">
        <v>6788</v>
      </c>
      <c r="N812" t="s">
        <v>6789</v>
      </c>
      <c r="R812">
        <f>1</f>
        <v>1</v>
      </c>
      <c r="S812">
        <f>10.6</f>
        <v>10.6</v>
      </c>
      <c r="T812">
        <f>8.2</f>
        <v>8.1999999999999993</v>
      </c>
      <c r="U812">
        <f>214</f>
        <v>214</v>
      </c>
      <c r="X812">
        <f>1</f>
        <v>1</v>
      </c>
      <c r="Y812">
        <f>0.18</f>
        <v>0.18</v>
      </c>
      <c r="Z812">
        <f>0</f>
        <v>0</v>
      </c>
      <c r="AA812">
        <f>0</f>
        <v>0</v>
      </c>
      <c r="AB812">
        <f>0</f>
        <v>0</v>
      </c>
      <c r="AD812">
        <f>0</f>
        <v>0</v>
      </c>
      <c r="AE812">
        <f>0</f>
        <v>0</v>
      </c>
      <c r="AH812" t="s">
        <v>166</v>
      </c>
    </row>
    <row r="813" spans="1:149" x14ac:dyDescent="0.25">
      <c r="A813" t="s">
        <v>2970</v>
      </c>
      <c r="B813" t="s">
        <v>148</v>
      </c>
      <c r="C813" s="1">
        <v>45751</v>
      </c>
      <c r="D813" t="s">
        <v>311</v>
      </c>
      <c r="E813" t="s">
        <v>312</v>
      </c>
      <c r="F813" t="s">
        <v>4780</v>
      </c>
      <c r="G813" t="s">
        <v>6150</v>
      </c>
      <c r="H813">
        <v>1803</v>
      </c>
      <c r="I813" t="s">
        <v>6790</v>
      </c>
      <c r="J813">
        <v>50</v>
      </c>
      <c r="K813" t="s">
        <v>5257</v>
      </c>
      <c r="L813" t="s">
        <v>180</v>
      </c>
      <c r="M813" t="s">
        <v>2971</v>
      </c>
      <c r="N813" t="s">
        <v>2972</v>
      </c>
      <c r="O813" t="s">
        <v>2973</v>
      </c>
      <c r="R813">
        <f>1</f>
        <v>1</v>
      </c>
      <c r="S813">
        <f>11.8</f>
        <v>11.8</v>
      </c>
      <c r="T813">
        <f>7</f>
        <v>7</v>
      </c>
      <c r="U813">
        <f>187</f>
        <v>187</v>
      </c>
      <c r="X813">
        <f>0</f>
        <v>0</v>
      </c>
      <c r="Y813" t="s">
        <v>157</v>
      </c>
      <c r="Z813">
        <f>0</f>
        <v>0</v>
      </c>
      <c r="AA813" t="s">
        <v>158</v>
      </c>
      <c r="AB813" t="s">
        <v>158</v>
      </c>
      <c r="AD813">
        <f>0</f>
        <v>0</v>
      </c>
      <c r="AE813">
        <f>0</f>
        <v>0</v>
      </c>
      <c r="AH813" t="s">
        <v>157</v>
      </c>
    </row>
    <row r="814" spans="1:149" x14ac:dyDescent="0.25">
      <c r="A814" t="s">
        <v>2974</v>
      </c>
      <c r="B814" t="s">
        <v>148</v>
      </c>
      <c r="C814" s="1">
        <v>45728</v>
      </c>
      <c r="D814" t="s">
        <v>175</v>
      </c>
      <c r="E814" t="s">
        <v>649</v>
      </c>
      <c r="F814" t="s">
        <v>685</v>
      </c>
      <c r="G814" t="s">
        <v>2975</v>
      </c>
      <c r="H814">
        <v>1799</v>
      </c>
      <c r="I814" t="s">
        <v>2976</v>
      </c>
      <c r="J814">
        <v>109</v>
      </c>
      <c r="K814" t="s">
        <v>5331</v>
      </c>
      <c r="L814" t="s">
        <v>431</v>
      </c>
      <c r="M814" t="s">
        <v>2977</v>
      </c>
      <c r="N814" t="s">
        <v>4876</v>
      </c>
      <c r="R814">
        <f>1</f>
        <v>1</v>
      </c>
      <c r="S814">
        <f>6.8</f>
        <v>6.8</v>
      </c>
      <c r="T814">
        <f>8.1</f>
        <v>8.1</v>
      </c>
      <c r="U814">
        <f>462</f>
        <v>462</v>
      </c>
      <c r="X814">
        <f>1</f>
        <v>1</v>
      </c>
      <c r="Y814">
        <f>0.5</f>
        <v>0.5</v>
      </c>
      <c r="Z814">
        <f>0</f>
        <v>0</v>
      </c>
      <c r="AA814" t="s">
        <v>158</v>
      </c>
      <c r="AB814" t="s">
        <v>158</v>
      </c>
      <c r="AD814">
        <f>0</f>
        <v>0</v>
      </c>
      <c r="AE814">
        <f>0</f>
        <v>0</v>
      </c>
    </row>
    <row r="815" spans="1:149" x14ac:dyDescent="0.25">
      <c r="A815" t="s">
        <v>2978</v>
      </c>
      <c r="B815" t="s">
        <v>268</v>
      </c>
      <c r="C815" s="1">
        <v>45735</v>
      </c>
      <c r="D815" t="s">
        <v>175</v>
      </c>
      <c r="E815" t="s">
        <v>176</v>
      </c>
      <c r="F815" t="s">
        <v>4827</v>
      </c>
      <c r="G815" t="s">
        <v>5226</v>
      </c>
      <c r="H815">
        <v>589</v>
      </c>
      <c r="I815" t="s">
        <v>5226</v>
      </c>
      <c r="J815">
        <v>54</v>
      </c>
      <c r="K815" t="s">
        <v>5257</v>
      </c>
      <c r="L815" t="s">
        <v>726</v>
      </c>
      <c r="M815" t="s">
        <v>5052</v>
      </c>
      <c r="N815" t="s">
        <v>5053</v>
      </c>
      <c r="O815" t="s">
        <v>2979</v>
      </c>
      <c r="Q815" t="s">
        <v>6418</v>
      </c>
      <c r="R815">
        <f>1</f>
        <v>1</v>
      </c>
      <c r="S815">
        <f>7.8</f>
        <v>7.8</v>
      </c>
      <c r="T815">
        <f>7.6</f>
        <v>7.6</v>
      </c>
      <c r="U815">
        <f>435</f>
        <v>435</v>
      </c>
      <c r="X815">
        <f>0</f>
        <v>0</v>
      </c>
      <c r="Y815">
        <f>1</f>
        <v>1</v>
      </c>
      <c r="Z815">
        <f>0</f>
        <v>0</v>
      </c>
      <c r="AA815">
        <f>42</f>
        <v>42</v>
      </c>
      <c r="AB815">
        <f>43</f>
        <v>43</v>
      </c>
      <c r="AC815">
        <f>2</f>
        <v>2</v>
      </c>
      <c r="AD815">
        <f>0</f>
        <v>0</v>
      </c>
      <c r="AE815">
        <f>0</f>
        <v>0</v>
      </c>
      <c r="BI815">
        <f>0.21</f>
        <v>0.21</v>
      </c>
    </row>
    <row r="816" spans="1:149" x14ac:dyDescent="0.25">
      <c r="A816" t="s">
        <v>2980</v>
      </c>
      <c r="B816" t="s">
        <v>148</v>
      </c>
      <c r="C816" s="1">
        <v>45729</v>
      </c>
      <c r="D816" t="s">
        <v>317</v>
      </c>
      <c r="E816" t="s">
        <v>318</v>
      </c>
      <c r="F816" t="s">
        <v>319</v>
      </c>
      <c r="G816" t="s">
        <v>2981</v>
      </c>
      <c r="H816">
        <v>88</v>
      </c>
      <c r="I816" t="s">
        <v>2981</v>
      </c>
      <c r="J816">
        <v>71</v>
      </c>
      <c r="K816" t="s">
        <v>5254</v>
      </c>
      <c r="L816" t="s">
        <v>180</v>
      </c>
      <c r="M816" t="s">
        <v>5054</v>
      </c>
      <c r="N816" t="s">
        <v>2982</v>
      </c>
      <c r="O816" t="s">
        <v>2983</v>
      </c>
      <c r="Q816" t="s">
        <v>347</v>
      </c>
      <c r="R816">
        <f>1</f>
        <v>1</v>
      </c>
      <c r="S816">
        <f>6.7</f>
        <v>6.7</v>
      </c>
      <c r="T816">
        <f>8.2</f>
        <v>8.1999999999999993</v>
      </c>
      <c r="U816">
        <f>243</f>
        <v>243</v>
      </c>
      <c r="X816">
        <f>0</f>
        <v>0</v>
      </c>
      <c r="Y816">
        <f>0.32</f>
        <v>0.32</v>
      </c>
      <c r="Z816">
        <f>0</f>
        <v>0</v>
      </c>
      <c r="AA816">
        <f>4</f>
        <v>4</v>
      </c>
      <c r="AB816">
        <f>4</f>
        <v>4</v>
      </c>
      <c r="AD816">
        <f>0</f>
        <v>0</v>
      </c>
      <c r="AE816">
        <f>0</f>
        <v>0</v>
      </c>
      <c r="AH816" t="s">
        <v>157</v>
      </c>
    </row>
    <row r="817" spans="1:61" x14ac:dyDescent="0.25">
      <c r="A817" t="s">
        <v>2984</v>
      </c>
      <c r="B817" t="s">
        <v>148</v>
      </c>
      <c r="C817" s="1">
        <v>45729</v>
      </c>
      <c r="D817" t="s">
        <v>175</v>
      </c>
      <c r="E817" t="s">
        <v>270</v>
      </c>
      <c r="F817" t="s">
        <v>354</v>
      </c>
      <c r="G817" t="s">
        <v>1989</v>
      </c>
      <c r="H817">
        <v>678</v>
      </c>
      <c r="I817" t="s">
        <v>2985</v>
      </c>
      <c r="J817">
        <v>65</v>
      </c>
      <c r="K817" t="s">
        <v>5257</v>
      </c>
      <c r="L817" t="s">
        <v>431</v>
      </c>
      <c r="M817" t="s">
        <v>4877</v>
      </c>
      <c r="N817" t="s">
        <v>4878</v>
      </c>
      <c r="O817" t="s">
        <v>2986</v>
      </c>
      <c r="R817">
        <f>1</f>
        <v>1</v>
      </c>
      <c r="S817">
        <f>7.8</f>
        <v>7.8</v>
      </c>
      <c r="T817">
        <f>7.8</f>
        <v>7.8</v>
      </c>
      <c r="U817">
        <f>480</f>
        <v>480</v>
      </c>
      <c r="X817">
        <f>0</f>
        <v>0</v>
      </c>
      <c r="Y817" t="s">
        <v>207</v>
      </c>
      <c r="Z817">
        <f>0</f>
        <v>0</v>
      </c>
      <c r="AA817">
        <f>56</f>
        <v>56</v>
      </c>
      <c r="AB817">
        <f>62</f>
        <v>62</v>
      </c>
      <c r="AC817">
        <f>0</f>
        <v>0</v>
      </c>
      <c r="AD817">
        <f>0</f>
        <v>0</v>
      </c>
      <c r="AE817">
        <f>0</f>
        <v>0</v>
      </c>
    </row>
    <row r="818" spans="1:61" x14ac:dyDescent="0.25">
      <c r="A818" t="s">
        <v>2987</v>
      </c>
      <c r="B818" t="s">
        <v>148</v>
      </c>
      <c r="C818" s="1">
        <v>45734</v>
      </c>
      <c r="D818" t="s">
        <v>175</v>
      </c>
      <c r="E818" t="s">
        <v>284</v>
      </c>
      <c r="F818" t="s">
        <v>354</v>
      </c>
      <c r="G818" t="s">
        <v>2988</v>
      </c>
      <c r="H818">
        <v>687</v>
      </c>
      <c r="I818" t="s">
        <v>2988</v>
      </c>
      <c r="J818">
        <v>78</v>
      </c>
      <c r="K818" t="s">
        <v>5257</v>
      </c>
      <c r="L818" t="s">
        <v>4947</v>
      </c>
      <c r="M818" t="s">
        <v>2989</v>
      </c>
      <c r="N818" t="s">
        <v>5661</v>
      </c>
      <c r="O818" t="s">
        <v>2990</v>
      </c>
      <c r="R818">
        <f>1</f>
        <v>1</v>
      </c>
      <c r="S818">
        <f>11.1</f>
        <v>11.1</v>
      </c>
      <c r="T818">
        <f>8.1</f>
        <v>8.1</v>
      </c>
      <c r="U818">
        <f>392</f>
        <v>392</v>
      </c>
      <c r="X818">
        <f>0</f>
        <v>0</v>
      </c>
      <c r="Y818" t="s">
        <v>207</v>
      </c>
      <c r="Z818">
        <f>0</f>
        <v>0</v>
      </c>
      <c r="AA818" t="s">
        <v>158</v>
      </c>
      <c r="AB818" t="s">
        <v>158</v>
      </c>
      <c r="AC818">
        <f>0</f>
        <v>0</v>
      </c>
      <c r="AD818">
        <f>0</f>
        <v>0</v>
      </c>
      <c r="AE818">
        <f>0</f>
        <v>0</v>
      </c>
    </row>
    <row r="819" spans="1:61" x14ac:dyDescent="0.25">
      <c r="A819" t="s">
        <v>2991</v>
      </c>
      <c r="B819" t="s">
        <v>148</v>
      </c>
      <c r="C819" s="1">
        <v>45743</v>
      </c>
      <c r="D819" t="s">
        <v>175</v>
      </c>
      <c r="E819" t="s">
        <v>176</v>
      </c>
      <c r="F819" t="s">
        <v>556</v>
      </c>
      <c r="G819" t="s">
        <v>2992</v>
      </c>
      <c r="H819">
        <v>956</v>
      </c>
      <c r="I819" t="s">
        <v>2992</v>
      </c>
      <c r="J819">
        <v>54</v>
      </c>
      <c r="K819" t="s">
        <v>5254</v>
      </c>
      <c r="L819" t="s">
        <v>1882</v>
      </c>
      <c r="M819" t="s">
        <v>2993</v>
      </c>
      <c r="N819" t="s">
        <v>2994</v>
      </c>
      <c r="O819" t="s">
        <v>2995</v>
      </c>
      <c r="Q819" t="s">
        <v>6332</v>
      </c>
      <c r="R819">
        <f>1</f>
        <v>1</v>
      </c>
      <c r="S819">
        <f>11.6</f>
        <v>11.6</v>
      </c>
      <c r="T819">
        <f>7.1</f>
        <v>7.1</v>
      </c>
      <c r="U819">
        <f>526</f>
        <v>526</v>
      </c>
      <c r="X819">
        <f>0</f>
        <v>0</v>
      </c>
      <c r="Y819" t="s">
        <v>157</v>
      </c>
      <c r="Z819">
        <f>0</f>
        <v>0</v>
      </c>
      <c r="AA819" t="s">
        <v>158</v>
      </c>
      <c r="AB819" t="s">
        <v>158</v>
      </c>
      <c r="AD819">
        <f>0</f>
        <v>0</v>
      </c>
      <c r="AE819">
        <f>0</f>
        <v>0</v>
      </c>
      <c r="BI819">
        <f>0.36</f>
        <v>0.36</v>
      </c>
    </row>
    <row r="820" spans="1:61" x14ac:dyDescent="0.25">
      <c r="A820" t="s">
        <v>2996</v>
      </c>
      <c r="B820" t="s">
        <v>148</v>
      </c>
      <c r="C820" s="1">
        <v>45742</v>
      </c>
      <c r="D820" t="s">
        <v>317</v>
      </c>
      <c r="E820" t="s">
        <v>318</v>
      </c>
      <c r="F820" t="s">
        <v>2997</v>
      </c>
      <c r="G820" t="s">
        <v>2998</v>
      </c>
      <c r="H820">
        <v>565</v>
      </c>
      <c r="I820" t="s">
        <v>2998</v>
      </c>
      <c r="J820">
        <v>50</v>
      </c>
      <c r="K820" t="s">
        <v>5254</v>
      </c>
      <c r="L820" t="s">
        <v>180</v>
      </c>
      <c r="M820" t="s">
        <v>4879</v>
      </c>
      <c r="N820" t="s">
        <v>5227</v>
      </c>
      <c r="Q820" t="s">
        <v>347</v>
      </c>
      <c r="R820">
        <f>1</f>
        <v>1</v>
      </c>
      <c r="S820">
        <f>8.9</f>
        <v>8.9</v>
      </c>
      <c r="T820">
        <f>7.9</f>
        <v>7.9</v>
      </c>
      <c r="U820">
        <f>362</f>
        <v>362</v>
      </c>
      <c r="X820">
        <f>0</f>
        <v>0</v>
      </c>
      <c r="Y820">
        <f>0.21</f>
        <v>0.21</v>
      </c>
      <c r="Z820">
        <f>0</f>
        <v>0</v>
      </c>
      <c r="AA820">
        <f>1</f>
        <v>1</v>
      </c>
      <c r="AB820">
        <f>1</f>
        <v>1</v>
      </c>
      <c r="AD820">
        <f>0</f>
        <v>0</v>
      </c>
      <c r="AE820">
        <f>0</f>
        <v>0</v>
      </c>
      <c r="AH820" t="s">
        <v>157</v>
      </c>
    </row>
    <row r="821" spans="1:61" x14ac:dyDescent="0.25">
      <c r="A821" t="s">
        <v>2999</v>
      </c>
      <c r="B821" t="s">
        <v>148</v>
      </c>
      <c r="C821" s="1">
        <v>45741</v>
      </c>
      <c r="D821" t="s">
        <v>317</v>
      </c>
      <c r="E821" t="s">
        <v>318</v>
      </c>
      <c r="F821" t="s">
        <v>3000</v>
      </c>
      <c r="G821" t="s">
        <v>3001</v>
      </c>
      <c r="H821">
        <v>362</v>
      </c>
      <c r="I821" t="s">
        <v>6151</v>
      </c>
      <c r="J821">
        <v>68</v>
      </c>
      <c r="K821" t="s">
        <v>5254</v>
      </c>
      <c r="L821" t="s">
        <v>180</v>
      </c>
      <c r="M821" t="s">
        <v>3002</v>
      </c>
      <c r="N821" t="s">
        <v>3003</v>
      </c>
      <c r="O821" t="s">
        <v>3004</v>
      </c>
      <c r="Q821" t="s">
        <v>6372</v>
      </c>
      <c r="R821">
        <f>1</f>
        <v>1</v>
      </c>
      <c r="S821">
        <f>8.3</f>
        <v>8.3000000000000007</v>
      </c>
      <c r="T821">
        <f>6.6</f>
        <v>6.6</v>
      </c>
      <c r="U821">
        <f>32</f>
        <v>32</v>
      </c>
      <c r="X821">
        <f>0</f>
        <v>0</v>
      </c>
      <c r="Y821" t="s">
        <v>157</v>
      </c>
      <c r="Z821">
        <f>0</f>
        <v>0</v>
      </c>
      <c r="AA821">
        <f>1</f>
        <v>1</v>
      </c>
      <c r="AB821">
        <f>0</f>
        <v>0</v>
      </c>
      <c r="AD821">
        <f>0</f>
        <v>0</v>
      </c>
      <c r="AE821">
        <f>0</f>
        <v>0</v>
      </c>
      <c r="AH821" t="s">
        <v>157</v>
      </c>
      <c r="BI821" t="s">
        <v>167</v>
      </c>
    </row>
    <row r="822" spans="1:61" x14ac:dyDescent="0.25">
      <c r="A822" t="s">
        <v>3005</v>
      </c>
      <c r="B822" t="s">
        <v>148</v>
      </c>
      <c r="C822" s="1">
        <v>45735</v>
      </c>
      <c r="D822" t="s">
        <v>317</v>
      </c>
      <c r="E822" t="s">
        <v>318</v>
      </c>
      <c r="F822" t="s">
        <v>6566</v>
      </c>
      <c r="G822" t="s">
        <v>6791</v>
      </c>
      <c r="H822">
        <v>625</v>
      </c>
      <c r="I822" t="s">
        <v>6791</v>
      </c>
      <c r="J822">
        <v>50</v>
      </c>
      <c r="K822" t="s">
        <v>5254</v>
      </c>
      <c r="L822" t="s">
        <v>4966</v>
      </c>
      <c r="M822" t="s">
        <v>5228</v>
      </c>
      <c r="N822" t="s">
        <v>5662</v>
      </c>
      <c r="O822" t="s">
        <v>3006</v>
      </c>
      <c r="Q822" t="s">
        <v>347</v>
      </c>
      <c r="R822">
        <f>1</f>
        <v>1</v>
      </c>
      <c r="S822">
        <f>8.5</f>
        <v>8.5</v>
      </c>
      <c r="T822">
        <f>6.9</f>
        <v>6.9</v>
      </c>
      <c r="U822">
        <f>39</f>
        <v>39</v>
      </c>
      <c r="X822">
        <f>0</f>
        <v>0</v>
      </c>
      <c r="Y822">
        <f>0.61</f>
        <v>0.61</v>
      </c>
      <c r="Z822">
        <f>0</f>
        <v>0</v>
      </c>
      <c r="AA822">
        <f>6</f>
        <v>6</v>
      </c>
      <c r="AB822">
        <f>6</f>
        <v>6</v>
      </c>
      <c r="AD822">
        <f>0</f>
        <v>0</v>
      </c>
      <c r="AE822">
        <f>0</f>
        <v>0</v>
      </c>
      <c r="AH822" t="s">
        <v>157</v>
      </c>
    </row>
    <row r="823" spans="1:61" x14ac:dyDescent="0.25">
      <c r="A823" t="s">
        <v>3007</v>
      </c>
      <c r="B823" t="s">
        <v>148</v>
      </c>
      <c r="C823" s="1">
        <v>45735</v>
      </c>
      <c r="D823" t="s">
        <v>317</v>
      </c>
      <c r="E823" t="s">
        <v>318</v>
      </c>
      <c r="F823" t="s">
        <v>6152</v>
      </c>
      <c r="G823" t="s">
        <v>3008</v>
      </c>
      <c r="H823">
        <v>1103</v>
      </c>
      <c r="I823" t="s">
        <v>3008</v>
      </c>
      <c r="J823">
        <v>65</v>
      </c>
      <c r="K823" t="s">
        <v>5254</v>
      </c>
      <c r="L823" t="s">
        <v>4966</v>
      </c>
      <c r="M823" t="s">
        <v>3009</v>
      </c>
      <c r="N823" t="s">
        <v>5229</v>
      </c>
      <c r="O823" t="s">
        <v>3010</v>
      </c>
      <c r="Q823" t="s">
        <v>6419</v>
      </c>
      <c r="R823">
        <f>1</f>
        <v>1</v>
      </c>
      <c r="S823">
        <f>7</f>
        <v>7</v>
      </c>
      <c r="T823">
        <f>8.2</f>
        <v>8.1999999999999993</v>
      </c>
      <c r="U823">
        <f>124</f>
        <v>124</v>
      </c>
      <c r="X823">
        <f>0</f>
        <v>0</v>
      </c>
      <c r="Y823">
        <f>0.21</f>
        <v>0.21</v>
      </c>
      <c r="Z823">
        <f>0</f>
        <v>0</v>
      </c>
      <c r="AA823">
        <f>13</f>
        <v>13</v>
      </c>
      <c r="AB823">
        <f>1</f>
        <v>1</v>
      </c>
      <c r="AD823">
        <f>0</f>
        <v>0</v>
      </c>
      <c r="AE823">
        <f>0</f>
        <v>0</v>
      </c>
      <c r="AH823" t="s">
        <v>157</v>
      </c>
    </row>
    <row r="824" spans="1:61" x14ac:dyDescent="0.25">
      <c r="A824" t="s">
        <v>3011</v>
      </c>
      <c r="B824" t="s">
        <v>148</v>
      </c>
      <c r="C824" s="1">
        <v>45741</v>
      </c>
      <c r="D824" t="s">
        <v>175</v>
      </c>
      <c r="E824" t="s">
        <v>176</v>
      </c>
      <c r="F824" t="s">
        <v>1332</v>
      </c>
      <c r="G824" t="s">
        <v>6792</v>
      </c>
      <c r="H824">
        <v>578</v>
      </c>
      <c r="I824" t="s">
        <v>6792</v>
      </c>
      <c r="J824">
        <v>98</v>
      </c>
      <c r="K824" t="s">
        <v>5257</v>
      </c>
      <c r="L824" t="s">
        <v>180</v>
      </c>
      <c r="M824" t="s">
        <v>5055</v>
      </c>
      <c r="N824" t="s">
        <v>4880</v>
      </c>
      <c r="O824" t="s">
        <v>3012</v>
      </c>
      <c r="Q824" t="s">
        <v>4881</v>
      </c>
      <c r="R824">
        <f>1</f>
        <v>1</v>
      </c>
      <c r="S824">
        <f>10.8</f>
        <v>10.8</v>
      </c>
      <c r="T824">
        <f>7.6</f>
        <v>7.6</v>
      </c>
      <c r="U824">
        <f>390</f>
        <v>390</v>
      </c>
      <c r="X824">
        <f>1</f>
        <v>1</v>
      </c>
      <c r="Y824" t="s">
        <v>157</v>
      </c>
      <c r="Z824">
        <f>0</f>
        <v>0</v>
      </c>
      <c r="AA824" t="s">
        <v>158</v>
      </c>
      <c r="AB824" t="s">
        <v>158</v>
      </c>
      <c r="AC824">
        <f>0</f>
        <v>0</v>
      </c>
      <c r="AD824">
        <f>0</f>
        <v>0</v>
      </c>
      <c r="AE824">
        <f>0</f>
        <v>0</v>
      </c>
    </row>
    <row r="825" spans="1:61" x14ac:dyDescent="0.25">
      <c r="A825" t="s">
        <v>3013</v>
      </c>
      <c r="B825" t="s">
        <v>268</v>
      </c>
      <c r="C825" s="1">
        <v>45743</v>
      </c>
      <c r="D825" t="s">
        <v>175</v>
      </c>
      <c r="E825" t="s">
        <v>176</v>
      </c>
      <c r="F825" t="s">
        <v>4831</v>
      </c>
      <c r="G825" t="s">
        <v>5230</v>
      </c>
      <c r="H825">
        <v>1141</v>
      </c>
      <c r="I825" t="s">
        <v>5230</v>
      </c>
      <c r="J825">
        <v>77</v>
      </c>
      <c r="K825" t="s">
        <v>5257</v>
      </c>
      <c r="L825" t="s">
        <v>180</v>
      </c>
      <c r="M825" t="s">
        <v>5056</v>
      </c>
      <c r="N825" t="s">
        <v>5057</v>
      </c>
      <c r="O825" t="s">
        <v>3014</v>
      </c>
      <c r="R825">
        <f>1</f>
        <v>1</v>
      </c>
      <c r="S825">
        <f>9.4</f>
        <v>9.4</v>
      </c>
      <c r="T825">
        <f>8.1</f>
        <v>8.1</v>
      </c>
      <c r="U825">
        <f>387</f>
        <v>387</v>
      </c>
      <c r="X825">
        <f>0</f>
        <v>0</v>
      </c>
      <c r="Y825">
        <f>0.4</f>
        <v>0.4</v>
      </c>
      <c r="Z825">
        <f>0</f>
        <v>0</v>
      </c>
      <c r="AA825">
        <f>168</f>
        <v>168</v>
      </c>
      <c r="AB825" t="s">
        <v>158</v>
      </c>
      <c r="AC825">
        <f>0</f>
        <v>0</v>
      </c>
      <c r="AD825">
        <f>14</f>
        <v>14</v>
      </c>
      <c r="AE825" t="s">
        <v>1845</v>
      </c>
      <c r="BI825">
        <f>0.21</f>
        <v>0.21</v>
      </c>
    </row>
    <row r="826" spans="1:61" x14ac:dyDescent="0.25">
      <c r="A826" t="s">
        <v>3015</v>
      </c>
      <c r="B826" t="s">
        <v>148</v>
      </c>
      <c r="C826" s="1">
        <v>45743</v>
      </c>
      <c r="D826" t="s">
        <v>175</v>
      </c>
      <c r="E826" t="s">
        <v>176</v>
      </c>
      <c r="F826" t="s">
        <v>177</v>
      </c>
      <c r="G826" t="s">
        <v>6793</v>
      </c>
      <c r="H826">
        <v>1156</v>
      </c>
      <c r="I826" t="s">
        <v>6793</v>
      </c>
      <c r="J826">
        <v>73</v>
      </c>
      <c r="K826" t="s">
        <v>5254</v>
      </c>
      <c r="L826" t="s">
        <v>180</v>
      </c>
      <c r="M826" t="s">
        <v>5663</v>
      </c>
      <c r="N826" t="s">
        <v>5058</v>
      </c>
      <c r="O826" t="s">
        <v>3016</v>
      </c>
      <c r="R826">
        <f>1</f>
        <v>1</v>
      </c>
      <c r="S826">
        <f>7.9</f>
        <v>7.9</v>
      </c>
      <c r="T826">
        <f>7.8</f>
        <v>7.8</v>
      </c>
      <c r="U826">
        <f>388</f>
        <v>388</v>
      </c>
      <c r="X826">
        <f>0</f>
        <v>0</v>
      </c>
      <c r="Y826" t="s">
        <v>157</v>
      </c>
      <c r="Z826">
        <f>0</f>
        <v>0</v>
      </c>
      <c r="AA826">
        <f>24</f>
        <v>24</v>
      </c>
      <c r="AB826" t="s">
        <v>158</v>
      </c>
      <c r="AD826">
        <f>0</f>
        <v>0</v>
      </c>
      <c r="AE826">
        <f>0</f>
        <v>0</v>
      </c>
    </row>
    <row r="827" spans="1:61" x14ac:dyDescent="0.25">
      <c r="A827" t="s">
        <v>3017</v>
      </c>
      <c r="B827" t="s">
        <v>148</v>
      </c>
      <c r="C827" s="1">
        <v>45743</v>
      </c>
      <c r="D827" t="s">
        <v>175</v>
      </c>
      <c r="E827" t="s">
        <v>176</v>
      </c>
      <c r="F827" t="s">
        <v>4831</v>
      </c>
      <c r="G827" t="s">
        <v>6794</v>
      </c>
      <c r="H827">
        <v>1160</v>
      </c>
      <c r="I827" t="s">
        <v>6794</v>
      </c>
      <c r="J827">
        <v>99</v>
      </c>
      <c r="K827" t="s">
        <v>5257</v>
      </c>
      <c r="L827" t="s">
        <v>180</v>
      </c>
      <c r="M827" t="s">
        <v>4882</v>
      </c>
      <c r="N827" t="s">
        <v>4883</v>
      </c>
      <c r="O827" t="s">
        <v>3018</v>
      </c>
      <c r="R827">
        <f>1</f>
        <v>1</v>
      </c>
      <c r="S827">
        <f>10.7</f>
        <v>10.7</v>
      </c>
      <c r="T827">
        <f>8</f>
        <v>8</v>
      </c>
      <c r="U827">
        <f>384</f>
        <v>384</v>
      </c>
      <c r="X827">
        <f>0</f>
        <v>0</v>
      </c>
      <c r="Y827">
        <f>0.1</f>
        <v>0.1</v>
      </c>
      <c r="Z827">
        <f>0</f>
        <v>0</v>
      </c>
      <c r="AA827" t="s">
        <v>158</v>
      </c>
      <c r="AB827" t="s">
        <v>158</v>
      </c>
      <c r="AC827">
        <f>0</f>
        <v>0</v>
      </c>
      <c r="AD827">
        <f>0</f>
        <v>0</v>
      </c>
      <c r="AE827">
        <f>0</f>
        <v>0</v>
      </c>
      <c r="BI827" t="s">
        <v>836</v>
      </c>
    </row>
    <row r="828" spans="1:61" x14ac:dyDescent="0.25">
      <c r="A828" t="s">
        <v>3019</v>
      </c>
      <c r="B828" t="s">
        <v>148</v>
      </c>
      <c r="C828" s="1">
        <v>45758</v>
      </c>
      <c r="D828" t="s">
        <v>242</v>
      </c>
      <c r="E828" t="s">
        <v>243</v>
      </c>
      <c r="F828" t="s">
        <v>3020</v>
      </c>
      <c r="G828" t="s">
        <v>3021</v>
      </c>
      <c r="H828">
        <v>1178</v>
      </c>
      <c r="I828" t="s">
        <v>3021</v>
      </c>
      <c r="J828">
        <v>20</v>
      </c>
      <c r="K828" t="s">
        <v>5257</v>
      </c>
      <c r="L828" t="s">
        <v>712</v>
      </c>
      <c r="M828" t="s">
        <v>3022</v>
      </c>
      <c r="N828" t="s">
        <v>4884</v>
      </c>
      <c r="O828" t="s">
        <v>3023</v>
      </c>
      <c r="Q828" t="s">
        <v>6420</v>
      </c>
      <c r="R828">
        <f>1</f>
        <v>1</v>
      </c>
      <c r="S828">
        <f>5.9</f>
        <v>5.9</v>
      </c>
      <c r="T828">
        <f>7.9</f>
        <v>7.9</v>
      </c>
      <c r="U828">
        <f>84</f>
        <v>84</v>
      </c>
      <c r="X828">
        <f>1</f>
        <v>1</v>
      </c>
      <c r="Y828" t="s">
        <v>157</v>
      </c>
      <c r="Z828">
        <f>0</f>
        <v>0</v>
      </c>
      <c r="AA828" t="s">
        <v>158</v>
      </c>
      <c r="AB828" t="s">
        <v>158</v>
      </c>
      <c r="AC828">
        <f>0</f>
        <v>0</v>
      </c>
      <c r="AD828">
        <f>0</f>
        <v>0</v>
      </c>
      <c r="AE828">
        <f>0</f>
        <v>0</v>
      </c>
      <c r="AH828" t="s">
        <v>157</v>
      </c>
    </row>
    <row r="829" spans="1:61" x14ac:dyDescent="0.25">
      <c r="A829" t="s">
        <v>3024</v>
      </c>
      <c r="B829" t="s">
        <v>268</v>
      </c>
      <c r="C829" s="1">
        <v>45748</v>
      </c>
      <c r="D829" t="s">
        <v>242</v>
      </c>
      <c r="E829" t="s">
        <v>243</v>
      </c>
      <c r="F829" t="s">
        <v>6153</v>
      </c>
      <c r="G829" t="s">
        <v>6154</v>
      </c>
      <c r="H829">
        <v>1180</v>
      </c>
      <c r="I829" t="s">
        <v>6154</v>
      </c>
      <c r="J829">
        <v>56</v>
      </c>
      <c r="K829" t="s">
        <v>5257</v>
      </c>
      <c r="L829" t="s">
        <v>387</v>
      </c>
      <c r="M829" t="s">
        <v>3025</v>
      </c>
      <c r="N829" t="s">
        <v>6155</v>
      </c>
      <c r="O829" t="s">
        <v>3026</v>
      </c>
      <c r="Q829" t="s">
        <v>6365</v>
      </c>
      <c r="R829">
        <f>1</f>
        <v>1</v>
      </c>
      <c r="S829">
        <f>9.6</f>
        <v>9.6</v>
      </c>
      <c r="T829">
        <f>7.5</f>
        <v>7.5</v>
      </c>
      <c r="U829">
        <f>297</f>
        <v>297</v>
      </c>
      <c r="X829">
        <f>0</f>
        <v>0</v>
      </c>
      <c r="Y829">
        <f>1.15</f>
        <v>1.1499999999999999</v>
      </c>
      <c r="Z829">
        <f>0</f>
        <v>0</v>
      </c>
      <c r="AA829" t="s">
        <v>158</v>
      </c>
      <c r="AB829" t="s">
        <v>158</v>
      </c>
      <c r="AC829">
        <f>0</f>
        <v>0</v>
      </c>
      <c r="AD829">
        <f>0</f>
        <v>0</v>
      </c>
      <c r="AE829">
        <f>1</f>
        <v>1</v>
      </c>
      <c r="AH829" t="s">
        <v>157</v>
      </c>
      <c r="BI829">
        <f>0.27</f>
        <v>0.27</v>
      </c>
    </row>
    <row r="830" spans="1:61" x14ac:dyDescent="0.25">
      <c r="A830" t="s">
        <v>3027</v>
      </c>
      <c r="B830" t="s">
        <v>148</v>
      </c>
      <c r="C830" s="1">
        <v>45743</v>
      </c>
      <c r="D830" t="s">
        <v>242</v>
      </c>
      <c r="E830" t="s">
        <v>243</v>
      </c>
      <c r="F830" t="s">
        <v>391</v>
      </c>
      <c r="G830" t="s">
        <v>3028</v>
      </c>
      <c r="H830">
        <v>1184</v>
      </c>
      <c r="I830" t="s">
        <v>3028</v>
      </c>
      <c r="J830">
        <v>50</v>
      </c>
      <c r="K830" t="s">
        <v>5254</v>
      </c>
      <c r="L830" t="s">
        <v>393</v>
      </c>
      <c r="M830" t="s">
        <v>5664</v>
      </c>
      <c r="N830" t="s">
        <v>4885</v>
      </c>
      <c r="O830" t="s">
        <v>3029</v>
      </c>
      <c r="R830">
        <f>1</f>
        <v>1</v>
      </c>
      <c r="S830">
        <f>8.7</f>
        <v>8.6999999999999993</v>
      </c>
      <c r="T830">
        <f>7.8</f>
        <v>7.8</v>
      </c>
      <c r="U830">
        <f>581</f>
        <v>581</v>
      </c>
      <c r="X830">
        <f>1</f>
        <v>1</v>
      </c>
      <c r="Y830">
        <f>0.16</f>
        <v>0.16</v>
      </c>
      <c r="Z830">
        <f>0</f>
        <v>0</v>
      </c>
      <c r="AA830" t="s">
        <v>158</v>
      </c>
      <c r="AB830" t="s">
        <v>158</v>
      </c>
      <c r="AD830">
        <f>0</f>
        <v>0</v>
      </c>
      <c r="AE830">
        <f>0</f>
        <v>0</v>
      </c>
      <c r="AH830" t="s">
        <v>157</v>
      </c>
    </row>
    <row r="831" spans="1:61" x14ac:dyDescent="0.25">
      <c r="A831" t="s">
        <v>3030</v>
      </c>
      <c r="B831" t="s">
        <v>148</v>
      </c>
      <c r="C831" s="1">
        <v>45751</v>
      </c>
      <c r="D831" t="s">
        <v>317</v>
      </c>
      <c r="E831" t="s">
        <v>318</v>
      </c>
      <c r="F831" t="s">
        <v>319</v>
      </c>
      <c r="G831" t="s">
        <v>3031</v>
      </c>
      <c r="H831">
        <v>1101</v>
      </c>
      <c r="I831" t="s">
        <v>3031</v>
      </c>
      <c r="J831">
        <v>52</v>
      </c>
      <c r="K831" t="s">
        <v>5254</v>
      </c>
      <c r="L831" t="s">
        <v>4966</v>
      </c>
      <c r="M831" t="s">
        <v>3032</v>
      </c>
      <c r="N831" t="s">
        <v>3033</v>
      </c>
      <c r="O831" t="s">
        <v>3034</v>
      </c>
      <c r="Q831" t="s">
        <v>329</v>
      </c>
      <c r="R831">
        <f>1</f>
        <v>1</v>
      </c>
      <c r="S831">
        <f>8.4</f>
        <v>8.4</v>
      </c>
      <c r="T831">
        <f>8.2</f>
        <v>8.1999999999999993</v>
      </c>
      <c r="U831">
        <f>225</f>
        <v>225</v>
      </c>
      <c r="X831">
        <f>0</f>
        <v>0</v>
      </c>
      <c r="Y831" t="s">
        <v>157</v>
      </c>
      <c r="Z831">
        <f>0</f>
        <v>0</v>
      </c>
      <c r="AA831">
        <f>0</f>
        <v>0</v>
      </c>
      <c r="AB831">
        <f>64</f>
        <v>64</v>
      </c>
      <c r="AD831">
        <f>0</f>
        <v>0</v>
      </c>
      <c r="AE831">
        <f>0</f>
        <v>0</v>
      </c>
      <c r="AH831" t="s">
        <v>157</v>
      </c>
    </row>
    <row r="832" spans="1:61" x14ac:dyDescent="0.25">
      <c r="A832" t="s">
        <v>3035</v>
      </c>
      <c r="B832" t="s">
        <v>148</v>
      </c>
      <c r="C832" s="1">
        <v>45748</v>
      </c>
      <c r="D832" t="s">
        <v>175</v>
      </c>
      <c r="E832" t="s">
        <v>270</v>
      </c>
      <c r="F832" t="s">
        <v>354</v>
      </c>
      <c r="G832" t="s">
        <v>3036</v>
      </c>
      <c r="H832">
        <v>688</v>
      </c>
      <c r="I832" t="s">
        <v>3036</v>
      </c>
      <c r="J832">
        <v>77</v>
      </c>
      <c r="K832" t="s">
        <v>5257</v>
      </c>
      <c r="L832" t="s">
        <v>431</v>
      </c>
      <c r="M832" t="s">
        <v>4886</v>
      </c>
      <c r="N832" t="s">
        <v>3037</v>
      </c>
      <c r="O832" t="s">
        <v>3038</v>
      </c>
      <c r="R832">
        <f>1</f>
        <v>1</v>
      </c>
      <c r="S832">
        <f>10.1</f>
        <v>10.1</v>
      </c>
      <c r="T832">
        <f>7.9</f>
        <v>7.9</v>
      </c>
      <c r="U832">
        <f>377</f>
        <v>377</v>
      </c>
      <c r="X832">
        <f>0</f>
        <v>0</v>
      </c>
      <c r="Y832" t="s">
        <v>207</v>
      </c>
      <c r="Z832">
        <f>0</f>
        <v>0</v>
      </c>
      <c r="AA832" t="s">
        <v>158</v>
      </c>
      <c r="AB832" t="s">
        <v>158</v>
      </c>
      <c r="AC832">
        <f>0</f>
        <v>0</v>
      </c>
      <c r="AD832">
        <f>0</f>
        <v>0</v>
      </c>
      <c r="AE832">
        <f>0</f>
        <v>0</v>
      </c>
    </row>
    <row r="833" spans="1:61" x14ac:dyDescent="0.25">
      <c r="A833" t="s">
        <v>3039</v>
      </c>
      <c r="B833" t="s">
        <v>148</v>
      </c>
      <c r="C833" s="1">
        <v>45748</v>
      </c>
      <c r="D833" t="s">
        <v>175</v>
      </c>
      <c r="E833" t="s">
        <v>270</v>
      </c>
      <c r="F833" t="s">
        <v>4887</v>
      </c>
      <c r="G833" t="s">
        <v>3040</v>
      </c>
      <c r="H833">
        <v>1307</v>
      </c>
      <c r="I833" t="s">
        <v>3040</v>
      </c>
      <c r="J833">
        <v>98</v>
      </c>
      <c r="K833" t="s">
        <v>5257</v>
      </c>
      <c r="L833" t="s">
        <v>1882</v>
      </c>
      <c r="M833" t="s">
        <v>3041</v>
      </c>
      <c r="N833" t="s">
        <v>3042</v>
      </c>
      <c r="O833" t="s">
        <v>3043</v>
      </c>
      <c r="Q833" t="s">
        <v>6421</v>
      </c>
      <c r="R833">
        <f>1</f>
        <v>1</v>
      </c>
      <c r="S833">
        <f>13.2</f>
        <v>13.2</v>
      </c>
      <c r="T833">
        <f>7.8</f>
        <v>7.8</v>
      </c>
      <c r="U833">
        <f>314</f>
        <v>314</v>
      </c>
      <c r="X833">
        <f>0</f>
        <v>0</v>
      </c>
      <c r="Y833">
        <f>0.26</f>
        <v>0.26</v>
      </c>
      <c r="Z833">
        <f>0</f>
        <v>0</v>
      </c>
      <c r="AA833" t="s">
        <v>158</v>
      </c>
      <c r="AB833">
        <f>16</f>
        <v>16</v>
      </c>
      <c r="AC833">
        <f>0</f>
        <v>0</v>
      </c>
      <c r="AD833">
        <f>0</f>
        <v>0</v>
      </c>
      <c r="AE833">
        <f>0</f>
        <v>0</v>
      </c>
      <c r="BI833">
        <f>0.22</f>
        <v>0.22</v>
      </c>
    </row>
    <row r="834" spans="1:61" x14ac:dyDescent="0.25">
      <c r="A834" t="s">
        <v>3044</v>
      </c>
      <c r="B834" t="s">
        <v>148</v>
      </c>
      <c r="C834" s="1">
        <v>45743</v>
      </c>
      <c r="D834" t="s">
        <v>242</v>
      </c>
      <c r="E834" t="s">
        <v>243</v>
      </c>
      <c r="F834" t="s">
        <v>1396</v>
      </c>
      <c r="G834" t="s">
        <v>3045</v>
      </c>
      <c r="H834">
        <v>1391</v>
      </c>
      <c r="I834" t="s">
        <v>3045</v>
      </c>
      <c r="J834">
        <v>60</v>
      </c>
      <c r="K834" t="s">
        <v>5257</v>
      </c>
      <c r="L834" t="s">
        <v>431</v>
      </c>
      <c r="M834" t="s">
        <v>5665</v>
      </c>
      <c r="N834" t="s">
        <v>3046</v>
      </c>
      <c r="O834" t="s">
        <v>3047</v>
      </c>
      <c r="R834">
        <f>1</f>
        <v>1</v>
      </c>
      <c r="S834">
        <f>6.9</f>
        <v>6.9</v>
      </c>
      <c r="T834">
        <f>8</f>
        <v>8</v>
      </c>
      <c r="U834">
        <f>481</f>
        <v>481</v>
      </c>
      <c r="X834">
        <f>1</f>
        <v>1</v>
      </c>
      <c r="Y834" t="s">
        <v>157</v>
      </c>
      <c r="Z834">
        <f>0</f>
        <v>0</v>
      </c>
      <c r="AA834" t="s">
        <v>158</v>
      </c>
      <c r="AB834" t="s">
        <v>158</v>
      </c>
      <c r="AC834">
        <f>0</f>
        <v>0</v>
      </c>
      <c r="AD834">
        <f>0</f>
        <v>0</v>
      </c>
      <c r="AE834">
        <f>0</f>
        <v>0</v>
      </c>
      <c r="AH834" t="s">
        <v>157</v>
      </c>
    </row>
    <row r="835" spans="1:61" x14ac:dyDescent="0.25">
      <c r="A835" t="s">
        <v>3048</v>
      </c>
      <c r="B835" t="s">
        <v>148</v>
      </c>
      <c r="C835" s="1">
        <v>45736</v>
      </c>
      <c r="D835" t="s">
        <v>242</v>
      </c>
      <c r="E835" t="s">
        <v>295</v>
      </c>
      <c r="F835" t="s">
        <v>764</v>
      </c>
      <c r="G835" t="s">
        <v>3049</v>
      </c>
      <c r="H835">
        <v>1411</v>
      </c>
      <c r="I835" t="s">
        <v>3049</v>
      </c>
      <c r="J835">
        <v>60</v>
      </c>
      <c r="K835" t="s">
        <v>5257</v>
      </c>
      <c r="L835" t="s">
        <v>431</v>
      </c>
      <c r="M835" t="s">
        <v>5666</v>
      </c>
      <c r="N835" t="s">
        <v>3050</v>
      </c>
      <c r="O835" t="s">
        <v>3051</v>
      </c>
      <c r="R835">
        <f>1</f>
        <v>1</v>
      </c>
      <c r="S835">
        <f>9.6</f>
        <v>9.6</v>
      </c>
      <c r="T835">
        <f>7.7</f>
        <v>7.7</v>
      </c>
      <c r="U835">
        <f>446</f>
        <v>446</v>
      </c>
      <c r="X835">
        <f>0</f>
        <v>0</v>
      </c>
      <c r="Y835">
        <f>0.39</f>
        <v>0.39</v>
      </c>
      <c r="Z835">
        <f>0</f>
        <v>0</v>
      </c>
      <c r="AA835" t="s">
        <v>158</v>
      </c>
      <c r="AB835" t="s">
        <v>158</v>
      </c>
      <c r="AC835">
        <f>0</f>
        <v>0</v>
      </c>
      <c r="AD835">
        <f>0</f>
        <v>0</v>
      </c>
      <c r="AE835">
        <f>0</f>
        <v>0</v>
      </c>
    </row>
    <row r="836" spans="1:61" x14ac:dyDescent="0.25">
      <c r="A836" t="s">
        <v>3052</v>
      </c>
      <c r="B836" t="s">
        <v>148</v>
      </c>
      <c r="C836" s="1">
        <v>45728</v>
      </c>
      <c r="D836" t="s">
        <v>175</v>
      </c>
      <c r="E836" t="s">
        <v>176</v>
      </c>
      <c r="F836" t="s">
        <v>5167</v>
      </c>
      <c r="G836" t="s">
        <v>3053</v>
      </c>
      <c r="H836">
        <v>1459</v>
      </c>
      <c r="I836" t="s">
        <v>3053</v>
      </c>
      <c r="J836">
        <v>97</v>
      </c>
      <c r="K836" t="s">
        <v>5257</v>
      </c>
      <c r="M836" t="s">
        <v>5667</v>
      </c>
      <c r="N836" t="s">
        <v>4888</v>
      </c>
      <c r="O836" t="s">
        <v>3054</v>
      </c>
      <c r="R836">
        <f>1</f>
        <v>1</v>
      </c>
      <c r="S836">
        <f>6.4</f>
        <v>6.4</v>
      </c>
      <c r="T836">
        <f>7.8</f>
        <v>7.8</v>
      </c>
      <c r="U836">
        <f>358</f>
        <v>358</v>
      </c>
      <c r="X836">
        <f>0</f>
        <v>0</v>
      </c>
      <c r="Y836">
        <f>0.3</f>
        <v>0.3</v>
      </c>
      <c r="Z836">
        <f>0</f>
        <v>0</v>
      </c>
      <c r="AA836" t="s">
        <v>158</v>
      </c>
      <c r="AB836" t="s">
        <v>158</v>
      </c>
      <c r="AC836">
        <f>0</f>
        <v>0</v>
      </c>
      <c r="AD836">
        <f>0</f>
        <v>0</v>
      </c>
      <c r="AE836">
        <f>0</f>
        <v>0</v>
      </c>
      <c r="BI836" t="s">
        <v>836</v>
      </c>
    </row>
    <row r="837" spans="1:61" x14ac:dyDescent="0.25">
      <c r="A837" t="s">
        <v>3055</v>
      </c>
      <c r="B837" t="s">
        <v>148</v>
      </c>
      <c r="C837" s="1">
        <v>45742</v>
      </c>
      <c r="D837" t="s">
        <v>317</v>
      </c>
      <c r="E837" t="s">
        <v>318</v>
      </c>
      <c r="F837" t="s">
        <v>5668</v>
      </c>
      <c r="G837" t="s">
        <v>3056</v>
      </c>
      <c r="H837">
        <v>563</v>
      </c>
      <c r="I837" t="s">
        <v>3056</v>
      </c>
      <c r="J837">
        <v>67</v>
      </c>
      <c r="K837" t="s">
        <v>5254</v>
      </c>
      <c r="L837" t="s">
        <v>180</v>
      </c>
      <c r="M837" t="s">
        <v>3057</v>
      </c>
      <c r="N837" t="s">
        <v>6156</v>
      </c>
      <c r="O837" t="s">
        <v>3058</v>
      </c>
      <c r="Q837" t="s">
        <v>6304</v>
      </c>
      <c r="R837">
        <f>1</f>
        <v>1</v>
      </c>
      <c r="S837">
        <f>8.7</f>
        <v>8.6999999999999993</v>
      </c>
      <c r="T837">
        <f>6.7</f>
        <v>6.7</v>
      </c>
      <c r="U837">
        <f>22</f>
        <v>22</v>
      </c>
      <c r="X837">
        <f>0</f>
        <v>0</v>
      </c>
      <c r="Y837">
        <f>0.94</f>
        <v>0.94</v>
      </c>
      <c r="Z837">
        <f>0</f>
        <v>0</v>
      </c>
      <c r="AA837">
        <f>3</f>
        <v>3</v>
      </c>
      <c r="AB837">
        <f>0</f>
        <v>0</v>
      </c>
      <c r="AD837">
        <f>0</f>
        <v>0</v>
      </c>
      <c r="AE837">
        <f>0</f>
        <v>0</v>
      </c>
      <c r="AH837" t="s">
        <v>157</v>
      </c>
      <c r="BI837" t="s">
        <v>167</v>
      </c>
    </row>
    <row r="838" spans="1:61" x14ac:dyDescent="0.25">
      <c r="A838" t="s">
        <v>3059</v>
      </c>
      <c r="B838" t="s">
        <v>148</v>
      </c>
      <c r="C838" s="1">
        <v>45749</v>
      </c>
      <c r="D838" t="s">
        <v>175</v>
      </c>
      <c r="E838" t="s">
        <v>176</v>
      </c>
      <c r="F838" t="s">
        <v>370</v>
      </c>
      <c r="G838" t="s">
        <v>6157</v>
      </c>
      <c r="H838">
        <v>1494</v>
      </c>
      <c r="I838" t="s">
        <v>6157</v>
      </c>
      <c r="J838">
        <v>83</v>
      </c>
      <c r="K838" t="s">
        <v>5254</v>
      </c>
      <c r="L838" t="s">
        <v>4947</v>
      </c>
      <c r="M838" t="s">
        <v>3060</v>
      </c>
      <c r="N838" t="s">
        <v>6158</v>
      </c>
      <c r="O838" t="s">
        <v>3061</v>
      </c>
      <c r="Q838" t="s">
        <v>6372</v>
      </c>
      <c r="R838">
        <f>1</f>
        <v>1</v>
      </c>
      <c r="S838">
        <f>8.2</f>
        <v>8.1999999999999993</v>
      </c>
      <c r="T838">
        <f>7.6</f>
        <v>7.6</v>
      </c>
      <c r="U838">
        <f>167</f>
        <v>167</v>
      </c>
      <c r="V838">
        <f>0.04</f>
        <v>0.04</v>
      </c>
      <c r="X838">
        <f>0</f>
        <v>0</v>
      </c>
      <c r="Y838">
        <f>0.18</f>
        <v>0.18</v>
      </c>
      <c r="Z838">
        <f>0</f>
        <v>0</v>
      </c>
      <c r="AA838">
        <f>0</f>
        <v>0</v>
      </c>
      <c r="AB838">
        <f>0</f>
        <v>0</v>
      </c>
      <c r="AD838">
        <f>0</f>
        <v>0</v>
      </c>
      <c r="AE838">
        <f>0</f>
        <v>0</v>
      </c>
      <c r="AH838" t="s">
        <v>157</v>
      </c>
    </row>
    <row r="839" spans="1:61" x14ac:dyDescent="0.25">
      <c r="A839" t="s">
        <v>3062</v>
      </c>
      <c r="B839" t="s">
        <v>148</v>
      </c>
      <c r="C839" s="1">
        <v>45742</v>
      </c>
      <c r="D839" t="s">
        <v>242</v>
      </c>
      <c r="E839" t="s">
        <v>243</v>
      </c>
      <c r="F839" t="s">
        <v>6692</v>
      </c>
      <c r="G839" t="s">
        <v>3063</v>
      </c>
      <c r="H839">
        <v>1504</v>
      </c>
      <c r="I839" t="s">
        <v>3064</v>
      </c>
      <c r="J839">
        <v>50</v>
      </c>
      <c r="K839" t="s">
        <v>5257</v>
      </c>
      <c r="L839" t="s">
        <v>431</v>
      </c>
      <c r="M839" t="s">
        <v>3065</v>
      </c>
      <c r="N839" t="s">
        <v>4889</v>
      </c>
      <c r="O839" t="s">
        <v>3066</v>
      </c>
      <c r="R839">
        <f>1</f>
        <v>1</v>
      </c>
      <c r="S839">
        <f>9.2</f>
        <v>9.1999999999999993</v>
      </c>
      <c r="T839">
        <f>8.4</f>
        <v>8.4</v>
      </c>
      <c r="U839">
        <f>210</f>
        <v>210</v>
      </c>
      <c r="X839">
        <f>0</f>
        <v>0</v>
      </c>
      <c r="Y839">
        <f>0.5</f>
        <v>0.5</v>
      </c>
      <c r="Z839">
        <f>0</f>
        <v>0</v>
      </c>
      <c r="AA839">
        <f>16</f>
        <v>16</v>
      </c>
      <c r="AB839" t="s">
        <v>158</v>
      </c>
      <c r="AC839">
        <f>0</f>
        <v>0</v>
      </c>
      <c r="AD839">
        <f>0</f>
        <v>0</v>
      </c>
      <c r="AE839">
        <f>0</f>
        <v>0</v>
      </c>
      <c r="AH839" t="s">
        <v>157</v>
      </c>
      <c r="BI839">
        <f>0.2</f>
        <v>0.2</v>
      </c>
    </row>
    <row r="840" spans="1:61" x14ac:dyDescent="0.25">
      <c r="A840" t="s">
        <v>3067</v>
      </c>
      <c r="B840" t="s">
        <v>148</v>
      </c>
      <c r="C840" s="1">
        <v>45742</v>
      </c>
      <c r="D840" t="s">
        <v>175</v>
      </c>
      <c r="E840" t="s">
        <v>176</v>
      </c>
      <c r="F840" t="s">
        <v>556</v>
      </c>
      <c r="G840" t="s">
        <v>6159</v>
      </c>
      <c r="H840">
        <v>1507</v>
      </c>
      <c r="I840" t="s">
        <v>6159</v>
      </c>
      <c r="J840">
        <v>1</v>
      </c>
      <c r="K840" t="s">
        <v>5254</v>
      </c>
      <c r="L840" t="s">
        <v>4947</v>
      </c>
      <c r="M840" t="s">
        <v>3068</v>
      </c>
      <c r="N840" t="s">
        <v>6160</v>
      </c>
      <c r="O840" t="s">
        <v>3069</v>
      </c>
      <c r="R840">
        <f>1</f>
        <v>1</v>
      </c>
      <c r="S840">
        <f>9.4</f>
        <v>9.4</v>
      </c>
      <c r="T840">
        <f>7.7</f>
        <v>7.7</v>
      </c>
      <c r="U840">
        <f>475</f>
        <v>475</v>
      </c>
      <c r="V840">
        <f>0.04</f>
        <v>0.04</v>
      </c>
      <c r="X840">
        <f>0</f>
        <v>0</v>
      </c>
      <c r="Y840">
        <f>0.7</f>
        <v>0.7</v>
      </c>
      <c r="Z840">
        <f>0</f>
        <v>0</v>
      </c>
      <c r="AA840" t="s">
        <v>158</v>
      </c>
      <c r="AB840" t="s">
        <v>158</v>
      </c>
      <c r="AD840">
        <f>0</f>
        <v>0</v>
      </c>
      <c r="AE840">
        <f>0</f>
        <v>0</v>
      </c>
    </row>
    <row r="841" spans="1:61" x14ac:dyDescent="0.25">
      <c r="A841" t="s">
        <v>3070</v>
      </c>
      <c r="B841" t="s">
        <v>148</v>
      </c>
      <c r="C841" s="1">
        <v>45726</v>
      </c>
      <c r="D841" t="s">
        <v>222</v>
      </c>
      <c r="E841" t="s">
        <v>223</v>
      </c>
      <c r="F841" t="s">
        <v>3071</v>
      </c>
      <c r="G841" t="s">
        <v>3071</v>
      </c>
      <c r="H841">
        <v>1513</v>
      </c>
      <c r="I841" t="s">
        <v>3071</v>
      </c>
      <c r="J841">
        <v>50</v>
      </c>
      <c r="K841" t="s">
        <v>5257</v>
      </c>
      <c r="L841" t="s">
        <v>431</v>
      </c>
      <c r="M841" t="s">
        <v>3072</v>
      </c>
      <c r="N841" t="s">
        <v>4890</v>
      </c>
      <c r="O841" t="s">
        <v>3073</v>
      </c>
      <c r="Q841" t="s">
        <v>6422</v>
      </c>
      <c r="R841">
        <f>1</f>
        <v>1</v>
      </c>
      <c r="S841">
        <f>15.1</f>
        <v>15.1</v>
      </c>
      <c r="T841">
        <f>8</f>
        <v>8</v>
      </c>
      <c r="U841">
        <f>203</f>
        <v>203</v>
      </c>
      <c r="V841">
        <f>0.16</f>
        <v>0.16</v>
      </c>
      <c r="X841">
        <f>1</f>
        <v>1</v>
      </c>
      <c r="Y841">
        <f>0.1</f>
        <v>0.1</v>
      </c>
      <c r="Z841">
        <f>0</f>
        <v>0</v>
      </c>
      <c r="AA841">
        <f>0</f>
        <v>0</v>
      </c>
      <c r="AB841">
        <f>1</f>
        <v>1</v>
      </c>
      <c r="AC841">
        <f>0</f>
        <v>0</v>
      </c>
      <c r="AD841">
        <f>0</f>
        <v>0</v>
      </c>
      <c r="AE841">
        <f>0</f>
        <v>0</v>
      </c>
      <c r="AH841" t="s">
        <v>166</v>
      </c>
      <c r="BI841">
        <f>0.54</f>
        <v>0.54</v>
      </c>
    </row>
    <row r="842" spans="1:61" x14ac:dyDescent="0.25">
      <c r="A842" t="s">
        <v>3074</v>
      </c>
      <c r="B842" t="s">
        <v>148</v>
      </c>
      <c r="C842" s="1">
        <v>45747</v>
      </c>
      <c r="D842" t="s">
        <v>222</v>
      </c>
      <c r="E842" t="s">
        <v>223</v>
      </c>
      <c r="F842" t="s">
        <v>6795</v>
      </c>
      <c r="G842" t="s">
        <v>6795</v>
      </c>
      <c r="H842">
        <v>1514</v>
      </c>
      <c r="I842" t="s">
        <v>6795</v>
      </c>
      <c r="J842">
        <v>45</v>
      </c>
      <c r="K842" t="s">
        <v>5331</v>
      </c>
      <c r="L842" t="s">
        <v>4966</v>
      </c>
      <c r="M842" t="s">
        <v>3075</v>
      </c>
      <c r="N842" t="s">
        <v>6796</v>
      </c>
      <c r="O842" t="s">
        <v>3076</v>
      </c>
      <c r="Q842" t="s">
        <v>6298</v>
      </c>
      <c r="R842">
        <f>1</f>
        <v>1</v>
      </c>
      <c r="S842">
        <f>8.3</f>
        <v>8.3000000000000007</v>
      </c>
      <c r="T842">
        <f>8</f>
        <v>8</v>
      </c>
      <c r="U842">
        <f>203</f>
        <v>203</v>
      </c>
      <c r="X842">
        <f>1</f>
        <v>1</v>
      </c>
      <c r="Y842">
        <f>0.08</f>
        <v>0.08</v>
      </c>
      <c r="Z842">
        <f>0</f>
        <v>0</v>
      </c>
      <c r="AA842">
        <f>0</f>
        <v>0</v>
      </c>
      <c r="AB842">
        <f>0</f>
        <v>0</v>
      </c>
      <c r="AC842">
        <f>0</f>
        <v>0</v>
      </c>
      <c r="AD842">
        <f>0</f>
        <v>0</v>
      </c>
      <c r="AE842">
        <f>0</f>
        <v>0</v>
      </c>
      <c r="AH842" t="s">
        <v>166</v>
      </c>
    </row>
    <row r="843" spans="1:61" x14ac:dyDescent="0.25">
      <c r="A843" t="s">
        <v>3077</v>
      </c>
      <c r="B843" t="s">
        <v>268</v>
      </c>
      <c r="C843" s="1">
        <v>45730</v>
      </c>
      <c r="D843" t="s">
        <v>175</v>
      </c>
      <c r="E843" t="s">
        <v>649</v>
      </c>
      <c r="F843" t="s">
        <v>6161</v>
      </c>
      <c r="G843" t="s">
        <v>6162</v>
      </c>
      <c r="H843">
        <v>1530</v>
      </c>
      <c r="I843" t="s">
        <v>6162</v>
      </c>
      <c r="J843">
        <v>50</v>
      </c>
      <c r="K843" t="s">
        <v>5257</v>
      </c>
      <c r="M843" t="s">
        <v>6035</v>
      </c>
      <c r="N843" t="s">
        <v>6163</v>
      </c>
      <c r="O843" t="s">
        <v>3078</v>
      </c>
      <c r="R843">
        <f>1</f>
        <v>1</v>
      </c>
      <c r="S843">
        <f>9.9</f>
        <v>9.9</v>
      </c>
      <c r="T843">
        <f>6.6</f>
        <v>6.6</v>
      </c>
      <c r="U843">
        <f>40</f>
        <v>40</v>
      </c>
      <c r="X843">
        <f>0</f>
        <v>0</v>
      </c>
      <c r="Y843" t="s">
        <v>157</v>
      </c>
      <c r="Z843">
        <f>0</f>
        <v>0</v>
      </c>
      <c r="AA843" t="s">
        <v>158</v>
      </c>
      <c r="AB843" t="s">
        <v>158</v>
      </c>
      <c r="AC843">
        <f>0</f>
        <v>0</v>
      </c>
      <c r="AD843">
        <f>0</f>
        <v>0</v>
      </c>
      <c r="AE843">
        <f>3</f>
        <v>3</v>
      </c>
      <c r="BI843">
        <f>0.54</f>
        <v>0.54</v>
      </c>
    </row>
    <row r="844" spans="1:61" x14ac:dyDescent="0.25">
      <c r="A844" t="s">
        <v>3079</v>
      </c>
      <c r="B844" t="s">
        <v>148</v>
      </c>
      <c r="C844" s="1">
        <v>45741</v>
      </c>
      <c r="D844" t="s">
        <v>175</v>
      </c>
      <c r="E844" t="s">
        <v>176</v>
      </c>
      <c r="F844" t="s">
        <v>1332</v>
      </c>
      <c r="G844" t="s">
        <v>3080</v>
      </c>
      <c r="H844">
        <v>575</v>
      </c>
      <c r="I844" t="s">
        <v>3080</v>
      </c>
      <c r="J844">
        <v>73</v>
      </c>
      <c r="K844" t="s">
        <v>5254</v>
      </c>
      <c r="L844" t="s">
        <v>431</v>
      </c>
      <c r="M844" t="s">
        <v>3081</v>
      </c>
      <c r="N844" t="s">
        <v>3082</v>
      </c>
      <c r="O844" t="s">
        <v>3083</v>
      </c>
      <c r="Q844" t="s">
        <v>6423</v>
      </c>
      <c r="R844">
        <f>1</f>
        <v>1</v>
      </c>
      <c r="S844">
        <f>8.5</f>
        <v>8.5</v>
      </c>
      <c r="T844">
        <f>8.1</f>
        <v>8.1</v>
      </c>
      <c r="U844">
        <f>384</f>
        <v>384</v>
      </c>
      <c r="X844">
        <f>1</f>
        <v>1</v>
      </c>
      <c r="Y844" t="s">
        <v>157</v>
      </c>
      <c r="Z844">
        <f>0</f>
        <v>0</v>
      </c>
      <c r="AA844" t="s">
        <v>158</v>
      </c>
      <c r="AB844" t="s">
        <v>158</v>
      </c>
      <c r="AD844">
        <f>0</f>
        <v>0</v>
      </c>
      <c r="AE844">
        <f>0</f>
        <v>0</v>
      </c>
    </row>
    <row r="845" spans="1:61" x14ac:dyDescent="0.25">
      <c r="A845" t="s">
        <v>3084</v>
      </c>
      <c r="B845" t="s">
        <v>148</v>
      </c>
      <c r="C845" s="1">
        <v>45751</v>
      </c>
      <c r="D845" t="s">
        <v>317</v>
      </c>
      <c r="E845" t="s">
        <v>318</v>
      </c>
      <c r="F845" t="s">
        <v>847</v>
      </c>
      <c r="G845" t="s">
        <v>3085</v>
      </c>
      <c r="H845">
        <v>73</v>
      </c>
      <c r="I845" t="s">
        <v>3085</v>
      </c>
      <c r="J845">
        <v>70</v>
      </c>
      <c r="K845" t="s">
        <v>5254</v>
      </c>
      <c r="L845" t="s">
        <v>4966</v>
      </c>
      <c r="M845" t="s">
        <v>5669</v>
      </c>
      <c r="N845" t="s">
        <v>3086</v>
      </c>
      <c r="O845" t="s">
        <v>3087</v>
      </c>
      <c r="Q845" t="s">
        <v>329</v>
      </c>
      <c r="R845">
        <f>1</f>
        <v>1</v>
      </c>
      <c r="S845">
        <f>5.9</f>
        <v>5.9</v>
      </c>
      <c r="T845">
        <f>7.8</f>
        <v>7.8</v>
      </c>
      <c r="U845">
        <f>276</f>
        <v>276</v>
      </c>
      <c r="X845">
        <f>0</f>
        <v>0</v>
      </c>
      <c r="Y845" t="s">
        <v>157</v>
      </c>
      <c r="Z845">
        <f>0</f>
        <v>0</v>
      </c>
      <c r="AA845">
        <f>0</f>
        <v>0</v>
      </c>
      <c r="AB845">
        <f>0</f>
        <v>0</v>
      </c>
      <c r="AD845">
        <f>0</f>
        <v>0</v>
      </c>
      <c r="AE845">
        <f>0</f>
        <v>0</v>
      </c>
      <c r="AH845" t="s">
        <v>157</v>
      </c>
    </row>
    <row r="846" spans="1:61" x14ac:dyDescent="0.25">
      <c r="A846" t="s">
        <v>3088</v>
      </c>
      <c r="B846" t="s">
        <v>148</v>
      </c>
      <c r="C846" s="1">
        <v>45889</v>
      </c>
      <c r="D846" t="s">
        <v>222</v>
      </c>
      <c r="E846" t="s">
        <v>223</v>
      </c>
      <c r="F846" t="s">
        <v>469</v>
      </c>
      <c r="G846" t="s">
        <v>5231</v>
      </c>
      <c r="H846">
        <v>284</v>
      </c>
      <c r="I846" t="s">
        <v>5231</v>
      </c>
      <c r="J846">
        <v>53</v>
      </c>
      <c r="K846" t="s">
        <v>5257</v>
      </c>
      <c r="L846" t="s">
        <v>393</v>
      </c>
      <c r="M846" t="s">
        <v>5670</v>
      </c>
      <c r="N846" t="s">
        <v>5059</v>
      </c>
      <c r="O846" t="s">
        <v>3089</v>
      </c>
      <c r="R846">
        <f>1</f>
        <v>1</v>
      </c>
      <c r="S846">
        <f>22.1</f>
        <v>22.1</v>
      </c>
      <c r="T846">
        <f>7.8</f>
        <v>7.8</v>
      </c>
      <c r="U846">
        <f>318</f>
        <v>318</v>
      </c>
      <c r="V846">
        <f>0.05</f>
        <v>0.05</v>
      </c>
      <c r="X846">
        <f>1</f>
        <v>1</v>
      </c>
      <c r="Y846">
        <f>0.2</f>
        <v>0.2</v>
      </c>
      <c r="Z846">
        <f>0</f>
        <v>0</v>
      </c>
      <c r="AA846">
        <f>0</f>
        <v>0</v>
      </c>
      <c r="AB846">
        <f>0</f>
        <v>0</v>
      </c>
      <c r="AC846">
        <f>0</f>
        <v>0</v>
      </c>
      <c r="AD846">
        <f>0</f>
        <v>0</v>
      </c>
      <c r="AE846">
        <f>0</f>
        <v>0</v>
      </c>
      <c r="AH846" t="s">
        <v>166</v>
      </c>
    </row>
    <row r="847" spans="1:61" x14ac:dyDescent="0.25">
      <c r="A847" t="s">
        <v>3090</v>
      </c>
      <c r="B847" t="s">
        <v>148</v>
      </c>
      <c r="C847" s="1">
        <v>45741</v>
      </c>
      <c r="D847" t="s">
        <v>242</v>
      </c>
      <c r="E847" t="s">
        <v>243</v>
      </c>
      <c r="F847" t="s">
        <v>3091</v>
      </c>
      <c r="G847" t="s">
        <v>3092</v>
      </c>
      <c r="H847">
        <v>1336</v>
      </c>
      <c r="I847" t="s">
        <v>3093</v>
      </c>
      <c r="J847">
        <v>56</v>
      </c>
      <c r="K847" t="s">
        <v>5254</v>
      </c>
      <c r="L847" t="s">
        <v>4775</v>
      </c>
      <c r="M847" t="s">
        <v>4891</v>
      </c>
      <c r="N847" t="s">
        <v>3094</v>
      </c>
      <c r="O847" t="s">
        <v>3095</v>
      </c>
      <c r="R847">
        <f>1</f>
        <v>1</v>
      </c>
      <c r="S847">
        <f>9.5</f>
        <v>9.5</v>
      </c>
      <c r="T847">
        <f>7.8</f>
        <v>7.8</v>
      </c>
      <c r="U847">
        <f>243</f>
        <v>243</v>
      </c>
      <c r="X847">
        <f>0</f>
        <v>0</v>
      </c>
      <c r="Y847" t="s">
        <v>157</v>
      </c>
      <c r="Z847">
        <f>0</f>
        <v>0</v>
      </c>
      <c r="AA847" t="s">
        <v>158</v>
      </c>
      <c r="AB847" t="s">
        <v>158</v>
      </c>
      <c r="AD847">
        <f>0</f>
        <v>0</v>
      </c>
      <c r="AE847">
        <f>0</f>
        <v>0</v>
      </c>
      <c r="AH847" t="s">
        <v>157</v>
      </c>
      <c r="BI847" t="s">
        <v>836</v>
      </c>
    </row>
    <row r="848" spans="1:61" x14ac:dyDescent="0.25">
      <c r="A848" t="s">
        <v>3096</v>
      </c>
      <c r="B848" t="s">
        <v>148</v>
      </c>
      <c r="C848" s="1">
        <v>45741</v>
      </c>
      <c r="D848" t="s">
        <v>242</v>
      </c>
      <c r="E848" t="s">
        <v>243</v>
      </c>
      <c r="F848" t="s">
        <v>3097</v>
      </c>
      <c r="G848" t="s">
        <v>3098</v>
      </c>
      <c r="H848">
        <v>893</v>
      </c>
      <c r="I848" t="s">
        <v>3098</v>
      </c>
      <c r="J848">
        <v>48</v>
      </c>
      <c r="K848" t="s">
        <v>5254</v>
      </c>
      <c r="L848" t="s">
        <v>4775</v>
      </c>
      <c r="M848" t="s">
        <v>4892</v>
      </c>
      <c r="N848" t="s">
        <v>3099</v>
      </c>
      <c r="O848" t="s">
        <v>3100</v>
      </c>
      <c r="Q848" t="s">
        <v>6340</v>
      </c>
      <c r="R848">
        <f>1</f>
        <v>1</v>
      </c>
      <c r="S848">
        <f>9.8</f>
        <v>9.8000000000000007</v>
      </c>
      <c r="T848">
        <f>7.4</f>
        <v>7.4</v>
      </c>
      <c r="U848">
        <f>452</f>
        <v>452</v>
      </c>
      <c r="X848">
        <f>0</f>
        <v>0</v>
      </c>
      <c r="Y848" t="s">
        <v>157</v>
      </c>
      <c r="Z848">
        <f>0</f>
        <v>0</v>
      </c>
      <c r="AA848" t="s">
        <v>158</v>
      </c>
      <c r="AB848" t="s">
        <v>158</v>
      </c>
      <c r="AD848">
        <f>0</f>
        <v>0</v>
      </c>
      <c r="AE848">
        <f>0</f>
        <v>0</v>
      </c>
      <c r="AH848" t="s">
        <v>157</v>
      </c>
    </row>
    <row r="849" spans="1:61" x14ac:dyDescent="0.25">
      <c r="A849" t="s">
        <v>3101</v>
      </c>
      <c r="B849" t="s">
        <v>148</v>
      </c>
      <c r="C849" s="1">
        <v>45727</v>
      </c>
      <c r="D849" t="s">
        <v>175</v>
      </c>
      <c r="E849" t="s">
        <v>176</v>
      </c>
      <c r="F849" t="s">
        <v>5671</v>
      </c>
      <c r="G849" t="s">
        <v>3102</v>
      </c>
      <c r="H849">
        <v>1456</v>
      </c>
      <c r="I849" t="s">
        <v>3102</v>
      </c>
      <c r="J849">
        <v>73</v>
      </c>
      <c r="K849" t="s">
        <v>5257</v>
      </c>
      <c r="L849" t="s">
        <v>4966</v>
      </c>
      <c r="M849" t="s">
        <v>5434</v>
      </c>
      <c r="N849" t="s">
        <v>5672</v>
      </c>
      <c r="O849" t="s">
        <v>3103</v>
      </c>
      <c r="R849">
        <f>1</f>
        <v>1</v>
      </c>
      <c r="S849">
        <f>7.3</f>
        <v>7.3</v>
      </c>
      <c r="T849">
        <f>7.7</f>
        <v>7.7</v>
      </c>
      <c r="U849">
        <f>404</f>
        <v>404</v>
      </c>
      <c r="X849">
        <f>0</f>
        <v>0</v>
      </c>
      <c r="Y849" t="s">
        <v>157</v>
      </c>
      <c r="Z849">
        <f>0</f>
        <v>0</v>
      </c>
      <c r="AA849" t="s">
        <v>158</v>
      </c>
      <c r="AB849">
        <f>15</f>
        <v>15</v>
      </c>
      <c r="AC849">
        <f>0</f>
        <v>0</v>
      </c>
      <c r="AD849">
        <f>0</f>
        <v>0</v>
      </c>
      <c r="AE849">
        <f>0</f>
        <v>0</v>
      </c>
      <c r="BI849">
        <f>0.35</f>
        <v>0.35</v>
      </c>
    </row>
    <row r="850" spans="1:61" x14ac:dyDescent="0.25">
      <c r="A850" t="s">
        <v>3104</v>
      </c>
      <c r="B850" t="s">
        <v>268</v>
      </c>
      <c r="C850" s="1">
        <v>45734</v>
      </c>
      <c r="D850" t="s">
        <v>175</v>
      </c>
      <c r="E850" t="s">
        <v>270</v>
      </c>
      <c r="F850" t="s">
        <v>4832</v>
      </c>
      <c r="G850" t="s">
        <v>6797</v>
      </c>
      <c r="H850">
        <v>1138</v>
      </c>
      <c r="I850" t="s">
        <v>6797</v>
      </c>
      <c r="J850">
        <v>70</v>
      </c>
      <c r="K850" t="s">
        <v>5257</v>
      </c>
      <c r="L850" t="s">
        <v>180</v>
      </c>
      <c r="M850" t="s">
        <v>5434</v>
      </c>
      <c r="N850" t="s">
        <v>5673</v>
      </c>
      <c r="O850" t="s">
        <v>3105</v>
      </c>
      <c r="R850">
        <f>1</f>
        <v>1</v>
      </c>
      <c r="S850">
        <f>8.6</f>
        <v>8.6</v>
      </c>
      <c r="T850">
        <f>7.5</f>
        <v>7.5</v>
      </c>
      <c r="U850">
        <f>492</f>
        <v>492</v>
      </c>
      <c r="X850">
        <f>0</f>
        <v>0</v>
      </c>
      <c r="Y850" t="s">
        <v>207</v>
      </c>
      <c r="Z850">
        <f>0</f>
        <v>0</v>
      </c>
      <c r="AA850">
        <f>89</f>
        <v>89</v>
      </c>
      <c r="AB850" t="s">
        <v>158</v>
      </c>
      <c r="AC850">
        <f>0</f>
        <v>0</v>
      </c>
      <c r="AD850">
        <f>0</f>
        <v>0</v>
      </c>
      <c r="AE850">
        <f>25</f>
        <v>25</v>
      </c>
      <c r="BI850">
        <f>0.14</f>
        <v>0.14000000000000001</v>
      </c>
    </row>
    <row r="851" spans="1:61" x14ac:dyDescent="0.25">
      <c r="A851" t="s">
        <v>3106</v>
      </c>
      <c r="B851" t="s">
        <v>148</v>
      </c>
      <c r="C851" s="1">
        <v>45754</v>
      </c>
      <c r="D851" t="s">
        <v>175</v>
      </c>
      <c r="E851" t="s">
        <v>649</v>
      </c>
      <c r="F851" t="s">
        <v>685</v>
      </c>
      <c r="G851" t="s">
        <v>3107</v>
      </c>
      <c r="H851">
        <v>1519</v>
      </c>
      <c r="I851" t="s">
        <v>3108</v>
      </c>
      <c r="J851">
        <v>100</v>
      </c>
      <c r="K851" t="s">
        <v>5254</v>
      </c>
      <c r="L851" t="s">
        <v>431</v>
      </c>
      <c r="M851" t="s">
        <v>3109</v>
      </c>
      <c r="N851" t="s">
        <v>3110</v>
      </c>
      <c r="O851" t="s">
        <v>3111</v>
      </c>
      <c r="Q851" t="s">
        <v>1097</v>
      </c>
      <c r="R851">
        <f>1</f>
        <v>1</v>
      </c>
      <c r="S851">
        <f>9.6</f>
        <v>9.6</v>
      </c>
      <c r="T851">
        <f>7.7</f>
        <v>7.7</v>
      </c>
      <c r="U851">
        <f>558</f>
        <v>558</v>
      </c>
      <c r="X851">
        <f>0</f>
        <v>0</v>
      </c>
      <c r="Y851" t="s">
        <v>157</v>
      </c>
      <c r="Z851">
        <f>0</f>
        <v>0</v>
      </c>
      <c r="AA851" t="s">
        <v>158</v>
      </c>
      <c r="AB851" t="s">
        <v>158</v>
      </c>
      <c r="AD851">
        <f>0</f>
        <v>0</v>
      </c>
      <c r="AE851">
        <f>0</f>
        <v>0</v>
      </c>
    </row>
    <row r="852" spans="1:61" x14ac:dyDescent="0.25">
      <c r="A852" t="s">
        <v>3112</v>
      </c>
      <c r="B852" t="s">
        <v>148</v>
      </c>
      <c r="C852" s="1">
        <v>45727</v>
      </c>
      <c r="D852" t="s">
        <v>175</v>
      </c>
      <c r="E852" t="s">
        <v>176</v>
      </c>
      <c r="F852" t="s">
        <v>1681</v>
      </c>
      <c r="G852" t="s">
        <v>3113</v>
      </c>
      <c r="H852">
        <v>440</v>
      </c>
      <c r="I852" t="s">
        <v>3113</v>
      </c>
      <c r="J852">
        <v>100</v>
      </c>
      <c r="K852" t="s">
        <v>5254</v>
      </c>
      <c r="L852" t="s">
        <v>1882</v>
      </c>
      <c r="M852" t="s">
        <v>3114</v>
      </c>
      <c r="N852" t="s">
        <v>3115</v>
      </c>
      <c r="O852" t="s">
        <v>3116</v>
      </c>
      <c r="Q852" t="s">
        <v>3117</v>
      </c>
      <c r="R852">
        <f>1</f>
        <v>1</v>
      </c>
      <c r="S852">
        <f>9.7</f>
        <v>9.6999999999999993</v>
      </c>
      <c r="T852">
        <f>7.4</f>
        <v>7.4</v>
      </c>
      <c r="U852">
        <f>526</f>
        <v>526</v>
      </c>
      <c r="X852">
        <f>0</f>
        <v>0</v>
      </c>
      <c r="Y852" t="s">
        <v>157</v>
      </c>
      <c r="Z852">
        <f>0</f>
        <v>0</v>
      </c>
      <c r="AA852" t="s">
        <v>158</v>
      </c>
      <c r="AB852" t="s">
        <v>158</v>
      </c>
      <c r="AD852">
        <f>0</f>
        <v>0</v>
      </c>
      <c r="AE852">
        <f>0</f>
        <v>0</v>
      </c>
    </row>
    <row r="853" spans="1:61" x14ac:dyDescent="0.25">
      <c r="A853" t="s">
        <v>3118</v>
      </c>
      <c r="B853" t="s">
        <v>148</v>
      </c>
      <c r="C853" s="1">
        <v>45743</v>
      </c>
      <c r="D853" t="s">
        <v>175</v>
      </c>
      <c r="E853" t="s">
        <v>176</v>
      </c>
      <c r="F853" t="s">
        <v>1146</v>
      </c>
      <c r="G853" t="s">
        <v>3119</v>
      </c>
      <c r="H853">
        <v>1583</v>
      </c>
      <c r="I853" t="s">
        <v>3119</v>
      </c>
      <c r="J853">
        <v>98</v>
      </c>
      <c r="K853" t="s">
        <v>5257</v>
      </c>
      <c r="L853" t="s">
        <v>154</v>
      </c>
      <c r="M853" t="s">
        <v>5674</v>
      </c>
      <c r="N853" t="s">
        <v>5675</v>
      </c>
      <c r="O853" t="s">
        <v>3120</v>
      </c>
      <c r="R853">
        <f>1</f>
        <v>1</v>
      </c>
      <c r="S853">
        <f>9.6</f>
        <v>9.6</v>
      </c>
      <c r="T853">
        <f>7.7</f>
        <v>7.7</v>
      </c>
      <c r="U853">
        <f>432</f>
        <v>432</v>
      </c>
      <c r="X853">
        <f>0</f>
        <v>0</v>
      </c>
      <c r="Y853">
        <f>0.2</f>
        <v>0.2</v>
      </c>
      <c r="Z853">
        <f>0</f>
        <v>0</v>
      </c>
      <c r="AA853" t="s">
        <v>158</v>
      </c>
      <c r="AB853" t="s">
        <v>158</v>
      </c>
      <c r="AC853">
        <f>0</f>
        <v>0</v>
      </c>
      <c r="AD853">
        <f>0</f>
        <v>0</v>
      </c>
      <c r="AE853">
        <f>0</f>
        <v>0</v>
      </c>
    </row>
    <row r="854" spans="1:61" x14ac:dyDescent="0.25">
      <c r="A854" t="s">
        <v>3121</v>
      </c>
      <c r="B854" t="s">
        <v>148</v>
      </c>
      <c r="C854" s="1">
        <v>45748</v>
      </c>
      <c r="D854" t="s">
        <v>175</v>
      </c>
      <c r="E854" t="s">
        <v>649</v>
      </c>
      <c r="F854" t="s">
        <v>650</v>
      </c>
      <c r="G854" t="s">
        <v>5676</v>
      </c>
      <c r="H854">
        <v>1549</v>
      </c>
      <c r="I854" t="s">
        <v>5677</v>
      </c>
      <c r="J854">
        <v>53</v>
      </c>
      <c r="K854" t="s">
        <v>5257</v>
      </c>
      <c r="L854" t="s">
        <v>431</v>
      </c>
      <c r="M854" t="s">
        <v>5678</v>
      </c>
      <c r="N854" t="s">
        <v>5679</v>
      </c>
      <c r="O854" t="s">
        <v>3122</v>
      </c>
      <c r="R854">
        <f>1</f>
        <v>1</v>
      </c>
      <c r="S854">
        <f>14.7</f>
        <v>14.7</v>
      </c>
      <c r="T854">
        <f>7.7</f>
        <v>7.7</v>
      </c>
      <c r="U854">
        <f>470</f>
        <v>470</v>
      </c>
      <c r="X854">
        <f>0</f>
        <v>0</v>
      </c>
      <c r="Y854" t="s">
        <v>157</v>
      </c>
      <c r="Z854">
        <f>0</f>
        <v>0</v>
      </c>
      <c r="AA854" t="s">
        <v>158</v>
      </c>
      <c r="AB854">
        <f>15</f>
        <v>15</v>
      </c>
      <c r="AC854">
        <f>0</f>
        <v>0</v>
      </c>
      <c r="AD854">
        <f>0</f>
        <v>0</v>
      </c>
      <c r="AE854">
        <f>0</f>
        <v>0</v>
      </c>
      <c r="AH854" t="s">
        <v>157</v>
      </c>
    </row>
    <row r="855" spans="1:61" x14ac:dyDescent="0.25">
      <c r="A855" t="s">
        <v>3123</v>
      </c>
      <c r="B855" t="s">
        <v>148</v>
      </c>
      <c r="C855" s="1">
        <v>45721</v>
      </c>
      <c r="D855" t="s">
        <v>175</v>
      </c>
      <c r="E855" t="s">
        <v>176</v>
      </c>
      <c r="F855" t="s">
        <v>4893</v>
      </c>
      <c r="G855" t="s">
        <v>6798</v>
      </c>
      <c r="H855">
        <v>1551</v>
      </c>
      <c r="I855" t="s">
        <v>6798</v>
      </c>
      <c r="J855">
        <v>65</v>
      </c>
      <c r="K855" t="s">
        <v>5254</v>
      </c>
      <c r="L855" t="s">
        <v>431</v>
      </c>
      <c r="M855" s="2" t="s">
        <v>5680</v>
      </c>
      <c r="N855" t="s">
        <v>6164</v>
      </c>
      <c r="O855" t="s">
        <v>3124</v>
      </c>
      <c r="Q855" t="s">
        <v>6424</v>
      </c>
      <c r="R855">
        <f>1</f>
        <v>1</v>
      </c>
      <c r="S855">
        <f>8</f>
        <v>8</v>
      </c>
      <c r="T855">
        <f>7.3</f>
        <v>7.3</v>
      </c>
      <c r="U855">
        <f>573</f>
        <v>573</v>
      </c>
      <c r="X855">
        <f>0</f>
        <v>0</v>
      </c>
      <c r="Y855" t="s">
        <v>157</v>
      </c>
      <c r="Z855">
        <f>0</f>
        <v>0</v>
      </c>
      <c r="AA855" t="s">
        <v>158</v>
      </c>
      <c r="AB855" t="s">
        <v>158</v>
      </c>
      <c r="AD855">
        <f>0</f>
        <v>0</v>
      </c>
      <c r="AE855">
        <f>0</f>
        <v>0</v>
      </c>
      <c r="BI855">
        <f>0.24</f>
        <v>0.24</v>
      </c>
    </row>
    <row r="856" spans="1:61" x14ac:dyDescent="0.25">
      <c r="A856" t="s">
        <v>3125</v>
      </c>
      <c r="B856" t="s">
        <v>148</v>
      </c>
      <c r="C856" s="1">
        <v>45750</v>
      </c>
      <c r="D856" t="s">
        <v>175</v>
      </c>
      <c r="E856" t="s">
        <v>649</v>
      </c>
      <c r="F856" t="s">
        <v>1191</v>
      </c>
      <c r="G856" t="s">
        <v>3126</v>
      </c>
      <c r="H856">
        <v>1552</v>
      </c>
      <c r="I856" t="s">
        <v>3126</v>
      </c>
      <c r="J856">
        <v>53</v>
      </c>
      <c r="K856" t="s">
        <v>5254</v>
      </c>
      <c r="L856" t="s">
        <v>431</v>
      </c>
      <c r="M856" t="s">
        <v>6165</v>
      </c>
      <c r="N856" t="s">
        <v>3127</v>
      </c>
      <c r="O856" t="s">
        <v>3128</v>
      </c>
      <c r="R856">
        <f>1</f>
        <v>1</v>
      </c>
      <c r="S856">
        <f>11.7</f>
        <v>11.7</v>
      </c>
      <c r="T856">
        <f>8.1</f>
        <v>8.1</v>
      </c>
      <c r="U856">
        <f>349</f>
        <v>349</v>
      </c>
      <c r="X856">
        <f>0</f>
        <v>0</v>
      </c>
      <c r="Y856">
        <f>0.18</f>
        <v>0.18</v>
      </c>
      <c r="Z856">
        <f>0</f>
        <v>0</v>
      </c>
      <c r="AA856" t="s">
        <v>158</v>
      </c>
      <c r="AB856" t="s">
        <v>158</v>
      </c>
      <c r="AD856">
        <f>0</f>
        <v>0</v>
      </c>
      <c r="AE856">
        <f>0</f>
        <v>0</v>
      </c>
      <c r="AH856" t="s">
        <v>157</v>
      </c>
    </row>
    <row r="857" spans="1:61" x14ac:dyDescent="0.25">
      <c r="A857" t="s">
        <v>3129</v>
      </c>
      <c r="B857" t="s">
        <v>268</v>
      </c>
      <c r="C857" s="1">
        <v>45748</v>
      </c>
      <c r="D857" t="s">
        <v>175</v>
      </c>
      <c r="E857" t="s">
        <v>649</v>
      </c>
      <c r="F857" t="s">
        <v>2477</v>
      </c>
      <c r="G857" t="s">
        <v>3130</v>
      </c>
      <c r="H857">
        <v>1562</v>
      </c>
      <c r="I857" t="s">
        <v>3131</v>
      </c>
      <c r="J857">
        <v>80</v>
      </c>
      <c r="K857" t="s">
        <v>5257</v>
      </c>
      <c r="M857" s="2" t="s">
        <v>3132</v>
      </c>
      <c r="N857" t="s">
        <v>6799</v>
      </c>
      <c r="O857" t="s">
        <v>3133</v>
      </c>
      <c r="R857">
        <f>1</f>
        <v>1</v>
      </c>
      <c r="S857">
        <f>10.1</f>
        <v>10.1</v>
      </c>
      <c r="T857">
        <f>7.6</f>
        <v>7.6</v>
      </c>
      <c r="U857">
        <f>405</f>
        <v>405</v>
      </c>
      <c r="X857">
        <f>0</f>
        <v>0</v>
      </c>
      <c r="Y857" t="s">
        <v>157</v>
      </c>
      <c r="Z857">
        <f>0</f>
        <v>0</v>
      </c>
      <c r="AA857" t="s">
        <v>705</v>
      </c>
      <c r="AB857" t="s">
        <v>705</v>
      </c>
      <c r="AC857">
        <f>0</f>
        <v>0</v>
      </c>
      <c r="AD857">
        <f>0</f>
        <v>0</v>
      </c>
      <c r="AE857">
        <f>0</f>
        <v>0</v>
      </c>
      <c r="AH857" t="s">
        <v>157</v>
      </c>
    </row>
    <row r="858" spans="1:61" x14ac:dyDescent="0.25">
      <c r="A858" t="s">
        <v>3134</v>
      </c>
      <c r="B858" t="s">
        <v>268</v>
      </c>
      <c r="C858" s="1">
        <v>45748</v>
      </c>
      <c r="D858" t="s">
        <v>175</v>
      </c>
      <c r="E858" t="s">
        <v>649</v>
      </c>
      <c r="F858" t="s">
        <v>2477</v>
      </c>
      <c r="G858" t="s">
        <v>3135</v>
      </c>
      <c r="H858">
        <v>1563</v>
      </c>
      <c r="I858" t="s">
        <v>3136</v>
      </c>
      <c r="J858">
        <v>80</v>
      </c>
      <c r="K858" t="s">
        <v>5257</v>
      </c>
      <c r="M858" t="s">
        <v>6166</v>
      </c>
      <c r="N858" t="s">
        <v>6800</v>
      </c>
      <c r="O858" t="s">
        <v>3137</v>
      </c>
      <c r="Q858" t="s">
        <v>6801</v>
      </c>
      <c r="R858">
        <f>1</f>
        <v>1</v>
      </c>
      <c r="S858">
        <f>10.2</f>
        <v>10.199999999999999</v>
      </c>
      <c r="T858">
        <f>7.7</f>
        <v>7.7</v>
      </c>
      <c r="U858">
        <f>498</f>
        <v>498</v>
      </c>
      <c r="X858">
        <f>0</f>
        <v>0</v>
      </c>
      <c r="Y858">
        <f>4.77</f>
        <v>4.7699999999999996</v>
      </c>
      <c r="Z858">
        <f>0</f>
        <v>0</v>
      </c>
      <c r="AA858" t="s">
        <v>158</v>
      </c>
      <c r="AB858" t="s">
        <v>158</v>
      </c>
      <c r="AC858">
        <f>0</f>
        <v>0</v>
      </c>
      <c r="AD858">
        <f>0</f>
        <v>0</v>
      </c>
      <c r="AE858">
        <f>0</f>
        <v>0</v>
      </c>
      <c r="AH858" t="s">
        <v>157</v>
      </c>
    </row>
    <row r="859" spans="1:61" x14ac:dyDescent="0.25">
      <c r="A859" t="s">
        <v>3138</v>
      </c>
      <c r="B859" t="s">
        <v>148</v>
      </c>
      <c r="C859" s="1">
        <v>45751</v>
      </c>
      <c r="D859" t="s">
        <v>175</v>
      </c>
      <c r="E859" t="s">
        <v>649</v>
      </c>
      <c r="F859" t="s">
        <v>2477</v>
      </c>
      <c r="G859" t="s">
        <v>3139</v>
      </c>
      <c r="H859">
        <v>1566</v>
      </c>
      <c r="I859" t="s">
        <v>3139</v>
      </c>
      <c r="J859">
        <v>86</v>
      </c>
      <c r="K859" t="s">
        <v>5254</v>
      </c>
      <c r="M859" t="s">
        <v>3140</v>
      </c>
      <c r="N859" t="s">
        <v>3141</v>
      </c>
      <c r="O859" t="s">
        <v>3142</v>
      </c>
      <c r="R859">
        <f>1</f>
        <v>1</v>
      </c>
      <c r="S859">
        <f>10</f>
        <v>10</v>
      </c>
      <c r="T859">
        <f>7.5</f>
        <v>7.5</v>
      </c>
      <c r="U859">
        <f>544</f>
        <v>544</v>
      </c>
      <c r="X859">
        <f>0</f>
        <v>0</v>
      </c>
      <c r="Y859" t="s">
        <v>157</v>
      </c>
      <c r="Z859">
        <f>0</f>
        <v>0</v>
      </c>
      <c r="AA859">
        <f>21</f>
        <v>21</v>
      </c>
      <c r="AB859" t="s">
        <v>158</v>
      </c>
      <c r="AD859">
        <f>0</f>
        <v>0</v>
      </c>
      <c r="AE859">
        <f>0</f>
        <v>0</v>
      </c>
      <c r="AH859" t="s">
        <v>157</v>
      </c>
    </row>
    <row r="860" spans="1:61" x14ac:dyDescent="0.25">
      <c r="A860" t="s">
        <v>3143</v>
      </c>
      <c r="B860" t="s">
        <v>148</v>
      </c>
      <c r="C860" s="1">
        <v>45751</v>
      </c>
      <c r="D860" t="s">
        <v>175</v>
      </c>
      <c r="E860" t="s">
        <v>649</v>
      </c>
      <c r="F860" t="s">
        <v>2477</v>
      </c>
      <c r="G860" t="s">
        <v>3144</v>
      </c>
      <c r="H860">
        <v>1569</v>
      </c>
      <c r="I860" t="s">
        <v>3144</v>
      </c>
      <c r="J860">
        <v>82</v>
      </c>
      <c r="K860" t="s">
        <v>5257</v>
      </c>
      <c r="M860" t="s">
        <v>5232</v>
      </c>
      <c r="N860" t="s">
        <v>4894</v>
      </c>
      <c r="O860" t="s">
        <v>3145</v>
      </c>
      <c r="R860">
        <f>1</f>
        <v>1</v>
      </c>
      <c r="S860">
        <f>10.8</f>
        <v>10.8</v>
      </c>
      <c r="T860">
        <f>7.5</f>
        <v>7.5</v>
      </c>
      <c r="U860">
        <f>504</f>
        <v>504</v>
      </c>
      <c r="X860">
        <f>0</f>
        <v>0</v>
      </c>
      <c r="Y860" t="s">
        <v>157</v>
      </c>
      <c r="Z860">
        <f>0</f>
        <v>0</v>
      </c>
      <c r="AA860">
        <f>14</f>
        <v>14</v>
      </c>
      <c r="AB860" t="s">
        <v>158</v>
      </c>
      <c r="AC860">
        <f>0</f>
        <v>0</v>
      </c>
      <c r="AD860">
        <f>0</f>
        <v>0</v>
      </c>
      <c r="AE860">
        <f>0</f>
        <v>0</v>
      </c>
      <c r="AH860" t="s">
        <v>157</v>
      </c>
    </row>
    <row r="861" spans="1:61" x14ac:dyDescent="0.25">
      <c r="A861" t="s">
        <v>3146</v>
      </c>
      <c r="B861" t="s">
        <v>148</v>
      </c>
      <c r="C861" s="1">
        <v>45751</v>
      </c>
      <c r="D861" t="s">
        <v>175</v>
      </c>
      <c r="E861" t="s">
        <v>649</v>
      </c>
      <c r="F861" t="s">
        <v>2477</v>
      </c>
      <c r="G861" t="s">
        <v>6167</v>
      </c>
      <c r="H861">
        <v>1570</v>
      </c>
      <c r="I861" t="s">
        <v>6167</v>
      </c>
      <c r="J861">
        <v>79</v>
      </c>
      <c r="K861" t="s">
        <v>5254</v>
      </c>
      <c r="M861" t="s">
        <v>5681</v>
      </c>
      <c r="N861" t="s">
        <v>5682</v>
      </c>
      <c r="O861" t="s">
        <v>3147</v>
      </c>
      <c r="Q861" t="s">
        <v>6425</v>
      </c>
      <c r="R861">
        <f>1</f>
        <v>1</v>
      </c>
      <c r="S861">
        <f>11.2</f>
        <v>11.2</v>
      </c>
      <c r="T861">
        <f>7.6</f>
        <v>7.6</v>
      </c>
      <c r="U861">
        <f>505</f>
        <v>505</v>
      </c>
      <c r="X861">
        <f>0</f>
        <v>0</v>
      </c>
      <c r="Y861" t="s">
        <v>157</v>
      </c>
      <c r="Z861">
        <f>0</f>
        <v>0</v>
      </c>
      <c r="AA861" t="s">
        <v>158</v>
      </c>
      <c r="AB861" t="s">
        <v>158</v>
      </c>
      <c r="AD861">
        <f>0</f>
        <v>0</v>
      </c>
      <c r="AE861">
        <f>0</f>
        <v>0</v>
      </c>
      <c r="AH861" t="s">
        <v>157</v>
      </c>
    </row>
    <row r="862" spans="1:61" x14ac:dyDescent="0.25">
      <c r="A862" t="s">
        <v>3148</v>
      </c>
      <c r="B862" t="s">
        <v>148</v>
      </c>
      <c r="C862" s="1">
        <v>45748</v>
      </c>
      <c r="D862" t="s">
        <v>175</v>
      </c>
      <c r="E862" t="s">
        <v>649</v>
      </c>
      <c r="F862" t="s">
        <v>650</v>
      </c>
      <c r="G862" t="s">
        <v>3149</v>
      </c>
      <c r="H862">
        <v>1571</v>
      </c>
      <c r="I862" t="s">
        <v>3149</v>
      </c>
      <c r="J862">
        <v>60</v>
      </c>
      <c r="K862" t="s">
        <v>5254</v>
      </c>
      <c r="L862" t="s">
        <v>431</v>
      </c>
      <c r="M862" t="s">
        <v>4895</v>
      </c>
      <c r="N862" t="s">
        <v>6802</v>
      </c>
      <c r="O862" t="s">
        <v>3150</v>
      </c>
      <c r="Q862" t="s">
        <v>6426</v>
      </c>
      <c r="R862">
        <f>1</f>
        <v>1</v>
      </c>
      <c r="S862">
        <f>9.2</f>
        <v>9.1999999999999993</v>
      </c>
      <c r="T862">
        <f>7.6</f>
        <v>7.6</v>
      </c>
      <c r="U862">
        <f>484</f>
        <v>484</v>
      </c>
      <c r="X862">
        <f>0</f>
        <v>0</v>
      </c>
      <c r="Y862">
        <f>3.89</f>
        <v>3.89</v>
      </c>
      <c r="Z862">
        <f>0</f>
        <v>0</v>
      </c>
      <c r="AA862" t="s">
        <v>158</v>
      </c>
      <c r="AB862" t="s">
        <v>158</v>
      </c>
      <c r="AD862">
        <f>0</f>
        <v>0</v>
      </c>
      <c r="AE862">
        <f>0</f>
        <v>0</v>
      </c>
      <c r="AH862" t="s">
        <v>157</v>
      </c>
    </row>
    <row r="863" spans="1:61" x14ac:dyDescent="0.25">
      <c r="A863" t="s">
        <v>3151</v>
      </c>
      <c r="B863" t="s">
        <v>268</v>
      </c>
      <c r="C863" s="1">
        <v>45748</v>
      </c>
      <c r="D863" t="s">
        <v>175</v>
      </c>
      <c r="E863" t="s">
        <v>649</v>
      </c>
      <c r="F863" t="s">
        <v>2477</v>
      </c>
      <c r="G863" t="s">
        <v>3152</v>
      </c>
      <c r="H863">
        <v>1573</v>
      </c>
      <c r="I863" t="s">
        <v>3152</v>
      </c>
      <c r="J863">
        <v>77</v>
      </c>
      <c r="K863" t="s">
        <v>5257</v>
      </c>
      <c r="M863" t="s">
        <v>3153</v>
      </c>
      <c r="N863" t="s">
        <v>6803</v>
      </c>
      <c r="O863" t="s">
        <v>3154</v>
      </c>
      <c r="R863">
        <f>1</f>
        <v>1</v>
      </c>
      <c r="S863">
        <f>11.1</f>
        <v>11.1</v>
      </c>
      <c r="T863">
        <f>7.9</f>
        <v>7.9</v>
      </c>
      <c r="U863">
        <f>294</f>
        <v>294</v>
      </c>
      <c r="X863">
        <f>0</f>
        <v>0</v>
      </c>
      <c r="Y863">
        <f>0.77</f>
        <v>0.77</v>
      </c>
      <c r="Z863">
        <f>1</f>
        <v>1</v>
      </c>
      <c r="AA863">
        <f>232</f>
        <v>232</v>
      </c>
      <c r="AB863">
        <f>32</f>
        <v>32</v>
      </c>
      <c r="AC863">
        <f>0</f>
        <v>0</v>
      </c>
      <c r="AD863">
        <f>18</f>
        <v>18</v>
      </c>
      <c r="AE863" t="s">
        <v>1845</v>
      </c>
      <c r="AH863" t="s">
        <v>157</v>
      </c>
    </row>
    <row r="864" spans="1:61" x14ac:dyDescent="0.25">
      <c r="A864" t="s">
        <v>3155</v>
      </c>
      <c r="B864" t="s">
        <v>268</v>
      </c>
      <c r="C864" s="1">
        <v>45748</v>
      </c>
      <c r="D864" t="s">
        <v>175</v>
      </c>
      <c r="E864" t="s">
        <v>649</v>
      </c>
      <c r="F864" t="s">
        <v>2477</v>
      </c>
      <c r="G864" t="s">
        <v>3156</v>
      </c>
      <c r="H864">
        <v>1574</v>
      </c>
      <c r="I864" t="s">
        <v>3156</v>
      </c>
      <c r="J864">
        <v>100</v>
      </c>
      <c r="K864" t="s">
        <v>5254</v>
      </c>
      <c r="M864" t="s">
        <v>3157</v>
      </c>
      <c r="N864" t="s">
        <v>3158</v>
      </c>
      <c r="O864" t="s">
        <v>3159</v>
      </c>
      <c r="R864">
        <f>1</f>
        <v>1</v>
      </c>
      <c r="S864">
        <f>13.4</f>
        <v>13.4</v>
      </c>
      <c r="T864">
        <f>7.8</f>
        <v>7.8</v>
      </c>
      <c r="U864">
        <f>429</f>
        <v>429</v>
      </c>
      <c r="X864">
        <f>0</f>
        <v>0</v>
      </c>
      <c r="Y864" t="s">
        <v>157</v>
      </c>
      <c r="Z864">
        <f>0</f>
        <v>0</v>
      </c>
      <c r="AA864" t="s">
        <v>158</v>
      </c>
      <c r="AB864" t="s">
        <v>158</v>
      </c>
      <c r="AD864">
        <f>0</f>
        <v>0</v>
      </c>
      <c r="AE864">
        <f>1</f>
        <v>1</v>
      </c>
      <c r="AH864" t="s">
        <v>157</v>
      </c>
    </row>
    <row r="865" spans="1:61" x14ac:dyDescent="0.25">
      <c r="A865" t="s">
        <v>3160</v>
      </c>
      <c r="B865" t="s">
        <v>148</v>
      </c>
      <c r="C865" s="1">
        <v>45748</v>
      </c>
      <c r="D865" t="s">
        <v>242</v>
      </c>
      <c r="E865" t="s">
        <v>295</v>
      </c>
      <c r="F865" t="s">
        <v>5683</v>
      </c>
      <c r="G865" t="s">
        <v>5684</v>
      </c>
      <c r="H865">
        <v>1601</v>
      </c>
      <c r="I865" t="s">
        <v>5685</v>
      </c>
      <c r="J865">
        <v>60</v>
      </c>
      <c r="K865" t="s">
        <v>5257</v>
      </c>
      <c r="M865" t="s">
        <v>5686</v>
      </c>
      <c r="N865" t="s">
        <v>5687</v>
      </c>
      <c r="O865" t="s">
        <v>3161</v>
      </c>
      <c r="Q865" t="s">
        <v>6427</v>
      </c>
      <c r="R865">
        <f>1</f>
        <v>1</v>
      </c>
      <c r="S865">
        <f>11.6</f>
        <v>11.6</v>
      </c>
      <c r="T865">
        <f>7.6</f>
        <v>7.6</v>
      </c>
      <c r="U865">
        <f>539</f>
        <v>539</v>
      </c>
      <c r="X865">
        <f>0</f>
        <v>0</v>
      </c>
      <c r="Y865">
        <f>0.06</f>
        <v>0.06</v>
      </c>
      <c r="Z865">
        <f>0</f>
        <v>0</v>
      </c>
      <c r="AA865" t="s">
        <v>158</v>
      </c>
      <c r="AB865" t="s">
        <v>158</v>
      </c>
      <c r="AC865">
        <f>0</f>
        <v>0</v>
      </c>
      <c r="AD865">
        <f>0</f>
        <v>0</v>
      </c>
      <c r="AE865">
        <f>0</f>
        <v>0</v>
      </c>
      <c r="BI865" t="s">
        <v>157</v>
      </c>
    </row>
    <row r="866" spans="1:61" x14ac:dyDescent="0.25">
      <c r="A866" t="s">
        <v>3162</v>
      </c>
      <c r="B866" t="s">
        <v>268</v>
      </c>
      <c r="C866" s="1">
        <v>45737</v>
      </c>
      <c r="D866" t="s">
        <v>242</v>
      </c>
      <c r="E866" t="s">
        <v>243</v>
      </c>
      <c r="F866" t="s">
        <v>4896</v>
      </c>
      <c r="G866" t="s">
        <v>4896</v>
      </c>
      <c r="H866">
        <v>1605</v>
      </c>
      <c r="I866" t="s">
        <v>4896</v>
      </c>
      <c r="J866">
        <v>50</v>
      </c>
      <c r="K866" t="s">
        <v>5254</v>
      </c>
      <c r="M866" t="s">
        <v>6168</v>
      </c>
      <c r="N866" t="s">
        <v>4897</v>
      </c>
      <c r="O866" t="s">
        <v>3163</v>
      </c>
      <c r="Q866" t="s">
        <v>6372</v>
      </c>
      <c r="R866">
        <f>1</f>
        <v>1</v>
      </c>
      <c r="S866">
        <f>7.9</f>
        <v>7.9</v>
      </c>
      <c r="T866">
        <f>8</f>
        <v>8</v>
      </c>
      <c r="U866">
        <f>312</f>
        <v>312</v>
      </c>
      <c r="X866">
        <f>0</f>
        <v>0</v>
      </c>
      <c r="Y866">
        <f>0.37</f>
        <v>0.37</v>
      </c>
      <c r="Z866">
        <f>0</f>
        <v>0</v>
      </c>
      <c r="AA866">
        <f>117</f>
        <v>117</v>
      </c>
      <c r="AB866">
        <f>36</f>
        <v>36</v>
      </c>
      <c r="AD866">
        <f>0</f>
        <v>0</v>
      </c>
      <c r="AE866" t="s">
        <v>3164</v>
      </c>
      <c r="AH866" t="s">
        <v>157</v>
      </c>
      <c r="BI866" t="s">
        <v>836</v>
      </c>
    </row>
    <row r="867" spans="1:61" x14ac:dyDescent="0.25">
      <c r="A867" t="s">
        <v>3165</v>
      </c>
      <c r="B867" t="s">
        <v>268</v>
      </c>
      <c r="C867" s="1">
        <v>45741</v>
      </c>
      <c r="D867" t="s">
        <v>175</v>
      </c>
      <c r="E867" t="s">
        <v>176</v>
      </c>
      <c r="F867" t="s">
        <v>1332</v>
      </c>
      <c r="G867" t="s">
        <v>3166</v>
      </c>
      <c r="H867">
        <v>574</v>
      </c>
      <c r="I867" t="s">
        <v>3166</v>
      </c>
      <c r="J867">
        <v>52</v>
      </c>
      <c r="K867" t="s">
        <v>5257</v>
      </c>
      <c r="L867" t="s">
        <v>4966</v>
      </c>
      <c r="M867" t="s">
        <v>3167</v>
      </c>
      <c r="N867" t="s">
        <v>6169</v>
      </c>
      <c r="O867" t="s">
        <v>3168</v>
      </c>
      <c r="R867">
        <f>1</f>
        <v>1</v>
      </c>
      <c r="S867">
        <f>8.6</f>
        <v>8.6</v>
      </c>
      <c r="T867">
        <f>7.9</f>
        <v>7.9</v>
      </c>
      <c r="U867">
        <f>532</f>
        <v>532</v>
      </c>
      <c r="X867">
        <f>0</f>
        <v>0</v>
      </c>
      <c r="Y867">
        <f>0.4</f>
        <v>0.4</v>
      </c>
      <c r="Z867">
        <f>0</f>
        <v>0</v>
      </c>
      <c r="AA867" t="s">
        <v>158</v>
      </c>
      <c r="AB867" t="s">
        <v>158</v>
      </c>
      <c r="AC867">
        <f>0</f>
        <v>0</v>
      </c>
      <c r="AD867">
        <f>0</f>
        <v>0</v>
      </c>
      <c r="AE867">
        <f>1</f>
        <v>1</v>
      </c>
    </row>
    <row r="868" spans="1:61" x14ac:dyDescent="0.25">
      <c r="A868" t="s">
        <v>3169</v>
      </c>
      <c r="B868" t="s">
        <v>148</v>
      </c>
      <c r="C868" s="1">
        <v>45797</v>
      </c>
      <c r="D868" t="s">
        <v>175</v>
      </c>
      <c r="E868" t="s">
        <v>176</v>
      </c>
      <c r="F868" t="s">
        <v>1332</v>
      </c>
      <c r="G868" t="s">
        <v>3170</v>
      </c>
      <c r="H868">
        <v>1579</v>
      </c>
      <c r="I868" t="s">
        <v>3171</v>
      </c>
      <c r="J868">
        <v>98</v>
      </c>
      <c r="K868" t="s">
        <v>5257</v>
      </c>
      <c r="L868" t="s">
        <v>431</v>
      </c>
      <c r="M868" t="s">
        <v>3172</v>
      </c>
      <c r="N868" t="s">
        <v>3173</v>
      </c>
      <c r="O868" t="s">
        <v>3174</v>
      </c>
      <c r="Q868" t="s">
        <v>5060</v>
      </c>
      <c r="R868">
        <f>1</f>
        <v>1</v>
      </c>
      <c r="S868">
        <f>13.7</f>
        <v>13.7</v>
      </c>
      <c r="T868">
        <f>7.8</f>
        <v>7.8</v>
      </c>
      <c r="U868">
        <f>414</f>
        <v>414</v>
      </c>
      <c r="X868">
        <f>0</f>
        <v>0</v>
      </c>
      <c r="Y868">
        <f>3.8</f>
        <v>3.8</v>
      </c>
      <c r="Z868">
        <f>0</f>
        <v>0</v>
      </c>
      <c r="AA868" t="s">
        <v>158</v>
      </c>
      <c r="AB868" t="s">
        <v>158</v>
      </c>
      <c r="AC868">
        <f>0</f>
        <v>0</v>
      </c>
      <c r="AD868">
        <f>0</f>
        <v>0</v>
      </c>
      <c r="AE868">
        <f>0</f>
        <v>0</v>
      </c>
      <c r="AH868" t="s">
        <v>157</v>
      </c>
    </row>
    <row r="869" spans="1:61" x14ac:dyDescent="0.25">
      <c r="A869" t="s">
        <v>3175</v>
      </c>
      <c r="B869" t="s">
        <v>148</v>
      </c>
      <c r="C869" s="1">
        <v>45754</v>
      </c>
      <c r="D869" t="s">
        <v>175</v>
      </c>
      <c r="E869" t="s">
        <v>649</v>
      </c>
      <c r="F869" t="s">
        <v>685</v>
      </c>
      <c r="G869" t="s">
        <v>3176</v>
      </c>
      <c r="H869">
        <v>1638</v>
      </c>
      <c r="I869" t="s">
        <v>3176</v>
      </c>
      <c r="J869">
        <v>80</v>
      </c>
      <c r="K869" t="s">
        <v>5254</v>
      </c>
      <c r="L869" t="s">
        <v>431</v>
      </c>
      <c r="M869" t="s">
        <v>3177</v>
      </c>
      <c r="N869" t="s">
        <v>3178</v>
      </c>
      <c r="O869" t="s">
        <v>3179</v>
      </c>
      <c r="Q869" t="s">
        <v>6360</v>
      </c>
      <c r="R869">
        <f>1</f>
        <v>1</v>
      </c>
      <c r="S869">
        <f>11.4</f>
        <v>11.4</v>
      </c>
      <c r="T869">
        <f>7.7</f>
        <v>7.7</v>
      </c>
      <c r="U869">
        <f>428</f>
        <v>428</v>
      </c>
      <c r="X869">
        <f>0</f>
        <v>0</v>
      </c>
      <c r="Y869">
        <f>0.3</f>
        <v>0.3</v>
      </c>
      <c r="Z869">
        <f>0</f>
        <v>0</v>
      </c>
      <c r="AA869" t="s">
        <v>158</v>
      </c>
      <c r="AB869" t="s">
        <v>158</v>
      </c>
      <c r="AD869">
        <f>0</f>
        <v>0</v>
      </c>
      <c r="AE869">
        <f>0</f>
        <v>0</v>
      </c>
    </row>
    <row r="870" spans="1:61" x14ac:dyDescent="0.25">
      <c r="A870" t="s">
        <v>3180</v>
      </c>
      <c r="B870" t="s">
        <v>148</v>
      </c>
      <c r="C870" s="1">
        <v>45735</v>
      </c>
      <c r="D870" t="s">
        <v>317</v>
      </c>
      <c r="E870" t="s">
        <v>318</v>
      </c>
      <c r="F870" t="s">
        <v>5108</v>
      </c>
      <c r="G870" t="s">
        <v>3181</v>
      </c>
      <c r="H870">
        <v>1466</v>
      </c>
      <c r="I870" t="s">
        <v>3182</v>
      </c>
      <c r="J870">
        <v>57</v>
      </c>
      <c r="K870" t="s">
        <v>5257</v>
      </c>
      <c r="L870" t="s">
        <v>4966</v>
      </c>
      <c r="M870" t="s">
        <v>5384</v>
      </c>
      <c r="N870" t="s">
        <v>5233</v>
      </c>
      <c r="O870" t="s">
        <v>3183</v>
      </c>
      <c r="Q870" t="s">
        <v>6372</v>
      </c>
      <c r="R870">
        <f>1</f>
        <v>1</v>
      </c>
      <c r="S870">
        <f>6.4</f>
        <v>6.4</v>
      </c>
      <c r="T870">
        <f>7.7</f>
        <v>7.7</v>
      </c>
      <c r="U870">
        <f>303</f>
        <v>303</v>
      </c>
      <c r="X870">
        <f>0</f>
        <v>0</v>
      </c>
      <c r="Y870">
        <f>0.66</f>
        <v>0.66</v>
      </c>
      <c r="Z870">
        <f>0</f>
        <v>0</v>
      </c>
      <c r="AA870">
        <f>0</f>
        <v>0</v>
      </c>
      <c r="AB870">
        <f>0</f>
        <v>0</v>
      </c>
      <c r="AC870">
        <f>0</f>
        <v>0</v>
      </c>
      <c r="AD870">
        <f>0</f>
        <v>0</v>
      </c>
      <c r="AE870">
        <f>0</f>
        <v>0</v>
      </c>
      <c r="AH870" t="s">
        <v>157</v>
      </c>
    </row>
    <row r="871" spans="1:61" x14ac:dyDescent="0.25">
      <c r="A871" t="s">
        <v>3184</v>
      </c>
      <c r="B871" t="s">
        <v>268</v>
      </c>
      <c r="C871" s="1">
        <v>45737</v>
      </c>
      <c r="D871" t="s">
        <v>242</v>
      </c>
      <c r="E871" t="s">
        <v>243</v>
      </c>
      <c r="F871" t="s">
        <v>3185</v>
      </c>
      <c r="G871" t="s">
        <v>3185</v>
      </c>
      <c r="H871">
        <v>1651</v>
      </c>
      <c r="I871" t="s">
        <v>3186</v>
      </c>
      <c r="J871">
        <v>62</v>
      </c>
      <c r="K871" t="s">
        <v>5254</v>
      </c>
      <c r="M871" t="s">
        <v>3187</v>
      </c>
      <c r="N871" t="s">
        <v>5061</v>
      </c>
      <c r="O871" t="s">
        <v>3188</v>
      </c>
      <c r="R871">
        <f>1</f>
        <v>1</v>
      </c>
      <c r="S871">
        <f>10.9</f>
        <v>10.9</v>
      </c>
      <c r="T871">
        <f>7.3</f>
        <v>7.3</v>
      </c>
      <c r="U871">
        <f>572</f>
        <v>572</v>
      </c>
      <c r="X871">
        <f>0</f>
        <v>0</v>
      </c>
      <c r="Y871">
        <f>0.27</f>
        <v>0.27</v>
      </c>
      <c r="Z871" t="s">
        <v>3189</v>
      </c>
      <c r="AA871">
        <f>73</f>
        <v>73</v>
      </c>
      <c r="AB871">
        <f>26</f>
        <v>26</v>
      </c>
      <c r="AD871">
        <f>0</f>
        <v>0</v>
      </c>
      <c r="AE871" t="s">
        <v>1845</v>
      </c>
      <c r="AH871" t="s">
        <v>157</v>
      </c>
      <c r="BI871">
        <f>0.86</f>
        <v>0.86</v>
      </c>
    </row>
    <row r="872" spans="1:61" x14ac:dyDescent="0.25">
      <c r="A872" t="s">
        <v>3190</v>
      </c>
      <c r="B872" t="s">
        <v>148</v>
      </c>
      <c r="C872" s="1">
        <v>45751</v>
      </c>
      <c r="D872" t="s">
        <v>317</v>
      </c>
      <c r="E872" t="s">
        <v>318</v>
      </c>
      <c r="F872" t="s">
        <v>319</v>
      </c>
      <c r="G872" t="s">
        <v>3191</v>
      </c>
      <c r="H872">
        <v>1654</v>
      </c>
      <c r="I872" t="s">
        <v>3191</v>
      </c>
      <c r="J872">
        <v>30</v>
      </c>
      <c r="K872" t="s">
        <v>5254</v>
      </c>
      <c r="L872" t="s">
        <v>4966</v>
      </c>
      <c r="M872" t="s">
        <v>5062</v>
      </c>
      <c r="N872" t="s">
        <v>3192</v>
      </c>
      <c r="O872" t="s">
        <v>3193</v>
      </c>
      <c r="Q872" t="s">
        <v>329</v>
      </c>
      <c r="R872">
        <f>1</f>
        <v>1</v>
      </c>
      <c r="S872">
        <f>6.6</f>
        <v>6.6</v>
      </c>
      <c r="T872">
        <f>7.5</f>
        <v>7.5</v>
      </c>
      <c r="U872">
        <f>253</f>
        <v>253</v>
      </c>
      <c r="X872">
        <f>0</f>
        <v>0</v>
      </c>
      <c r="Y872">
        <f>0.21</f>
        <v>0.21</v>
      </c>
      <c r="Z872">
        <f>0</f>
        <v>0</v>
      </c>
      <c r="AA872">
        <f>4</f>
        <v>4</v>
      </c>
      <c r="AB872">
        <f>0</f>
        <v>0</v>
      </c>
      <c r="AD872">
        <f>0</f>
        <v>0</v>
      </c>
      <c r="AE872">
        <f>0</f>
        <v>0</v>
      </c>
      <c r="AH872" t="s">
        <v>157</v>
      </c>
    </row>
    <row r="873" spans="1:61" x14ac:dyDescent="0.25">
      <c r="A873" t="s">
        <v>3194</v>
      </c>
      <c r="B873" t="s">
        <v>148</v>
      </c>
      <c r="C873" s="1">
        <v>45793</v>
      </c>
      <c r="D873" t="s">
        <v>317</v>
      </c>
      <c r="E873" t="s">
        <v>176</v>
      </c>
      <c r="F873" t="s">
        <v>4821</v>
      </c>
      <c r="G873" t="s">
        <v>6170</v>
      </c>
      <c r="H873">
        <v>1664</v>
      </c>
      <c r="I873" t="s">
        <v>6171</v>
      </c>
      <c r="J873">
        <v>70</v>
      </c>
      <c r="K873" t="s">
        <v>4778</v>
      </c>
      <c r="L873" t="s">
        <v>431</v>
      </c>
      <c r="M873" t="s">
        <v>3195</v>
      </c>
      <c r="N873" t="s">
        <v>3196</v>
      </c>
      <c r="O873" t="s">
        <v>3197</v>
      </c>
      <c r="Q873" t="s">
        <v>6428</v>
      </c>
      <c r="R873">
        <f>1</f>
        <v>1</v>
      </c>
      <c r="S873">
        <f>11.7</f>
        <v>11.7</v>
      </c>
      <c r="T873">
        <f>8.1</f>
        <v>8.1</v>
      </c>
      <c r="U873">
        <f>258</f>
        <v>258</v>
      </c>
      <c r="X873">
        <f>0</f>
        <v>0</v>
      </c>
      <c r="Y873" t="s">
        <v>157</v>
      </c>
      <c r="Z873">
        <f>0</f>
        <v>0</v>
      </c>
      <c r="AA873">
        <f>0</f>
        <v>0</v>
      </c>
      <c r="AB873">
        <f>0</f>
        <v>0</v>
      </c>
      <c r="AC873">
        <f>0</f>
        <v>0</v>
      </c>
      <c r="AD873">
        <f>0</f>
        <v>0</v>
      </c>
      <c r="AE873">
        <f>0</f>
        <v>0</v>
      </c>
      <c r="AH873" t="s">
        <v>157</v>
      </c>
      <c r="BI873" t="s">
        <v>167</v>
      </c>
    </row>
    <row r="874" spans="1:61" x14ac:dyDescent="0.25">
      <c r="A874" t="s">
        <v>3198</v>
      </c>
      <c r="B874" t="s">
        <v>148</v>
      </c>
      <c r="C874" s="1">
        <v>45770</v>
      </c>
      <c r="D874" t="s">
        <v>317</v>
      </c>
      <c r="E874" t="s">
        <v>176</v>
      </c>
      <c r="F874" t="s">
        <v>4821</v>
      </c>
      <c r="G874" t="s">
        <v>6804</v>
      </c>
      <c r="H874">
        <v>1666</v>
      </c>
      <c r="I874" t="s">
        <v>6805</v>
      </c>
      <c r="J874">
        <v>70</v>
      </c>
      <c r="K874" t="s">
        <v>4778</v>
      </c>
      <c r="L874" t="s">
        <v>431</v>
      </c>
      <c r="M874" t="s">
        <v>5384</v>
      </c>
      <c r="N874" t="s">
        <v>4898</v>
      </c>
      <c r="O874" t="s">
        <v>3199</v>
      </c>
      <c r="Q874" t="s">
        <v>845</v>
      </c>
      <c r="R874">
        <f>1</f>
        <v>1</v>
      </c>
      <c r="S874">
        <f>12.1</f>
        <v>12.1</v>
      </c>
      <c r="T874">
        <f>7.4</f>
        <v>7.4</v>
      </c>
      <c r="U874">
        <f>358</f>
        <v>358</v>
      </c>
      <c r="X874">
        <f>0</f>
        <v>0</v>
      </c>
      <c r="Y874">
        <f>0.24</f>
        <v>0.24</v>
      </c>
      <c r="Z874">
        <f>0</f>
        <v>0</v>
      </c>
      <c r="AA874">
        <f>0</f>
        <v>0</v>
      </c>
      <c r="AB874">
        <f>0</f>
        <v>0</v>
      </c>
      <c r="AC874">
        <f>0</f>
        <v>0</v>
      </c>
      <c r="AD874">
        <f>0</f>
        <v>0</v>
      </c>
      <c r="AE874">
        <f>0</f>
        <v>0</v>
      </c>
      <c r="AH874" t="s">
        <v>157</v>
      </c>
      <c r="BI874">
        <f>1</f>
        <v>1</v>
      </c>
    </row>
    <row r="875" spans="1:61" x14ac:dyDescent="0.25">
      <c r="A875" t="s">
        <v>3200</v>
      </c>
      <c r="B875" t="s">
        <v>268</v>
      </c>
      <c r="C875" s="1">
        <v>45776</v>
      </c>
      <c r="D875" t="s">
        <v>317</v>
      </c>
      <c r="E875" t="s">
        <v>176</v>
      </c>
      <c r="F875" t="s">
        <v>4821</v>
      </c>
      <c r="G875" t="s">
        <v>3201</v>
      </c>
      <c r="H875">
        <v>1671</v>
      </c>
      <c r="I875" t="s">
        <v>3202</v>
      </c>
      <c r="J875">
        <v>70</v>
      </c>
      <c r="K875" t="s">
        <v>4778</v>
      </c>
      <c r="L875" t="s">
        <v>431</v>
      </c>
      <c r="M875" t="s">
        <v>5384</v>
      </c>
      <c r="N875" t="s">
        <v>3203</v>
      </c>
      <c r="O875" t="s">
        <v>3204</v>
      </c>
      <c r="Q875" t="s">
        <v>6340</v>
      </c>
      <c r="R875">
        <f>1</f>
        <v>1</v>
      </c>
      <c r="S875">
        <f>10.8</f>
        <v>10.8</v>
      </c>
      <c r="T875">
        <f>7.7</f>
        <v>7.7</v>
      </c>
      <c r="U875">
        <f>328</f>
        <v>328</v>
      </c>
      <c r="X875">
        <f>0</f>
        <v>0</v>
      </c>
      <c r="Y875">
        <f>0.61</f>
        <v>0.61</v>
      </c>
      <c r="Z875">
        <f>28</f>
        <v>28</v>
      </c>
      <c r="AA875" t="s">
        <v>705</v>
      </c>
      <c r="AB875">
        <f>39</f>
        <v>39</v>
      </c>
      <c r="AC875">
        <f>9</f>
        <v>9</v>
      </c>
      <c r="AD875">
        <f>18</f>
        <v>18</v>
      </c>
      <c r="AE875" t="s">
        <v>1845</v>
      </c>
      <c r="AH875" t="s">
        <v>157</v>
      </c>
      <c r="BI875" t="s">
        <v>167</v>
      </c>
    </row>
    <row r="876" spans="1:61" x14ac:dyDescent="0.25">
      <c r="A876" t="s">
        <v>3205</v>
      </c>
      <c r="B876" t="s">
        <v>148</v>
      </c>
      <c r="C876" s="1">
        <v>45735</v>
      </c>
      <c r="D876" t="s">
        <v>317</v>
      </c>
      <c r="E876" t="s">
        <v>318</v>
      </c>
      <c r="F876" t="s">
        <v>6566</v>
      </c>
      <c r="G876" t="s">
        <v>5234</v>
      </c>
      <c r="H876">
        <v>622</v>
      </c>
      <c r="I876" t="s">
        <v>5234</v>
      </c>
      <c r="J876">
        <v>50</v>
      </c>
      <c r="K876" t="s">
        <v>5254</v>
      </c>
      <c r="L876" t="s">
        <v>4948</v>
      </c>
      <c r="M876" t="s">
        <v>5384</v>
      </c>
      <c r="N876" t="s">
        <v>5235</v>
      </c>
      <c r="O876" t="s">
        <v>3206</v>
      </c>
      <c r="Q876" t="s">
        <v>6429</v>
      </c>
      <c r="R876">
        <f>1</f>
        <v>1</v>
      </c>
      <c r="S876">
        <f>6.7</f>
        <v>6.7</v>
      </c>
      <c r="T876">
        <f>7.8</f>
        <v>7.8</v>
      </c>
      <c r="U876">
        <f>267</f>
        <v>267</v>
      </c>
      <c r="X876">
        <f>0</f>
        <v>0</v>
      </c>
      <c r="Y876">
        <f>0.26</f>
        <v>0.26</v>
      </c>
      <c r="Z876">
        <f>0</f>
        <v>0</v>
      </c>
      <c r="AA876">
        <f>0</f>
        <v>0</v>
      </c>
      <c r="AB876">
        <f>0</f>
        <v>0</v>
      </c>
      <c r="AD876">
        <f>0</f>
        <v>0</v>
      </c>
      <c r="AE876">
        <f>0</f>
        <v>0</v>
      </c>
      <c r="AH876" t="s">
        <v>157</v>
      </c>
    </row>
    <row r="877" spans="1:61" x14ac:dyDescent="0.25">
      <c r="A877" t="s">
        <v>3207</v>
      </c>
      <c r="B877" t="s">
        <v>148</v>
      </c>
      <c r="C877" s="1">
        <v>45786</v>
      </c>
      <c r="D877" t="s">
        <v>222</v>
      </c>
      <c r="E877" t="s">
        <v>223</v>
      </c>
      <c r="F877" t="s">
        <v>224</v>
      </c>
      <c r="G877" t="s">
        <v>3208</v>
      </c>
      <c r="H877">
        <v>293</v>
      </c>
      <c r="I877" t="s">
        <v>3208</v>
      </c>
      <c r="J877">
        <v>54</v>
      </c>
      <c r="K877" t="s">
        <v>5254</v>
      </c>
      <c r="M877" t="s">
        <v>3209</v>
      </c>
      <c r="N877" t="s">
        <v>3210</v>
      </c>
      <c r="O877" t="s">
        <v>3211</v>
      </c>
      <c r="Q877" t="s">
        <v>6430</v>
      </c>
      <c r="R877">
        <f>1</f>
        <v>1</v>
      </c>
      <c r="S877">
        <f>15.4</f>
        <v>15.4</v>
      </c>
      <c r="T877">
        <f>8.1</f>
        <v>8.1</v>
      </c>
      <c r="U877">
        <f>392</f>
        <v>392</v>
      </c>
      <c r="X877">
        <f>1</f>
        <v>1</v>
      </c>
      <c r="Y877">
        <f>0.19</f>
        <v>0.19</v>
      </c>
      <c r="Z877">
        <f>0</f>
        <v>0</v>
      </c>
      <c r="AA877">
        <f>2</f>
        <v>2</v>
      </c>
      <c r="AB877">
        <f>55</f>
        <v>55</v>
      </c>
      <c r="AD877">
        <f>0</f>
        <v>0</v>
      </c>
      <c r="AE877">
        <f>0</f>
        <v>0</v>
      </c>
      <c r="AH877" t="s">
        <v>166</v>
      </c>
    </row>
    <row r="878" spans="1:61" x14ac:dyDescent="0.25">
      <c r="A878" t="s">
        <v>3212</v>
      </c>
      <c r="B878" t="s">
        <v>268</v>
      </c>
      <c r="C878" s="1">
        <v>45748</v>
      </c>
      <c r="D878" t="s">
        <v>175</v>
      </c>
      <c r="E878" t="s">
        <v>176</v>
      </c>
      <c r="F878" t="s">
        <v>4899</v>
      </c>
      <c r="G878" t="s">
        <v>3213</v>
      </c>
      <c r="H878">
        <v>1624</v>
      </c>
      <c r="I878" t="s">
        <v>3214</v>
      </c>
      <c r="J878">
        <v>100</v>
      </c>
      <c r="K878" t="s">
        <v>5257</v>
      </c>
      <c r="M878" t="s">
        <v>3215</v>
      </c>
      <c r="N878" t="s">
        <v>3216</v>
      </c>
      <c r="O878" t="s">
        <v>3217</v>
      </c>
      <c r="Q878" t="s">
        <v>6431</v>
      </c>
      <c r="R878">
        <f>1</f>
        <v>1</v>
      </c>
      <c r="S878">
        <f>12.4</f>
        <v>12.4</v>
      </c>
      <c r="T878">
        <f>7.8</f>
        <v>7.8</v>
      </c>
      <c r="U878">
        <f>473</f>
        <v>473</v>
      </c>
      <c r="X878">
        <f>0</f>
        <v>0</v>
      </c>
      <c r="Y878">
        <f>0.17</f>
        <v>0.17</v>
      </c>
      <c r="Z878">
        <f>0</f>
        <v>0</v>
      </c>
      <c r="AA878" t="s">
        <v>158</v>
      </c>
      <c r="AB878" t="s">
        <v>158</v>
      </c>
      <c r="AC878">
        <f>0</f>
        <v>0</v>
      </c>
      <c r="AD878">
        <f>0</f>
        <v>0</v>
      </c>
      <c r="AE878">
        <f>3</f>
        <v>3</v>
      </c>
      <c r="AH878" t="s">
        <v>157</v>
      </c>
      <c r="BI878">
        <f>0.19</f>
        <v>0.19</v>
      </c>
    </row>
    <row r="879" spans="1:61" x14ac:dyDescent="0.25">
      <c r="A879" t="s">
        <v>3218</v>
      </c>
      <c r="B879" t="s">
        <v>148</v>
      </c>
      <c r="C879" s="1">
        <v>45741</v>
      </c>
      <c r="D879" t="s">
        <v>175</v>
      </c>
      <c r="E879" t="s">
        <v>176</v>
      </c>
      <c r="F879" t="s">
        <v>1332</v>
      </c>
      <c r="G879" t="s">
        <v>6172</v>
      </c>
      <c r="H879">
        <v>573</v>
      </c>
      <c r="I879" t="s">
        <v>6172</v>
      </c>
      <c r="J879">
        <v>52</v>
      </c>
      <c r="K879" t="s">
        <v>5257</v>
      </c>
      <c r="L879" t="s">
        <v>431</v>
      </c>
      <c r="M879" t="s">
        <v>1984</v>
      </c>
      <c r="N879" t="s">
        <v>5688</v>
      </c>
      <c r="O879" t="s">
        <v>3219</v>
      </c>
      <c r="R879">
        <f>1</f>
        <v>1</v>
      </c>
      <c r="S879">
        <f>8.8</f>
        <v>8.8000000000000007</v>
      </c>
      <c r="T879">
        <f>6.7</f>
        <v>6.7</v>
      </c>
      <c r="U879">
        <f>25</f>
        <v>25</v>
      </c>
      <c r="X879">
        <f>1</f>
        <v>1</v>
      </c>
      <c r="Y879">
        <f>0.1</f>
        <v>0.1</v>
      </c>
      <c r="Z879">
        <f>0</f>
        <v>0</v>
      </c>
      <c r="AA879" t="s">
        <v>158</v>
      </c>
      <c r="AB879" t="s">
        <v>158</v>
      </c>
      <c r="AC879">
        <f>0</f>
        <v>0</v>
      </c>
      <c r="AD879">
        <f>0</f>
        <v>0</v>
      </c>
      <c r="AE879">
        <f>0</f>
        <v>0</v>
      </c>
    </row>
    <row r="880" spans="1:61" x14ac:dyDescent="0.25">
      <c r="A880" t="s">
        <v>3220</v>
      </c>
      <c r="B880" t="s">
        <v>148</v>
      </c>
      <c r="C880" s="1">
        <v>45751</v>
      </c>
      <c r="D880" t="s">
        <v>317</v>
      </c>
      <c r="E880" t="s">
        <v>318</v>
      </c>
      <c r="F880" t="s">
        <v>6576</v>
      </c>
      <c r="G880" t="s">
        <v>5236</v>
      </c>
      <c r="H880">
        <v>1094</v>
      </c>
      <c r="I880" t="s">
        <v>5236</v>
      </c>
      <c r="J880">
        <v>60</v>
      </c>
      <c r="K880" t="s">
        <v>5254</v>
      </c>
      <c r="L880" t="s">
        <v>180</v>
      </c>
      <c r="M880" t="s">
        <v>5063</v>
      </c>
      <c r="N880" t="s">
        <v>5064</v>
      </c>
      <c r="O880" t="s">
        <v>3221</v>
      </c>
      <c r="Q880" t="s">
        <v>2934</v>
      </c>
      <c r="R880">
        <f>1</f>
        <v>1</v>
      </c>
      <c r="S880">
        <f>9</f>
        <v>9</v>
      </c>
      <c r="T880">
        <f>7.9</f>
        <v>7.9</v>
      </c>
      <c r="U880">
        <f>335</f>
        <v>335</v>
      </c>
      <c r="X880">
        <f>0</f>
        <v>0</v>
      </c>
      <c r="Y880" t="s">
        <v>157</v>
      </c>
      <c r="Z880">
        <f>0</f>
        <v>0</v>
      </c>
      <c r="AA880">
        <f>0</f>
        <v>0</v>
      </c>
      <c r="AB880">
        <f>3</f>
        <v>3</v>
      </c>
      <c r="AD880">
        <f>0</f>
        <v>0</v>
      </c>
      <c r="AE880">
        <f>0</f>
        <v>0</v>
      </c>
      <c r="AH880" t="s">
        <v>157</v>
      </c>
    </row>
    <row r="881" spans="1:46" x14ac:dyDescent="0.25">
      <c r="A881" t="s">
        <v>3222</v>
      </c>
      <c r="B881" t="s">
        <v>148</v>
      </c>
      <c r="C881" s="1">
        <v>45740</v>
      </c>
      <c r="D881" t="s">
        <v>317</v>
      </c>
      <c r="E881" t="s">
        <v>318</v>
      </c>
      <c r="F881" t="s">
        <v>4965</v>
      </c>
      <c r="G881" t="s">
        <v>4900</v>
      </c>
      <c r="H881">
        <v>1650</v>
      </c>
      <c r="I881" t="s">
        <v>4901</v>
      </c>
      <c r="J881">
        <v>71</v>
      </c>
      <c r="K881" t="s">
        <v>5254</v>
      </c>
      <c r="L881" t="s">
        <v>431</v>
      </c>
      <c r="M881" t="s">
        <v>1984</v>
      </c>
      <c r="N881" t="s">
        <v>5065</v>
      </c>
      <c r="O881" t="s">
        <v>3223</v>
      </c>
      <c r="Q881" t="s">
        <v>6372</v>
      </c>
      <c r="R881">
        <f>1</f>
        <v>1</v>
      </c>
      <c r="S881">
        <f>9.3</f>
        <v>9.3000000000000007</v>
      </c>
      <c r="T881">
        <f>7.9</f>
        <v>7.9</v>
      </c>
      <c r="U881">
        <f>238</f>
        <v>238</v>
      </c>
      <c r="X881">
        <f>0</f>
        <v>0</v>
      </c>
      <c r="Y881" t="s">
        <v>157</v>
      </c>
      <c r="Z881">
        <f>0</f>
        <v>0</v>
      </c>
      <c r="AA881">
        <f>17</f>
        <v>17</v>
      </c>
      <c r="AB881">
        <f>5</f>
        <v>5</v>
      </c>
      <c r="AD881">
        <f>0</f>
        <v>0</v>
      </c>
      <c r="AE881">
        <f>0</f>
        <v>0</v>
      </c>
      <c r="AH881" t="s">
        <v>157</v>
      </c>
    </row>
    <row r="882" spans="1:46" x14ac:dyDescent="0.25">
      <c r="A882" t="s">
        <v>3224</v>
      </c>
      <c r="B882" t="s">
        <v>148</v>
      </c>
      <c r="C882" s="1">
        <v>45742</v>
      </c>
      <c r="D882" t="s">
        <v>317</v>
      </c>
      <c r="E882" t="s">
        <v>318</v>
      </c>
      <c r="F882" t="s">
        <v>338</v>
      </c>
      <c r="G882" t="s">
        <v>3225</v>
      </c>
      <c r="H882">
        <v>1697</v>
      </c>
      <c r="I882" t="s">
        <v>3226</v>
      </c>
      <c r="J882">
        <v>24</v>
      </c>
      <c r="K882" t="s">
        <v>5331</v>
      </c>
      <c r="L882" t="s">
        <v>4966</v>
      </c>
      <c r="M882" t="s">
        <v>4902</v>
      </c>
      <c r="N882" t="s">
        <v>3227</v>
      </c>
      <c r="Q882" t="s">
        <v>6372</v>
      </c>
      <c r="R882">
        <f>1</f>
        <v>1</v>
      </c>
      <c r="S882">
        <f>6.6</f>
        <v>6.6</v>
      </c>
      <c r="T882">
        <f>8</f>
        <v>8</v>
      </c>
      <c r="U882">
        <f>290</f>
        <v>290</v>
      </c>
      <c r="X882">
        <f>0</f>
        <v>0</v>
      </c>
      <c r="Y882" t="s">
        <v>157</v>
      </c>
      <c r="Z882">
        <f>0</f>
        <v>0</v>
      </c>
      <c r="AA882">
        <f>2</f>
        <v>2</v>
      </c>
      <c r="AB882">
        <f>0</f>
        <v>0</v>
      </c>
      <c r="AC882">
        <f>0</f>
        <v>0</v>
      </c>
      <c r="AD882">
        <f>0</f>
        <v>0</v>
      </c>
      <c r="AE882">
        <f>0</f>
        <v>0</v>
      </c>
      <c r="AH882" t="s">
        <v>157</v>
      </c>
    </row>
    <row r="883" spans="1:46" x14ac:dyDescent="0.25">
      <c r="A883" t="s">
        <v>3228</v>
      </c>
      <c r="B883" t="s">
        <v>148</v>
      </c>
      <c r="C883" s="1">
        <v>45730</v>
      </c>
      <c r="D883" t="s">
        <v>175</v>
      </c>
      <c r="E883" t="s">
        <v>176</v>
      </c>
      <c r="F883" t="s">
        <v>3229</v>
      </c>
      <c r="G883" t="s">
        <v>3230</v>
      </c>
      <c r="H883">
        <v>1520</v>
      </c>
      <c r="I883" t="s">
        <v>3231</v>
      </c>
      <c r="J883">
        <v>80</v>
      </c>
      <c r="K883" t="s">
        <v>5254</v>
      </c>
      <c r="M883" t="s">
        <v>6173</v>
      </c>
      <c r="N883" t="s">
        <v>3232</v>
      </c>
      <c r="O883" t="s">
        <v>3233</v>
      </c>
      <c r="R883">
        <f>1</f>
        <v>1</v>
      </c>
      <c r="S883">
        <f>8.5</f>
        <v>8.5</v>
      </c>
      <c r="T883">
        <f>7.7</f>
        <v>7.7</v>
      </c>
      <c r="U883">
        <f>400</f>
        <v>400</v>
      </c>
      <c r="X883">
        <f>0</f>
        <v>0</v>
      </c>
      <c r="Y883" t="s">
        <v>157</v>
      </c>
      <c r="Z883">
        <f>0</f>
        <v>0</v>
      </c>
      <c r="AA883" t="s">
        <v>158</v>
      </c>
      <c r="AB883" t="s">
        <v>158</v>
      </c>
      <c r="AD883">
        <f>0</f>
        <v>0</v>
      </c>
      <c r="AE883">
        <f>0</f>
        <v>0</v>
      </c>
    </row>
    <row r="884" spans="1:46" x14ac:dyDescent="0.25">
      <c r="A884" t="s">
        <v>3234</v>
      </c>
      <c r="B884" t="s">
        <v>148</v>
      </c>
      <c r="C884" s="1">
        <v>45735</v>
      </c>
      <c r="D884" t="s">
        <v>317</v>
      </c>
      <c r="E884" t="s">
        <v>318</v>
      </c>
      <c r="F884" t="s">
        <v>5108</v>
      </c>
      <c r="G884" t="s">
        <v>6174</v>
      </c>
      <c r="H884">
        <v>125</v>
      </c>
      <c r="I884" t="s">
        <v>6174</v>
      </c>
      <c r="J884">
        <v>58</v>
      </c>
      <c r="K884" t="s">
        <v>5254</v>
      </c>
      <c r="L884" t="s">
        <v>180</v>
      </c>
      <c r="M884" t="s">
        <v>5434</v>
      </c>
      <c r="N884" t="s">
        <v>5689</v>
      </c>
      <c r="O884" t="s">
        <v>3235</v>
      </c>
      <c r="Q884" t="s">
        <v>845</v>
      </c>
      <c r="R884">
        <f>1</f>
        <v>1</v>
      </c>
      <c r="S884">
        <f>7.6</f>
        <v>7.6</v>
      </c>
      <c r="T884">
        <f>7.1</f>
        <v>7.1</v>
      </c>
      <c r="U884">
        <f>135</f>
        <v>135</v>
      </c>
      <c r="X884">
        <f>0</f>
        <v>0</v>
      </c>
      <c r="Y884">
        <f>0.54</f>
        <v>0.54</v>
      </c>
      <c r="Z884">
        <f>0</f>
        <v>0</v>
      </c>
      <c r="AA884">
        <f>5</f>
        <v>5</v>
      </c>
      <c r="AB884">
        <f>2</f>
        <v>2</v>
      </c>
      <c r="AD884">
        <f>0</f>
        <v>0</v>
      </c>
      <c r="AE884">
        <f>0</f>
        <v>0</v>
      </c>
      <c r="AH884" t="s">
        <v>157</v>
      </c>
    </row>
    <row r="885" spans="1:46" x14ac:dyDescent="0.25">
      <c r="A885" t="s">
        <v>3236</v>
      </c>
      <c r="B885" t="s">
        <v>148</v>
      </c>
      <c r="C885" s="1">
        <v>45747</v>
      </c>
      <c r="D885" t="s">
        <v>175</v>
      </c>
      <c r="E885" t="s">
        <v>176</v>
      </c>
      <c r="F885" t="s">
        <v>556</v>
      </c>
      <c r="G885" t="s">
        <v>3237</v>
      </c>
      <c r="H885">
        <v>1007</v>
      </c>
      <c r="I885" t="s">
        <v>3237</v>
      </c>
      <c r="J885">
        <v>53</v>
      </c>
      <c r="K885" t="s">
        <v>5331</v>
      </c>
      <c r="L885" t="s">
        <v>4948</v>
      </c>
      <c r="M885" t="s">
        <v>3238</v>
      </c>
      <c r="N885" t="s">
        <v>3239</v>
      </c>
      <c r="Q885" t="s">
        <v>6332</v>
      </c>
      <c r="R885">
        <f>1</f>
        <v>1</v>
      </c>
      <c r="S885">
        <f>9.4</f>
        <v>9.4</v>
      </c>
      <c r="T885">
        <f>8</f>
        <v>8</v>
      </c>
      <c r="U885">
        <f>436</f>
        <v>436</v>
      </c>
      <c r="V885" t="s">
        <v>207</v>
      </c>
      <c r="X885">
        <f>0</f>
        <v>0</v>
      </c>
      <c r="Y885">
        <f>0.3</f>
        <v>0.3</v>
      </c>
      <c r="Z885">
        <f>0</f>
        <v>0</v>
      </c>
      <c r="AA885" t="s">
        <v>158</v>
      </c>
      <c r="AB885" t="s">
        <v>158</v>
      </c>
      <c r="AD885">
        <f>0</f>
        <v>0</v>
      </c>
      <c r="AE885">
        <f>0</f>
        <v>0</v>
      </c>
    </row>
    <row r="886" spans="1:46" x14ac:dyDescent="0.25">
      <c r="A886" t="s">
        <v>3240</v>
      </c>
      <c r="B886" t="s">
        <v>148</v>
      </c>
      <c r="C886" s="1">
        <v>45727</v>
      </c>
      <c r="D886" t="s">
        <v>175</v>
      </c>
      <c r="E886" t="s">
        <v>176</v>
      </c>
      <c r="F886" t="s">
        <v>6806</v>
      </c>
      <c r="G886" t="s">
        <v>6807</v>
      </c>
      <c r="H886">
        <v>954</v>
      </c>
      <c r="I886" t="s">
        <v>6807</v>
      </c>
      <c r="J886">
        <v>82</v>
      </c>
      <c r="K886" t="s">
        <v>5254</v>
      </c>
      <c r="L886" t="s">
        <v>4966</v>
      </c>
      <c r="M886" t="s">
        <v>5690</v>
      </c>
      <c r="N886" t="s">
        <v>5691</v>
      </c>
      <c r="O886" t="s">
        <v>3241</v>
      </c>
      <c r="R886">
        <f>1</f>
        <v>1</v>
      </c>
      <c r="S886">
        <f>7.1</f>
        <v>7.1</v>
      </c>
      <c r="T886">
        <f>7.3</f>
        <v>7.3</v>
      </c>
      <c r="U886">
        <f>457</f>
        <v>457</v>
      </c>
      <c r="X886">
        <f>0</f>
        <v>0</v>
      </c>
      <c r="Y886" t="s">
        <v>157</v>
      </c>
      <c r="Z886">
        <f>0</f>
        <v>0</v>
      </c>
      <c r="AA886" t="s">
        <v>158</v>
      </c>
      <c r="AB886" t="s">
        <v>158</v>
      </c>
      <c r="AD886">
        <f>0</f>
        <v>0</v>
      </c>
      <c r="AE886">
        <f>0</f>
        <v>0</v>
      </c>
    </row>
    <row r="887" spans="1:46" x14ac:dyDescent="0.25">
      <c r="A887" t="s">
        <v>3242</v>
      </c>
      <c r="B887" t="s">
        <v>148</v>
      </c>
      <c r="C887" s="1">
        <v>45742</v>
      </c>
      <c r="D887" t="s">
        <v>242</v>
      </c>
      <c r="E887" t="s">
        <v>243</v>
      </c>
      <c r="F887" t="s">
        <v>6692</v>
      </c>
      <c r="G887" t="s">
        <v>3063</v>
      </c>
      <c r="H887">
        <v>1504</v>
      </c>
      <c r="I887" t="s">
        <v>3064</v>
      </c>
      <c r="J887">
        <v>50</v>
      </c>
      <c r="K887" t="s">
        <v>5257</v>
      </c>
      <c r="L887" t="s">
        <v>431</v>
      </c>
      <c r="M887" t="s">
        <v>6175</v>
      </c>
      <c r="N887" t="s">
        <v>4903</v>
      </c>
      <c r="O887" t="s">
        <v>3066</v>
      </c>
      <c r="R887">
        <f>1</f>
        <v>1</v>
      </c>
      <c r="S887">
        <f>6</f>
        <v>6</v>
      </c>
      <c r="T887">
        <f>8.4</f>
        <v>8.4</v>
      </c>
      <c r="U887">
        <f>208</f>
        <v>208</v>
      </c>
      <c r="X887">
        <f>0</f>
        <v>0</v>
      </c>
      <c r="Y887">
        <f>0.6</f>
        <v>0.6</v>
      </c>
      <c r="Z887">
        <f>0</f>
        <v>0</v>
      </c>
      <c r="AA887">
        <f>59</f>
        <v>59</v>
      </c>
      <c r="AB887">
        <f>65</f>
        <v>65</v>
      </c>
      <c r="AD887">
        <f>0</f>
        <v>0</v>
      </c>
      <c r="AE887">
        <f>0</f>
        <v>0</v>
      </c>
      <c r="AH887" t="s">
        <v>157</v>
      </c>
    </row>
    <row r="888" spans="1:46" x14ac:dyDescent="0.25">
      <c r="A888" t="s">
        <v>3243</v>
      </c>
      <c r="B888" t="s">
        <v>148</v>
      </c>
      <c r="C888" s="1">
        <v>45748</v>
      </c>
      <c r="D888" t="s">
        <v>149</v>
      </c>
      <c r="E888" t="s">
        <v>150</v>
      </c>
      <c r="F888" t="s">
        <v>151</v>
      </c>
      <c r="G888" t="s">
        <v>152</v>
      </c>
      <c r="H888">
        <v>10</v>
      </c>
      <c r="I888" t="s">
        <v>153</v>
      </c>
      <c r="J888">
        <v>41336</v>
      </c>
      <c r="K888" t="s">
        <v>5254</v>
      </c>
      <c r="L888" t="s">
        <v>154</v>
      </c>
      <c r="M888" t="s">
        <v>6176</v>
      </c>
      <c r="N888" t="s">
        <v>4904</v>
      </c>
      <c r="O888" t="s">
        <v>3244</v>
      </c>
      <c r="R888">
        <f>1</f>
        <v>1</v>
      </c>
      <c r="S888">
        <f>9.9</f>
        <v>9.9</v>
      </c>
      <c r="T888">
        <f>7.2</f>
        <v>7.2</v>
      </c>
      <c r="U888">
        <f>527</f>
        <v>527</v>
      </c>
      <c r="X888">
        <f>0</f>
        <v>0</v>
      </c>
      <c r="Y888">
        <f>0.1</f>
        <v>0.1</v>
      </c>
      <c r="Z888">
        <f>0</f>
        <v>0</v>
      </c>
      <c r="AA888" t="s">
        <v>158</v>
      </c>
      <c r="AB888" t="s">
        <v>158</v>
      </c>
      <c r="AD888">
        <f>0</f>
        <v>0</v>
      </c>
      <c r="AE888">
        <f>0</f>
        <v>0</v>
      </c>
      <c r="AH888" t="s">
        <v>157</v>
      </c>
    </row>
    <row r="889" spans="1:46" x14ac:dyDescent="0.25">
      <c r="A889" t="s">
        <v>3245</v>
      </c>
      <c r="B889" t="s">
        <v>148</v>
      </c>
      <c r="C889" s="1">
        <v>45743</v>
      </c>
      <c r="D889" t="s">
        <v>149</v>
      </c>
      <c r="E889" t="s">
        <v>150</v>
      </c>
      <c r="F889" t="s">
        <v>151</v>
      </c>
      <c r="G889" t="s">
        <v>152</v>
      </c>
      <c r="H889">
        <v>10</v>
      </c>
      <c r="I889" t="s">
        <v>153</v>
      </c>
      <c r="J889">
        <v>41336</v>
      </c>
      <c r="K889" t="s">
        <v>5254</v>
      </c>
      <c r="L889" t="s">
        <v>154</v>
      </c>
      <c r="M889" t="s">
        <v>5692</v>
      </c>
      <c r="N889" t="s">
        <v>3246</v>
      </c>
      <c r="O889" t="s">
        <v>3247</v>
      </c>
      <c r="R889">
        <f>1</f>
        <v>1</v>
      </c>
      <c r="S889">
        <f>12.1</f>
        <v>12.1</v>
      </c>
      <c r="T889">
        <f>7.4</f>
        <v>7.4</v>
      </c>
      <c r="U889">
        <f>559</f>
        <v>559</v>
      </c>
      <c r="V889" t="s">
        <v>157</v>
      </c>
      <c r="X889">
        <f>0</f>
        <v>0</v>
      </c>
      <c r="Y889">
        <f>0.1</f>
        <v>0.1</v>
      </c>
      <c r="Z889">
        <f>0</f>
        <v>0</v>
      </c>
      <c r="AA889" t="s">
        <v>158</v>
      </c>
      <c r="AB889" t="s">
        <v>158</v>
      </c>
      <c r="AD889">
        <f>0</f>
        <v>0</v>
      </c>
      <c r="AE889">
        <f>0</f>
        <v>0</v>
      </c>
      <c r="AH889" t="s">
        <v>157</v>
      </c>
    </row>
    <row r="890" spans="1:46" x14ac:dyDescent="0.25">
      <c r="A890" t="s">
        <v>3248</v>
      </c>
      <c r="B890" t="s">
        <v>148</v>
      </c>
      <c r="C890" s="1">
        <v>45742</v>
      </c>
      <c r="D890" t="s">
        <v>149</v>
      </c>
      <c r="E890" t="s">
        <v>150</v>
      </c>
      <c r="F890" t="s">
        <v>151</v>
      </c>
      <c r="G890" t="s">
        <v>152</v>
      </c>
      <c r="H890">
        <v>10</v>
      </c>
      <c r="I890" t="s">
        <v>153</v>
      </c>
      <c r="J890">
        <v>41336</v>
      </c>
      <c r="K890" t="s">
        <v>5254</v>
      </c>
      <c r="L890" t="s">
        <v>154</v>
      </c>
      <c r="M890" t="s">
        <v>5256</v>
      </c>
      <c r="N890" t="s">
        <v>4694</v>
      </c>
      <c r="O890" t="s">
        <v>163</v>
      </c>
      <c r="Q890" t="s">
        <v>6294</v>
      </c>
      <c r="R890">
        <f>1</f>
        <v>1</v>
      </c>
      <c r="S890">
        <f>11.2</f>
        <v>11.2</v>
      </c>
      <c r="T890">
        <f>7.3</f>
        <v>7.3</v>
      </c>
      <c r="U890">
        <f>556</f>
        <v>556</v>
      </c>
      <c r="X890">
        <f>0</f>
        <v>0</v>
      </c>
      <c r="Y890">
        <f>1</f>
        <v>1</v>
      </c>
      <c r="Z890">
        <f>0</f>
        <v>0</v>
      </c>
      <c r="AA890" t="s">
        <v>158</v>
      </c>
      <c r="AB890" t="s">
        <v>158</v>
      </c>
      <c r="AD890">
        <f>0</f>
        <v>0</v>
      </c>
      <c r="AE890">
        <f>0</f>
        <v>0</v>
      </c>
      <c r="AH890" t="s">
        <v>157</v>
      </c>
    </row>
    <row r="891" spans="1:46" x14ac:dyDescent="0.25">
      <c r="A891" t="s">
        <v>3249</v>
      </c>
      <c r="B891" t="s">
        <v>148</v>
      </c>
      <c r="C891" s="1">
        <v>45743</v>
      </c>
      <c r="D891" t="s">
        <v>149</v>
      </c>
      <c r="E891" t="s">
        <v>150</v>
      </c>
      <c r="F891" t="s">
        <v>5770</v>
      </c>
      <c r="G891" t="s">
        <v>170</v>
      </c>
      <c r="H891">
        <v>1837</v>
      </c>
      <c r="I891" t="s">
        <v>171</v>
      </c>
      <c r="J891">
        <v>13800</v>
      </c>
      <c r="K891" t="s">
        <v>5254</v>
      </c>
      <c r="M891" t="s">
        <v>6808</v>
      </c>
      <c r="N891" t="s">
        <v>6809</v>
      </c>
      <c r="O891" t="s">
        <v>3250</v>
      </c>
      <c r="R891">
        <f>1</f>
        <v>1</v>
      </c>
      <c r="S891">
        <f>12.1</f>
        <v>12.1</v>
      </c>
      <c r="T891">
        <f>7.2</f>
        <v>7.2</v>
      </c>
      <c r="U891">
        <f>335</f>
        <v>335</v>
      </c>
      <c r="X891">
        <f>0</f>
        <v>0</v>
      </c>
      <c r="Y891">
        <f>0.1</f>
        <v>0.1</v>
      </c>
      <c r="Z891">
        <f>0</f>
        <v>0</v>
      </c>
      <c r="AA891" t="s">
        <v>158</v>
      </c>
      <c r="AB891" t="s">
        <v>158</v>
      </c>
      <c r="AD891">
        <f>0</f>
        <v>0</v>
      </c>
      <c r="AE891">
        <f>0</f>
        <v>0</v>
      </c>
      <c r="AH891" t="s">
        <v>157</v>
      </c>
    </row>
    <row r="892" spans="1:46" x14ac:dyDescent="0.25">
      <c r="A892" t="s">
        <v>3251</v>
      </c>
      <c r="B892" t="s">
        <v>148</v>
      </c>
      <c r="C892" s="1">
        <v>45743</v>
      </c>
      <c r="D892" t="s">
        <v>149</v>
      </c>
      <c r="E892" t="s">
        <v>150</v>
      </c>
      <c r="F892" t="s">
        <v>5770</v>
      </c>
      <c r="G892" t="s">
        <v>170</v>
      </c>
      <c r="H892">
        <v>1837</v>
      </c>
      <c r="I892" t="s">
        <v>171</v>
      </c>
      <c r="J892">
        <v>13800</v>
      </c>
      <c r="K892" t="s">
        <v>5254</v>
      </c>
      <c r="M892" t="s">
        <v>172</v>
      </c>
      <c r="N892" t="s">
        <v>5771</v>
      </c>
      <c r="O892" t="s">
        <v>173</v>
      </c>
      <c r="R892">
        <f>1</f>
        <v>1</v>
      </c>
      <c r="S892">
        <f>12.2</f>
        <v>12.2</v>
      </c>
      <c r="T892">
        <f>7.2</f>
        <v>7.2</v>
      </c>
      <c r="U892">
        <f>464</f>
        <v>464</v>
      </c>
      <c r="V892" t="s">
        <v>157</v>
      </c>
      <c r="X892">
        <f>0</f>
        <v>0</v>
      </c>
      <c r="Y892">
        <f>0.1</f>
        <v>0.1</v>
      </c>
      <c r="Z892">
        <f>0</f>
        <v>0</v>
      </c>
      <c r="AA892" t="s">
        <v>158</v>
      </c>
      <c r="AB892" t="s">
        <v>158</v>
      </c>
      <c r="AD892">
        <f>0</f>
        <v>0</v>
      </c>
      <c r="AE892">
        <f>0</f>
        <v>0</v>
      </c>
      <c r="AH892" t="s">
        <v>157</v>
      </c>
    </row>
    <row r="893" spans="1:46" x14ac:dyDescent="0.25">
      <c r="A893" t="s">
        <v>3252</v>
      </c>
      <c r="B893" t="s">
        <v>268</v>
      </c>
      <c r="C893" s="1">
        <v>45783</v>
      </c>
      <c r="D893" t="s">
        <v>175</v>
      </c>
      <c r="E893" t="s">
        <v>176</v>
      </c>
      <c r="F893" t="s">
        <v>177</v>
      </c>
      <c r="G893" t="s">
        <v>178</v>
      </c>
      <c r="H893">
        <v>36</v>
      </c>
      <c r="I893" t="s">
        <v>179</v>
      </c>
      <c r="J893">
        <v>20522</v>
      </c>
      <c r="K893" t="s">
        <v>5254</v>
      </c>
      <c r="L893" t="s">
        <v>180</v>
      </c>
      <c r="M893" t="s">
        <v>3253</v>
      </c>
      <c r="N893" t="s">
        <v>3254</v>
      </c>
      <c r="O893" t="s">
        <v>3255</v>
      </c>
      <c r="R893">
        <f>1</f>
        <v>1</v>
      </c>
      <c r="S893">
        <f>13.9</f>
        <v>13.9</v>
      </c>
      <c r="T893">
        <f>7.6</f>
        <v>7.6</v>
      </c>
      <c r="U893">
        <f>452</f>
        <v>452</v>
      </c>
      <c r="X893">
        <f>0</f>
        <v>0</v>
      </c>
      <c r="Y893" t="s">
        <v>157</v>
      </c>
      <c r="Z893">
        <f>0</f>
        <v>0</v>
      </c>
      <c r="AA893" t="s">
        <v>158</v>
      </c>
      <c r="AB893" t="s">
        <v>158</v>
      </c>
      <c r="AD893">
        <f>0</f>
        <v>0</v>
      </c>
      <c r="AE893">
        <f>1</f>
        <v>1</v>
      </c>
      <c r="AG893" t="s">
        <v>249</v>
      </c>
      <c r="AH893" t="s">
        <v>157</v>
      </c>
      <c r="AT893" t="s">
        <v>250</v>
      </c>
    </row>
    <row r="894" spans="1:46" x14ac:dyDescent="0.25">
      <c r="A894" t="s">
        <v>3256</v>
      </c>
      <c r="B894" t="s">
        <v>148</v>
      </c>
      <c r="C894" s="1">
        <v>45748</v>
      </c>
      <c r="D894" t="s">
        <v>175</v>
      </c>
      <c r="E894" t="s">
        <v>176</v>
      </c>
      <c r="F894" t="s">
        <v>177</v>
      </c>
      <c r="G894" t="s">
        <v>178</v>
      </c>
      <c r="H894">
        <v>36</v>
      </c>
      <c r="I894" t="s">
        <v>179</v>
      </c>
      <c r="J894">
        <v>20522</v>
      </c>
      <c r="K894" t="s">
        <v>5254</v>
      </c>
      <c r="L894" t="s">
        <v>180</v>
      </c>
      <c r="M894" t="s">
        <v>181</v>
      </c>
      <c r="N894" t="s">
        <v>182</v>
      </c>
      <c r="O894" t="s">
        <v>183</v>
      </c>
      <c r="Q894" t="s">
        <v>6311</v>
      </c>
      <c r="R894">
        <f>1</f>
        <v>1</v>
      </c>
      <c r="S894">
        <f>14.2</f>
        <v>14.2</v>
      </c>
      <c r="T894">
        <f>7.4</f>
        <v>7.4</v>
      </c>
      <c r="U894">
        <f>741</f>
        <v>741</v>
      </c>
      <c r="X894">
        <f>0</f>
        <v>0</v>
      </c>
      <c r="Y894" t="s">
        <v>157</v>
      </c>
      <c r="Z894">
        <f>0</f>
        <v>0</v>
      </c>
      <c r="AA894" t="s">
        <v>158</v>
      </c>
      <c r="AB894" t="s">
        <v>158</v>
      </c>
      <c r="AD894">
        <f>0</f>
        <v>0</v>
      </c>
      <c r="AE894">
        <f>0</f>
        <v>0</v>
      </c>
    </row>
    <row r="895" spans="1:46" x14ac:dyDescent="0.25">
      <c r="A895" t="s">
        <v>3257</v>
      </c>
      <c r="B895" t="s">
        <v>148</v>
      </c>
      <c r="C895" s="1">
        <v>45748</v>
      </c>
      <c r="D895" t="s">
        <v>175</v>
      </c>
      <c r="E895" t="s">
        <v>176</v>
      </c>
      <c r="F895" t="s">
        <v>177</v>
      </c>
      <c r="G895" t="s">
        <v>178</v>
      </c>
      <c r="H895">
        <v>36</v>
      </c>
      <c r="I895" t="s">
        <v>179</v>
      </c>
      <c r="J895">
        <v>20522</v>
      </c>
      <c r="K895" t="s">
        <v>5254</v>
      </c>
      <c r="L895" t="s">
        <v>180</v>
      </c>
      <c r="M895" t="s">
        <v>185</v>
      </c>
      <c r="N895" t="s">
        <v>186</v>
      </c>
      <c r="O895" t="s">
        <v>187</v>
      </c>
      <c r="Q895" t="s">
        <v>6311</v>
      </c>
      <c r="R895">
        <f>1</f>
        <v>1</v>
      </c>
      <c r="S895">
        <f>11.9</f>
        <v>11.9</v>
      </c>
      <c r="T895">
        <f>7.5</f>
        <v>7.5</v>
      </c>
      <c r="U895">
        <f>483</f>
        <v>483</v>
      </c>
      <c r="X895">
        <f>0</f>
        <v>0</v>
      </c>
      <c r="Y895" t="s">
        <v>157</v>
      </c>
      <c r="Z895">
        <f>0</f>
        <v>0</v>
      </c>
      <c r="AA895" t="s">
        <v>158</v>
      </c>
      <c r="AB895" t="s">
        <v>158</v>
      </c>
      <c r="AD895">
        <f>0</f>
        <v>0</v>
      </c>
      <c r="AE895">
        <f>0</f>
        <v>0</v>
      </c>
    </row>
    <row r="896" spans="1:46" x14ac:dyDescent="0.25">
      <c r="A896" t="s">
        <v>3258</v>
      </c>
      <c r="B896" t="s">
        <v>148</v>
      </c>
      <c r="C896" s="1">
        <v>45754</v>
      </c>
      <c r="D896" t="s">
        <v>189</v>
      </c>
      <c r="E896" t="s">
        <v>190</v>
      </c>
      <c r="F896" t="s">
        <v>4936</v>
      </c>
      <c r="G896" t="s">
        <v>5090</v>
      </c>
      <c r="H896">
        <v>172</v>
      </c>
      <c r="I896" t="s">
        <v>5090</v>
      </c>
      <c r="J896">
        <v>89433</v>
      </c>
      <c r="K896" t="s">
        <v>5257</v>
      </c>
      <c r="L896" t="s">
        <v>191</v>
      </c>
      <c r="M896" t="s">
        <v>192</v>
      </c>
      <c r="N896" t="s">
        <v>6522</v>
      </c>
      <c r="O896" t="s">
        <v>193</v>
      </c>
      <c r="R896">
        <f>1</f>
        <v>1</v>
      </c>
      <c r="S896">
        <f>13.3</f>
        <v>13.3</v>
      </c>
      <c r="T896">
        <f>7.8</f>
        <v>7.8</v>
      </c>
      <c r="U896">
        <f>332</f>
        <v>332</v>
      </c>
      <c r="V896">
        <f>0.19</f>
        <v>0.19</v>
      </c>
      <c r="X896">
        <f>0</f>
        <v>0</v>
      </c>
      <c r="Y896">
        <f>0.01</f>
        <v>0.01</v>
      </c>
      <c r="Z896">
        <f>0</f>
        <v>0</v>
      </c>
      <c r="AA896">
        <f>0</f>
        <v>0</v>
      </c>
      <c r="AB896">
        <f>1</f>
        <v>1</v>
      </c>
      <c r="AC896">
        <f>0</f>
        <v>0</v>
      </c>
      <c r="AD896">
        <f>0</f>
        <v>0</v>
      </c>
      <c r="AE896">
        <f>0</f>
        <v>0</v>
      </c>
      <c r="AH896" t="s">
        <v>157</v>
      </c>
    </row>
    <row r="897" spans="1:63" x14ac:dyDescent="0.25">
      <c r="A897" t="s">
        <v>3259</v>
      </c>
      <c r="B897" t="s">
        <v>148</v>
      </c>
      <c r="C897" s="1">
        <v>45754</v>
      </c>
      <c r="D897" t="s">
        <v>189</v>
      </c>
      <c r="E897" t="s">
        <v>190</v>
      </c>
      <c r="F897" t="s">
        <v>4936</v>
      </c>
      <c r="G897" t="s">
        <v>5090</v>
      </c>
      <c r="H897">
        <v>172</v>
      </c>
      <c r="I897" t="s">
        <v>5090</v>
      </c>
      <c r="J897">
        <v>89433</v>
      </c>
      <c r="K897" t="s">
        <v>5257</v>
      </c>
      <c r="L897" t="s">
        <v>191</v>
      </c>
      <c r="M897" t="s">
        <v>195</v>
      </c>
      <c r="N897" t="s">
        <v>6523</v>
      </c>
      <c r="O897" t="s">
        <v>196</v>
      </c>
      <c r="R897">
        <f>1</f>
        <v>1</v>
      </c>
      <c r="S897">
        <f>16.2</f>
        <v>16.2</v>
      </c>
      <c r="T897">
        <f>7.8</f>
        <v>7.8</v>
      </c>
      <c r="U897">
        <f>335</f>
        <v>335</v>
      </c>
      <c r="X897">
        <f>0</f>
        <v>0</v>
      </c>
      <c r="Y897">
        <f>0.08</f>
        <v>0.08</v>
      </c>
      <c r="Z897">
        <f>0</f>
        <v>0</v>
      </c>
      <c r="AA897">
        <f>0</f>
        <v>0</v>
      </c>
      <c r="AB897">
        <f>0</f>
        <v>0</v>
      </c>
      <c r="AC897">
        <f>0</f>
        <v>0</v>
      </c>
      <c r="AD897">
        <f>0</f>
        <v>0</v>
      </c>
      <c r="AE897">
        <f>0</f>
        <v>0</v>
      </c>
      <c r="AH897" t="s">
        <v>157</v>
      </c>
    </row>
    <row r="898" spans="1:63" x14ac:dyDescent="0.25">
      <c r="A898" t="s">
        <v>3260</v>
      </c>
      <c r="B898" t="s">
        <v>148</v>
      </c>
      <c r="C898" s="1">
        <v>45754</v>
      </c>
      <c r="D898" t="s">
        <v>189</v>
      </c>
      <c r="E898" t="s">
        <v>190</v>
      </c>
      <c r="F898" t="s">
        <v>4936</v>
      </c>
      <c r="G898" t="s">
        <v>5090</v>
      </c>
      <c r="H898">
        <v>172</v>
      </c>
      <c r="I898" t="s">
        <v>5090</v>
      </c>
      <c r="J898">
        <v>89433</v>
      </c>
      <c r="K898" t="s">
        <v>5257</v>
      </c>
      <c r="L898" t="s">
        <v>191</v>
      </c>
      <c r="M898" t="s">
        <v>198</v>
      </c>
      <c r="N898" t="s">
        <v>199</v>
      </c>
      <c r="O898" t="s">
        <v>200</v>
      </c>
      <c r="R898">
        <f>1</f>
        <v>1</v>
      </c>
      <c r="S898">
        <f>15.3</f>
        <v>15.3</v>
      </c>
      <c r="T898">
        <f>7.9</f>
        <v>7.9</v>
      </c>
      <c r="U898">
        <f>335</f>
        <v>335</v>
      </c>
      <c r="X898">
        <f>0</f>
        <v>0</v>
      </c>
      <c r="Y898">
        <f>0.03</f>
        <v>0.03</v>
      </c>
      <c r="Z898">
        <f>0</f>
        <v>0</v>
      </c>
      <c r="AA898">
        <f>0</f>
        <v>0</v>
      </c>
      <c r="AB898">
        <f>1</f>
        <v>1</v>
      </c>
      <c r="AC898">
        <f>0</f>
        <v>0</v>
      </c>
      <c r="AD898">
        <f>0</f>
        <v>0</v>
      </c>
      <c r="AE898">
        <f>0</f>
        <v>0</v>
      </c>
      <c r="AH898" t="s">
        <v>157</v>
      </c>
    </row>
    <row r="899" spans="1:63" x14ac:dyDescent="0.25">
      <c r="A899" t="s">
        <v>3261</v>
      </c>
      <c r="B899" t="s">
        <v>148</v>
      </c>
      <c r="C899" s="1">
        <v>45727</v>
      </c>
      <c r="D899" t="s">
        <v>189</v>
      </c>
      <c r="E899" t="s">
        <v>190</v>
      </c>
      <c r="F899" t="s">
        <v>4936</v>
      </c>
      <c r="G899" t="s">
        <v>5090</v>
      </c>
      <c r="H899">
        <v>172</v>
      </c>
      <c r="I899" t="s">
        <v>5090</v>
      </c>
      <c r="J899">
        <v>89433</v>
      </c>
      <c r="K899" t="s">
        <v>5257</v>
      </c>
      <c r="L899" t="s">
        <v>191</v>
      </c>
      <c r="M899" t="s">
        <v>3262</v>
      </c>
      <c r="N899" t="s">
        <v>3263</v>
      </c>
      <c r="O899" t="s">
        <v>3264</v>
      </c>
      <c r="R899">
        <f>1</f>
        <v>1</v>
      </c>
      <c r="S899">
        <f>12.3</f>
        <v>12.3</v>
      </c>
      <c r="T899">
        <f>7.4</f>
        <v>7.4</v>
      </c>
      <c r="U899">
        <f>535</f>
        <v>535</v>
      </c>
      <c r="V899">
        <f>0.13</f>
        <v>0.13</v>
      </c>
      <c r="X899">
        <f>0</f>
        <v>0</v>
      </c>
      <c r="Y899" t="s">
        <v>207</v>
      </c>
      <c r="Z899">
        <f>0</f>
        <v>0</v>
      </c>
      <c r="AA899" t="s">
        <v>158</v>
      </c>
      <c r="AB899" t="s">
        <v>158</v>
      </c>
      <c r="AC899">
        <f>0</f>
        <v>0</v>
      </c>
      <c r="AD899">
        <f>0</f>
        <v>0</v>
      </c>
      <c r="AE899">
        <f>0</f>
        <v>0</v>
      </c>
      <c r="AH899" t="s">
        <v>166</v>
      </c>
      <c r="AI899">
        <f>0.71</f>
        <v>0.71</v>
      </c>
      <c r="AL899" t="s">
        <v>216</v>
      </c>
      <c r="AM899" t="s">
        <v>266</v>
      </c>
      <c r="AN899">
        <f>4.01</f>
        <v>4.01</v>
      </c>
      <c r="AO899">
        <f>0.08</f>
        <v>0.08</v>
      </c>
      <c r="AP899">
        <f>8.49</f>
        <v>8.49</v>
      </c>
      <c r="AQ899">
        <f>7.63</f>
        <v>7.63</v>
      </c>
      <c r="AR899">
        <f>0.07</f>
        <v>7.0000000000000007E-2</v>
      </c>
      <c r="AS899">
        <f>5.2</f>
        <v>5.2</v>
      </c>
      <c r="AT899" t="s">
        <v>250</v>
      </c>
      <c r="AY899" t="s">
        <v>157</v>
      </c>
      <c r="AZ899" t="s">
        <v>208</v>
      </c>
      <c r="BA899">
        <f>0.0079</f>
        <v>7.9000000000000008E-3</v>
      </c>
      <c r="BB899">
        <f>1.4</f>
        <v>1.4</v>
      </c>
      <c r="BC899" t="s">
        <v>209</v>
      </c>
      <c r="BD899">
        <f>0.13</f>
        <v>0.13</v>
      </c>
      <c r="BE899">
        <f>0.003</f>
        <v>3.0000000000000001E-3</v>
      </c>
      <c r="BF899" t="s">
        <v>168</v>
      </c>
      <c r="BG899">
        <f>0.46</f>
        <v>0.46</v>
      </c>
      <c r="BH899">
        <f>0.26</f>
        <v>0.26</v>
      </c>
      <c r="BK899">
        <f>0.74</f>
        <v>0.74</v>
      </c>
    </row>
    <row r="900" spans="1:63" x14ac:dyDescent="0.25">
      <c r="A900" t="s">
        <v>3265</v>
      </c>
      <c r="B900" t="s">
        <v>148</v>
      </c>
      <c r="C900" s="1">
        <v>45754</v>
      </c>
      <c r="D900" t="s">
        <v>189</v>
      </c>
      <c r="E900" t="s">
        <v>190</v>
      </c>
      <c r="F900" t="s">
        <v>4936</v>
      </c>
      <c r="G900" t="s">
        <v>5090</v>
      </c>
      <c r="H900">
        <v>172</v>
      </c>
      <c r="I900" t="s">
        <v>5090</v>
      </c>
      <c r="J900">
        <v>89433</v>
      </c>
      <c r="K900" t="s">
        <v>5257</v>
      </c>
      <c r="L900" t="s">
        <v>191</v>
      </c>
      <c r="M900" t="s">
        <v>202</v>
      </c>
      <c r="N900" t="s">
        <v>5091</v>
      </c>
      <c r="O900" t="s">
        <v>203</v>
      </c>
      <c r="R900">
        <f>1</f>
        <v>1</v>
      </c>
      <c r="S900">
        <f>13.5</f>
        <v>13.5</v>
      </c>
      <c r="T900">
        <f>7.8</f>
        <v>7.8</v>
      </c>
      <c r="U900">
        <f>473</f>
        <v>473</v>
      </c>
      <c r="X900">
        <f>0</f>
        <v>0</v>
      </c>
      <c r="Y900">
        <f>0.07</f>
        <v>7.0000000000000007E-2</v>
      </c>
      <c r="Z900">
        <f>0</f>
        <v>0</v>
      </c>
      <c r="AA900">
        <f>0</f>
        <v>0</v>
      </c>
      <c r="AB900">
        <f>1</f>
        <v>1</v>
      </c>
      <c r="AC900">
        <f>0</f>
        <v>0</v>
      </c>
      <c r="AD900">
        <f>0</f>
        <v>0</v>
      </c>
      <c r="AE900">
        <f>0</f>
        <v>0</v>
      </c>
      <c r="AH900" t="s">
        <v>157</v>
      </c>
    </row>
    <row r="901" spans="1:63" x14ac:dyDescent="0.25">
      <c r="A901" t="s">
        <v>3266</v>
      </c>
      <c r="B901" t="s">
        <v>148</v>
      </c>
      <c r="C901" s="1">
        <v>45754</v>
      </c>
      <c r="D901" t="s">
        <v>189</v>
      </c>
      <c r="E901" t="s">
        <v>190</v>
      </c>
      <c r="F901" t="s">
        <v>4936</v>
      </c>
      <c r="G901" t="s">
        <v>5090</v>
      </c>
      <c r="H901">
        <v>172</v>
      </c>
      <c r="I901" t="s">
        <v>5090</v>
      </c>
      <c r="J901">
        <v>89433</v>
      </c>
      <c r="K901" t="s">
        <v>5257</v>
      </c>
      <c r="L901" t="s">
        <v>191</v>
      </c>
      <c r="M901" t="s">
        <v>205</v>
      </c>
      <c r="N901" t="s">
        <v>6524</v>
      </c>
      <c r="O901" t="s">
        <v>206</v>
      </c>
      <c r="R901">
        <f>1</f>
        <v>1</v>
      </c>
      <c r="S901">
        <f>17.5</f>
        <v>17.5</v>
      </c>
      <c r="T901">
        <f>8</f>
        <v>8</v>
      </c>
      <c r="U901">
        <f>368</f>
        <v>368</v>
      </c>
      <c r="V901">
        <f>0.16</f>
        <v>0.16</v>
      </c>
      <c r="X901">
        <f>0</f>
        <v>0</v>
      </c>
      <c r="Y901">
        <f>0.12</f>
        <v>0.12</v>
      </c>
      <c r="Z901">
        <f>0</f>
        <v>0</v>
      </c>
      <c r="AA901">
        <f>0</f>
        <v>0</v>
      </c>
      <c r="AB901">
        <f>4</f>
        <v>4</v>
      </c>
      <c r="AC901">
        <f>0</f>
        <v>0</v>
      </c>
      <c r="AD901">
        <f>0</f>
        <v>0</v>
      </c>
      <c r="AE901">
        <f>0</f>
        <v>0</v>
      </c>
      <c r="AH901" t="s">
        <v>157</v>
      </c>
    </row>
    <row r="902" spans="1:63" x14ac:dyDescent="0.25">
      <c r="A902" t="s">
        <v>3267</v>
      </c>
      <c r="B902" t="s">
        <v>148</v>
      </c>
      <c r="C902" s="1">
        <v>45754</v>
      </c>
      <c r="D902" t="s">
        <v>189</v>
      </c>
      <c r="E902" t="s">
        <v>190</v>
      </c>
      <c r="F902" t="s">
        <v>4936</v>
      </c>
      <c r="G902" t="s">
        <v>5090</v>
      </c>
      <c r="H902">
        <v>172</v>
      </c>
      <c r="I902" t="s">
        <v>5090</v>
      </c>
      <c r="J902">
        <v>89433</v>
      </c>
      <c r="K902" t="s">
        <v>5257</v>
      </c>
      <c r="L902" t="s">
        <v>191</v>
      </c>
      <c r="M902" t="s">
        <v>211</v>
      </c>
      <c r="N902" t="s">
        <v>212</v>
      </c>
      <c r="O902" t="s">
        <v>213</v>
      </c>
      <c r="R902">
        <f>1</f>
        <v>1</v>
      </c>
      <c r="S902">
        <f>15.6</f>
        <v>15.6</v>
      </c>
      <c r="T902">
        <f>8.1</f>
        <v>8.1</v>
      </c>
      <c r="U902">
        <f>336</f>
        <v>336</v>
      </c>
      <c r="V902" t="s">
        <v>168</v>
      </c>
      <c r="X902">
        <f>0</f>
        <v>0</v>
      </c>
      <c r="Y902">
        <f>0.14</f>
        <v>0.14000000000000001</v>
      </c>
      <c r="Z902">
        <f>0</f>
        <v>0</v>
      </c>
      <c r="AA902">
        <f>1</f>
        <v>1</v>
      </c>
      <c r="AB902">
        <f>5</f>
        <v>5</v>
      </c>
      <c r="AC902">
        <f>0</f>
        <v>0</v>
      </c>
      <c r="AD902">
        <f>0</f>
        <v>0</v>
      </c>
      <c r="AE902">
        <f>0</f>
        <v>0</v>
      </c>
      <c r="AH902" t="s">
        <v>157</v>
      </c>
    </row>
    <row r="903" spans="1:63" x14ac:dyDescent="0.25">
      <c r="A903" t="s">
        <v>3268</v>
      </c>
      <c r="B903" t="s">
        <v>148</v>
      </c>
      <c r="C903" s="1">
        <v>45754</v>
      </c>
      <c r="D903" t="s">
        <v>189</v>
      </c>
      <c r="E903" t="s">
        <v>190</v>
      </c>
      <c r="F903" t="s">
        <v>4936</v>
      </c>
      <c r="G903" t="s">
        <v>5090</v>
      </c>
      <c r="H903">
        <v>172</v>
      </c>
      <c r="I903" t="s">
        <v>5090</v>
      </c>
      <c r="J903">
        <v>89433</v>
      </c>
      <c r="K903" t="s">
        <v>5257</v>
      </c>
      <c r="L903" t="s">
        <v>191</v>
      </c>
      <c r="M903" t="s">
        <v>6525</v>
      </c>
      <c r="N903" t="s">
        <v>6526</v>
      </c>
      <c r="O903" t="s">
        <v>215</v>
      </c>
      <c r="R903">
        <f>1</f>
        <v>1</v>
      </c>
      <c r="S903">
        <f>13.3</f>
        <v>13.3</v>
      </c>
      <c r="T903">
        <f>8</f>
        <v>8</v>
      </c>
      <c r="U903">
        <f>328</f>
        <v>328</v>
      </c>
      <c r="V903">
        <f>0.05</f>
        <v>0.05</v>
      </c>
      <c r="X903">
        <f>0</f>
        <v>0</v>
      </c>
      <c r="Y903">
        <f>0.06</f>
        <v>0.06</v>
      </c>
      <c r="Z903">
        <f>0</f>
        <v>0</v>
      </c>
      <c r="AA903">
        <f>0</f>
        <v>0</v>
      </c>
      <c r="AB903">
        <f>1</f>
        <v>1</v>
      </c>
      <c r="AC903">
        <f>0</f>
        <v>0</v>
      </c>
      <c r="AD903">
        <f>0</f>
        <v>0</v>
      </c>
      <c r="AE903">
        <f>0</f>
        <v>0</v>
      </c>
      <c r="AH903" t="s">
        <v>157</v>
      </c>
    </row>
    <row r="904" spans="1:63" x14ac:dyDescent="0.25">
      <c r="A904" t="s">
        <v>3269</v>
      </c>
      <c r="B904" t="s">
        <v>148</v>
      </c>
      <c r="C904" s="1">
        <v>45754</v>
      </c>
      <c r="D904" t="s">
        <v>189</v>
      </c>
      <c r="E904" t="s">
        <v>190</v>
      </c>
      <c r="F904" t="s">
        <v>4936</v>
      </c>
      <c r="G904" t="s">
        <v>5090</v>
      </c>
      <c r="H904">
        <v>172</v>
      </c>
      <c r="I904" t="s">
        <v>5090</v>
      </c>
      <c r="J904">
        <v>89433</v>
      </c>
      <c r="K904" t="s">
        <v>5257</v>
      </c>
      <c r="L904" t="s">
        <v>191</v>
      </c>
      <c r="M904" t="s">
        <v>5772</v>
      </c>
      <c r="N904" t="s">
        <v>219</v>
      </c>
      <c r="O904" t="s">
        <v>220</v>
      </c>
      <c r="R904">
        <f>1</f>
        <v>1</v>
      </c>
      <c r="S904">
        <f>13.1</f>
        <v>13.1</v>
      </c>
      <c r="T904">
        <f>8</f>
        <v>8</v>
      </c>
      <c r="U904">
        <f>334</f>
        <v>334</v>
      </c>
      <c r="V904">
        <f>0.18</f>
        <v>0.18</v>
      </c>
      <c r="X904">
        <f>0</f>
        <v>0</v>
      </c>
      <c r="Y904">
        <f>0.11</f>
        <v>0.11</v>
      </c>
      <c r="Z904">
        <f>0</f>
        <v>0</v>
      </c>
      <c r="AA904">
        <f>0</f>
        <v>0</v>
      </c>
      <c r="AB904">
        <f>3</f>
        <v>3</v>
      </c>
      <c r="AC904">
        <f>0</f>
        <v>0</v>
      </c>
      <c r="AD904">
        <f>0</f>
        <v>0</v>
      </c>
      <c r="AE904">
        <f>0</f>
        <v>0</v>
      </c>
      <c r="AH904" t="s">
        <v>157</v>
      </c>
    </row>
    <row r="905" spans="1:63" x14ac:dyDescent="0.25">
      <c r="A905" t="s">
        <v>3270</v>
      </c>
      <c r="B905" t="s">
        <v>148</v>
      </c>
      <c r="C905" s="1">
        <v>45754</v>
      </c>
      <c r="D905" t="s">
        <v>189</v>
      </c>
      <c r="E905" t="s">
        <v>190</v>
      </c>
      <c r="F905" t="s">
        <v>4936</v>
      </c>
      <c r="G905" t="s">
        <v>5090</v>
      </c>
      <c r="H905">
        <v>172</v>
      </c>
      <c r="I905" t="s">
        <v>5090</v>
      </c>
      <c r="J905">
        <v>89433</v>
      </c>
      <c r="K905" t="s">
        <v>5257</v>
      </c>
      <c r="L905" t="s">
        <v>191</v>
      </c>
      <c r="M905" t="s">
        <v>6177</v>
      </c>
      <c r="N905" t="s">
        <v>6178</v>
      </c>
      <c r="O905" t="s">
        <v>3271</v>
      </c>
      <c r="R905">
        <f>1</f>
        <v>1</v>
      </c>
      <c r="S905">
        <f>14.4</f>
        <v>14.4</v>
      </c>
      <c r="T905">
        <f>7.8</f>
        <v>7.8</v>
      </c>
      <c r="U905">
        <f>335</f>
        <v>335</v>
      </c>
      <c r="X905">
        <f>0</f>
        <v>0</v>
      </c>
      <c r="Y905">
        <f>0.12</f>
        <v>0.12</v>
      </c>
      <c r="Z905">
        <f>0</f>
        <v>0</v>
      </c>
      <c r="AA905">
        <f>0</f>
        <v>0</v>
      </c>
      <c r="AB905">
        <f>4</f>
        <v>4</v>
      </c>
      <c r="AC905">
        <f>0</f>
        <v>0</v>
      </c>
      <c r="AD905">
        <f>0</f>
        <v>0</v>
      </c>
      <c r="AE905">
        <f>0</f>
        <v>0</v>
      </c>
      <c r="AH905" t="s">
        <v>157</v>
      </c>
    </row>
    <row r="906" spans="1:63" x14ac:dyDescent="0.25">
      <c r="A906" t="s">
        <v>3272</v>
      </c>
      <c r="B906" t="s">
        <v>148</v>
      </c>
      <c r="C906" s="1">
        <v>45716</v>
      </c>
      <c r="D906" t="s">
        <v>242</v>
      </c>
      <c r="E906" t="s">
        <v>243</v>
      </c>
      <c r="F906" t="s">
        <v>244</v>
      </c>
      <c r="G906" t="s">
        <v>245</v>
      </c>
      <c r="H906">
        <v>154</v>
      </c>
      <c r="I906" t="s">
        <v>4695</v>
      </c>
      <c r="J906">
        <v>54400</v>
      </c>
      <c r="K906" t="s">
        <v>5257</v>
      </c>
      <c r="L906" t="s">
        <v>246</v>
      </c>
      <c r="M906" t="s">
        <v>6810</v>
      </c>
      <c r="N906" t="s">
        <v>3273</v>
      </c>
      <c r="O906" t="s">
        <v>3274</v>
      </c>
      <c r="R906">
        <f>1</f>
        <v>1</v>
      </c>
      <c r="S906">
        <f>10.7</f>
        <v>10.7</v>
      </c>
      <c r="T906">
        <f>7.3</f>
        <v>7.3</v>
      </c>
      <c r="U906">
        <f>628</f>
        <v>628</v>
      </c>
      <c r="V906">
        <f>0.07</f>
        <v>7.0000000000000007E-2</v>
      </c>
      <c r="X906">
        <f>0</f>
        <v>0</v>
      </c>
      <c r="Y906" t="s">
        <v>157</v>
      </c>
      <c r="Z906">
        <f>0</f>
        <v>0</v>
      </c>
      <c r="AA906" t="s">
        <v>158</v>
      </c>
      <c r="AB906" t="s">
        <v>158</v>
      </c>
      <c r="AC906">
        <f>0</f>
        <v>0</v>
      </c>
      <c r="AD906">
        <f>0</f>
        <v>0</v>
      </c>
      <c r="AE906">
        <f>0</f>
        <v>0</v>
      </c>
      <c r="AH906" t="s">
        <v>157</v>
      </c>
    </row>
    <row r="907" spans="1:63" x14ac:dyDescent="0.25">
      <c r="A907" t="s">
        <v>3275</v>
      </c>
      <c r="B907" t="s">
        <v>148</v>
      </c>
      <c r="C907" s="1">
        <v>45775</v>
      </c>
      <c r="D907" t="s">
        <v>242</v>
      </c>
      <c r="E907" t="s">
        <v>243</v>
      </c>
      <c r="F907" t="s">
        <v>253</v>
      </c>
      <c r="G907" t="s">
        <v>5774</v>
      </c>
      <c r="H907">
        <v>209</v>
      </c>
      <c r="I907" t="s">
        <v>254</v>
      </c>
      <c r="J907">
        <v>17550</v>
      </c>
      <c r="K907" t="s">
        <v>5257</v>
      </c>
      <c r="L907" t="s">
        <v>255</v>
      </c>
      <c r="M907" t="s">
        <v>3276</v>
      </c>
      <c r="N907" t="s">
        <v>6179</v>
      </c>
      <c r="O907" t="s">
        <v>3277</v>
      </c>
      <c r="R907">
        <f>1</f>
        <v>1</v>
      </c>
      <c r="S907">
        <f>14.4</f>
        <v>14.4</v>
      </c>
      <c r="T907">
        <f>7.5</f>
        <v>7.5</v>
      </c>
      <c r="U907">
        <f>456</f>
        <v>456</v>
      </c>
      <c r="X907">
        <f>0</f>
        <v>0</v>
      </c>
      <c r="Y907" t="s">
        <v>157</v>
      </c>
      <c r="Z907">
        <f>0</f>
        <v>0</v>
      </c>
      <c r="AA907" t="s">
        <v>158</v>
      </c>
      <c r="AB907" t="s">
        <v>158</v>
      </c>
      <c r="AC907">
        <f>0</f>
        <v>0</v>
      </c>
      <c r="AD907">
        <f>0</f>
        <v>0</v>
      </c>
      <c r="AE907">
        <f>0</f>
        <v>0</v>
      </c>
      <c r="AH907" t="s">
        <v>157</v>
      </c>
    </row>
    <row r="908" spans="1:63" x14ac:dyDescent="0.25">
      <c r="A908" t="s">
        <v>3278</v>
      </c>
      <c r="B908" t="s">
        <v>148</v>
      </c>
      <c r="C908" s="1">
        <v>45713</v>
      </c>
      <c r="D908" t="s">
        <v>242</v>
      </c>
      <c r="E908" t="s">
        <v>243</v>
      </c>
      <c r="F908" t="s">
        <v>253</v>
      </c>
      <c r="G908" t="s">
        <v>5774</v>
      </c>
      <c r="H908">
        <v>212</v>
      </c>
      <c r="I908" t="s">
        <v>6528</v>
      </c>
      <c r="J908">
        <v>21905</v>
      </c>
      <c r="K908" t="s">
        <v>5257</v>
      </c>
      <c r="L908" t="s">
        <v>259</v>
      </c>
      <c r="M908" t="s">
        <v>260</v>
      </c>
      <c r="N908" t="s">
        <v>5263</v>
      </c>
      <c r="O908" t="s">
        <v>261</v>
      </c>
      <c r="R908">
        <f>1</f>
        <v>1</v>
      </c>
      <c r="S908">
        <f>11.5</f>
        <v>11.5</v>
      </c>
      <c r="T908">
        <f>8</f>
        <v>8</v>
      </c>
      <c r="U908">
        <f>203</f>
        <v>203</v>
      </c>
      <c r="V908">
        <f>0.14</f>
        <v>0.14000000000000001</v>
      </c>
      <c r="X908">
        <f>0</f>
        <v>0</v>
      </c>
      <c r="Y908" t="s">
        <v>157</v>
      </c>
      <c r="Z908">
        <f>0</f>
        <v>0</v>
      </c>
      <c r="AA908" t="s">
        <v>158</v>
      </c>
      <c r="AB908" t="s">
        <v>158</v>
      </c>
      <c r="AC908">
        <f>0</f>
        <v>0</v>
      </c>
      <c r="AD908">
        <f>0</f>
        <v>0</v>
      </c>
      <c r="AE908">
        <f>0</f>
        <v>0</v>
      </c>
      <c r="AH908" t="s">
        <v>157</v>
      </c>
    </row>
    <row r="909" spans="1:63" x14ac:dyDescent="0.25">
      <c r="A909" t="s">
        <v>3279</v>
      </c>
      <c r="B909" t="s">
        <v>148</v>
      </c>
      <c r="C909" s="1">
        <v>45846</v>
      </c>
      <c r="D909" t="s">
        <v>242</v>
      </c>
      <c r="E909" t="s">
        <v>243</v>
      </c>
      <c r="F909" t="s">
        <v>253</v>
      </c>
      <c r="G909" t="s">
        <v>5774</v>
      </c>
      <c r="H909">
        <v>212</v>
      </c>
      <c r="I909" t="s">
        <v>6528</v>
      </c>
      <c r="J909">
        <v>21905</v>
      </c>
      <c r="K909" t="s">
        <v>5257</v>
      </c>
      <c r="L909" t="s">
        <v>259</v>
      </c>
      <c r="M909" t="s">
        <v>3280</v>
      </c>
      <c r="N909" t="s">
        <v>3281</v>
      </c>
      <c r="O909" t="s">
        <v>3282</v>
      </c>
      <c r="R909">
        <f>1</f>
        <v>1</v>
      </c>
      <c r="S909">
        <f>18.1</f>
        <v>18.100000000000001</v>
      </c>
      <c r="T909">
        <f>8</f>
        <v>8</v>
      </c>
      <c r="U909">
        <f>272</f>
        <v>272</v>
      </c>
      <c r="X909">
        <f>0</f>
        <v>0</v>
      </c>
      <c r="Y909" t="s">
        <v>157</v>
      </c>
      <c r="Z909">
        <f>0</f>
        <v>0</v>
      </c>
      <c r="AA909" t="s">
        <v>158</v>
      </c>
      <c r="AB909" t="s">
        <v>158</v>
      </c>
      <c r="AC909">
        <f>0</f>
        <v>0</v>
      </c>
      <c r="AD909">
        <f>0</f>
        <v>0</v>
      </c>
      <c r="AE909">
        <f>0</f>
        <v>0</v>
      </c>
      <c r="AH909" t="s">
        <v>157</v>
      </c>
      <c r="BB909" t="s">
        <v>158</v>
      </c>
    </row>
    <row r="910" spans="1:63" x14ac:dyDescent="0.25">
      <c r="A910" t="s">
        <v>3283</v>
      </c>
      <c r="B910" t="s">
        <v>148</v>
      </c>
      <c r="C910" s="1">
        <v>45713</v>
      </c>
      <c r="D910" t="s">
        <v>242</v>
      </c>
      <c r="E910" t="s">
        <v>243</v>
      </c>
      <c r="F910" t="s">
        <v>253</v>
      </c>
      <c r="G910" t="s">
        <v>5774</v>
      </c>
      <c r="H910">
        <v>212</v>
      </c>
      <c r="I910" t="s">
        <v>6528</v>
      </c>
      <c r="J910">
        <v>21905</v>
      </c>
      <c r="K910" t="s">
        <v>5257</v>
      </c>
      <c r="L910" t="s">
        <v>259</v>
      </c>
      <c r="M910" t="s">
        <v>5777</v>
      </c>
      <c r="N910" t="s">
        <v>5778</v>
      </c>
      <c r="O910" t="s">
        <v>265</v>
      </c>
      <c r="Q910" t="s">
        <v>6432</v>
      </c>
      <c r="R910">
        <f>1</f>
        <v>1</v>
      </c>
      <c r="S910">
        <f>7.7</f>
        <v>7.7</v>
      </c>
      <c r="T910">
        <f>8</f>
        <v>8</v>
      </c>
      <c r="U910">
        <f>202</f>
        <v>202</v>
      </c>
      <c r="V910">
        <f>0.11</f>
        <v>0.11</v>
      </c>
      <c r="X910">
        <f>0</f>
        <v>0</v>
      </c>
      <c r="Y910" t="s">
        <v>157</v>
      </c>
      <c r="Z910">
        <f>0</f>
        <v>0</v>
      </c>
      <c r="AA910" t="s">
        <v>158</v>
      </c>
      <c r="AB910" t="s">
        <v>158</v>
      </c>
      <c r="AC910">
        <f>0</f>
        <v>0</v>
      </c>
      <c r="AD910">
        <f>0</f>
        <v>0</v>
      </c>
      <c r="AE910">
        <f>0</f>
        <v>0</v>
      </c>
      <c r="AH910" t="s">
        <v>157</v>
      </c>
    </row>
    <row r="911" spans="1:63" x14ac:dyDescent="0.25">
      <c r="A911" t="s">
        <v>3284</v>
      </c>
      <c r="B911" t="s">
        <v>148</v>
      </c>
      <c r="C911" s="1">
        <v>45749</v>
      </c>
      <c r="D911" t="s">
        <v>269</v>
      </c>
      <c r="E911" t="s">
        <v>270</v>
      </c>
      <c r="F911" t="s">
        <v>271</v>
      </c>
      <c r="G911" t="s">
        <v>272</v>
      </c>
      <c r="H911">
        <v>132</v>
      </c>
      <c r="I911" t="s">
        <v>272</v>
      </c>
      <c r="J911">
        <v>22721</v>
      </c>
      <c r="K911" t="s">
        <v>5257</v>
      </c>
      <c r="L911" t="s">
        <v>154</v>
      </c>
      <c r="M911" t="s">
        <v>4696</v>
      </c>
      <c r="N911" t="s">
        <v>273</v>
      </c>
      <c r="O911" t="s">
        <v>274</v>
      </c>
      <c r="R911">
        <f>1</f>
        <v>1</v>
      </c>
      <c r="S911">
        <f>13.3</f>
        <v>13.3</v>
      </c>
      <c r="T911">
        <f>7.6</f>
        <v>7.6</v>
      </c>
      <c r="U911">
        <f>415</f>
        <v>415</v>
      </c>
      <c r="X911">
        <f>0</f>
        <v>0</v>
      </c>
      <c r="Y911">
        <f>0.26</f>
        <v>0.26</v>
      </c>
      <c r="Z911">
        <f>0</f>
        <v>0</v>
      </c>
      <c r="AA911" t="s">
        <v>158</v>
      </c>
      <c r="AB911" t="s">
        <v>158</v>
      </c>
      <c r="AC911">
        <f>0</f>
        <v>0</v>
      </c>
      <c r="AD911">
        <f>0</f>
        <v>0</v>
      </c>
      <c r="AE911">
        <f>0</f>
        <v>0</v>
      </c>
    </row>
    <row r="912" spans="1:63" x14ac:dyDescent="0.25">
      <c r="A912" t="s">
        <v>3285</v>
      </c>
      <c r="B912" t="s">
        <v>148</v>
      </c>
      <c r="C912" s="1">
        <v>45749</v>
      </c>
      <c r="D912" t="s">
        <v>269</v>
      </c>
      <c r="E912" t="s">
        <v>270</v>
      </c>
      <c r="F912" t="s">
        <v>271</v>
      </c>
      <c r="G912" t="s">
        <v>272</v>
      </c>
      <c r="H912">
        <v>132</v>
      </c>
      <c r="I912" t="s">
        <v>272</v>
      </c>
      <c r="J912">
        <v>22721</v>
      </c>
      <c r="K912" t="s">
        <v>5257</v>
      </c>
      <c r="L912" t="s">
        <v>154</v>
      </c>
      <c r="M912" t="s">
        <v>3286</v>
      </c>
      <c r="N912" t="s">
        <v>3287</v>
      </c>
      <c r="O912" t="s">
        <v>3288</v>
      </c>
      <c r="R912">
        <f>1</f>
        <v>1</v>
      </c>
      <c r="S912">
        <f>11.9</f>
        <v>11.9</v>
      </c>
      <c r="T912">
        <f>7.6</f>
        <v>7.6</v>
      </c>
      <c r="U912">
        <f>419</f>
        <v>419</v>
      </c>
      <c r="V912">
        <f>0.21</f>
        <v>0.21</v>
      </c>
      <c r="X912">
        <f>0</f>
        <v>0</v>
      </c>
      <c r="Y912" t="s">
        <v>207</v>
      </c>
      <c r="Z912">
        <f>0</f>
        <v>0</v>
      </c>
      <c r="AA912" t="s">
        <v>158</v>
      </c>
      <c r="AB912" t="s">
        <v>158</v>
      </c>
      <c r="AC912">
        <f>0</f>
        <v>0</v>
      </c>
      <c r="AD912">
        <f>0</f>
        <v>0</v>
      </c>
      <c r="AE912">
        <f>0</f>
        <v>0</v>
      </c>
    </row>
    <row r="913" spans="1:149" x14ac:dyDescent="0.25">
      <c r="A913" t="s">
        <v>3289</v>
      </c>
      <c r="B913" t="s">
        <v>148</v>
      </c>
      <c r="C913" s="1">
        <v>45728</v>
      </c>
      <c r="D913" t="s">
        <v>311</v>
      </c>
      <c r="E913" t="s">
        <v>312</v>
      </c>
      <c r="F913" t="s">
        <v>418</v>
      </c>
      <c r="G913" t="s">
        <v>419</v>
      </c>
      <c r="H913">
        <v>782</v>
      </c>
      <c r="I913" t="s">
        <v>420</v>
      </c>
      <c r="J913">
        <v>28100</v>
      </c>
      <c r="K913" t="s">
        <v>5254</v>
      </c>
      <c r="L913" t="s">
        <v>180</v>
      </c>
      <c r="M913" t="s">
        <v>6811</v>
      </c>
      <c r="N913" t="s">
        <v>6812</v>
      </c>
      <c r="O913" t="s">
        <v>3290</v>
      </c>
      <c r="R913">
        <f>1</f>
        <v>1</v>
      </c>
      <c r="S913">
        <f>12.6</f>
        <v>12.6</v>
      </c>
      <c r="T913">
        <f>7.4</f>
        <v>7.4</v>
      </c>
      <c r="U913">
        <f>519</f>
        <v>519</v>
      </c>
      <c r="X913">
        <f>0</f>
        <v>0</v>
      </c>
      <c r="Y913" t="s">
        <v>157</v>
      </c>
      <c r="Z913">
        <f>0</f>
        <v>0</v>
      </c>
      <c r="AA913" t="s">
        <v>158</v>
      </c>
      <c r="AB913" t="s">
        <v>158</v>
      </c>
      <c r="AD913">
        <f>0</f>
        <v>0</v>
      </c>
      <c r="AE913">
        <f>0</f>
        <v>0</v>
      </c>
      <c r="AH913" t="s">
        <v>157</v>
      </c>
    </row>
    <row r="914" spans="1:149" x14ac:dyDescent="0.25">
      <c r="A914" t="s">
        <v>3291</v>
      </c>
      <c r="B914" t="s">
        <v>148</v>
      </c>
      <c r="C914" s="1">
        <v>45749</v>
      </c>
      <c r="D914" t="s">
        <v>269</v>
      </c>
      <c r="E914" t="s">
        <v>270</v>
      </c>
      <c r="F914" t="s">
        <v>271</v>
      </c>
      <c r="G914" t="s">
        <v>6529</v>
      </c>
      <c r="H914">
        <v>592</v>
      </c>
      <c r="I914" t="s">
        <v>6529</v>
      </c>
      <c r="J914">
        <v>13513</v>
      </c>
      <c r="K914" t="s">
        <v>5257</v>
      </c>
      <c r="L914" t="s">
        <v>4940</v>
      </c>
      <c r="M914" t="s">
        <v>5780</v>
      </c>
      <c r="N914" t="s">
        <v>276</v>
      </c>
      <c r="O914" t="s">
        <v>277</v>
      </c>
      <c r="R914">
        <f>1</f>
        <v>1</v>
      </c>
      <c r="S914">
        <f>10.9</f>
        <v>10.9</v>
      </c>
      <c r="T914">
        <f>7.5</f>
        <v>7.5</v>
      </c>
      <c r="U914">
        <f>398</f>
        <v>398</v>
      </c>
      <c r="V914">
        <f>0.24</f>
        <v>0.24</v>
      </c>
      <c r="X914">
        <f>0</f>
        <v>0</v>
      </c>
      <c r="Y914">
        <f>0.08</f>
        <v>0.08</v>
      </c>
      <c r="Z914">
        <f>0</f>
        <v>0</v>
      </c>
      <c r="AA914" t="s">
        <v>158</v>
      </c>
      <c r="AB914" t="s">
        <v>158</v>
      </c>
      <c r="AC914">
        <f>0</f>
        <v>0</v>
      </c>
      <c r="AD914">
        <f>0</f>
        <v>0</v>
      </c>
      <c r="AE914">
        <f>0</f>
        <v>0</v>
      </c>
    </row>
    <row r="915" spans="1:149" x14ac:dyDescent="0.25">
      <c r="A915" t="s">
        <v>3292</v>
      </c>
      <c r="B915" t="s">
        <v>148</v>
      </c>
      <c r="C915" s="1">
        <v>45749</v>
      </c>
      <c r="D915" t="s">
        <v>269</v>
      </c>
      <c r="E915" t="s">
        <v>270</v>
      </c>
      <c r="F915" t="s">
        <v>271</v>
      </c>
      <c r="G915" t="s">
        <v>6529</v>
      </c>
      <c r="H915">
        <v>592</v>
      </c>
      <c r="I915" t="s">
        <v>6529</v>
      </c>
      <c r="J915">
        <v>13513</v>
      </c>
      <c r="K915" t="s">
        <v>5257</v>
      </c>
      <c r="L915" t="s">
        <v>4940</v>
      </c>
      <c r="M915" t="s">
        <v>5781</v>
      </c>
      <c r="N915" t="s">
        <v>279</v>
      </c>
      <c r="O915" t="s">
        <v>280</v>
      </c>
      <c r="R915">
        <f>1</f>
        <v>1</v>
      </c>
      <c r="S915">
        <f>10.9</f>
        <v>10.9</v>
      </c>
      <c r="T915">
        <f>7.8</f>
        <v>7.8</v>
      </c>
      <c r="U915">
        <f>406</f>
        <v>406</v>
      </c>
      <c r="X915">
        <f>0</f>
        <v>0</v>
      </c>
      <c r="Y915">
        <f>0.17</f>
        <v>0.17</v>
      </c>
      <c r="Z915">
        <f>0</f>
        <v>0</v>
      </c>
      <c r="AA915" t="s">
        <v>158</v>
      </c>
      <c r="AB915" t="s">
        <v>158</v>
      </c>
      <c r="AC915">
        <f>0</f>
        <v>0</v>
      </c>
      <c r="AD915">
        <f>0</f>
        <v>0</v>
      </c>
      <c r="AE915">
        <f>0</f>
        <v>0</v>
      </c>
    </row>
    <row r="916" spans="1:149" x14ac:dyDescent="0.25">
      <c r="A916" t="s">
        <v>3293</v>
      </c>
      <c r="B916" t="s">
        <v>148</v>
      </c>
      <c r="C916" s="1">
        <v>45756</v>
      </c>
      <c r="D916" t="s">
        <v>189</v>
      </c>
      <c r="E916" t="s">
        <v>284</v>
      </c>
      <c r="F916" t="s">
        <v>285</v>
      </c>
      <c r="G916" t="s">
        <v>286</v>
      </c>
      <c r="H916">
        <v>197</v>
      </c>
      <c r="I916" t="s">
        <v>287</v>
      </c>
      <c r="J916">
        <v>19851</v>
      </c>
      <c r="K916" t="s">
        <v>5257</v>
      </c>
      <c r="L916" t="s">
        <v>4943</v>
      </c>
      <c r="M916" t="s">
        <v>288</v>
      </c>
      <c r="N916" t="s">
        <v>6530</v>
      </c>
      <c r="O916" t="s">
        <v>289</v>
      </c>
      <c r="R916">
        <f>1</f>
        <v>1</v>
      </c>
      <c r="S916">
        <f>12.7</f>
        <v>12.7</v>
      </c>
      <c r="T916">
        <f>8.2</f>
        <v>8.1999999999999993</v>
      </c>
      <c r="U916">
        <f>323</f>
        <v>323</v>
      </c>
      <c r="V916">
        <f>0.2</f>
        <v>0.2</v>
      </c>
      <c r="X916">
        <f>0</f>
        <v>0</v>
      </c>
      <c r="Y916">
        <f>0.01</f>
        <v>0.01</v>
      </c>
      <c r="Z916">
        <f>0</f>
        <v>0</v>
      </c>
      <c r="AA916">
        <f>2</f>
        <v>2</v>
      </c>
      <c r="AB916">
        <f>0</f>
        <v>0</v>
      </c>
      <c r="AC916">
        <f>0</f>
        <v>0</v>
      </c>
      <c r="AD916">
        <f>0</f>
        <v>0</v>
      </c>
      <c r="AE916">
        <f>0</f>
        <v>0</v>
      </c>
      <c r="AH916" t="s">
        <v>157</v>
      </c>
      <c r="BB916">
        <f>42</f>
        <v>42</v>
      </c>
    </row>
    <row r="917" spans="1:149" x14ac:dyDescent="0.25">
      <c r="A917" t="s">
        <v>3294</v>
      </c>
      <c r="B917" t="s">
        <v>148</v>
      </c>
      <c r="C917" s="1">
        <v>45727</v>
      </c>
      <c r="D917" t="s">
        <v>189</v>
      </c>
      <c r="E917" t="s">
        <v>284</v>
      </c>
      <c r="F917" t="s">
        <v>285</v>
      </c>
      <c r="G917" t="s">
        <v>286</v>
      </c>
      <c r="H917">
        <v>197</v>
      </c>
      <c r="I917" t="s">
        <v>287</v>
      </c>
      <c r="J917">
        <v>19851</v>
      </c>
      <c r="K917" t="s">
        <v>5257</v>
      </c>
      <c r="L917" t="s">
        <v>4943</v>
      </c>
      <c r="M917" t="s">
        <v>291</v>
      </c>
      <c r="N917" t="s">
        <v>292</v>
      </c>
      <c r="O917" t="s">
        <v>293</v>
      </c>
      <c r="R917">
        <f>1</f>
        <v>1</v>
      </c>
      <c r="S917">
        <f>9.2</f>
        <v>9.1999999999999993</v>
      </c>
      <c r="T917">
        <f>7.9</f>
        <v>7.9</v>
      </c>
      <c r="U917">
        <f>319</f>
        <v>319</v>
      </c>
      <c r="V917">
        <f>0.26</f>
        <v>0.26</v>
      </c>
      <c r="X917">
        <f>0</f>
        <v>0</v>
      </c>
      <c r="Y917">
        <f>0.11</f>
        <v>0.11</v>
      </c>
      <c r="Z917">
        <f>0</f>
        <v>0</v>
      </c>
      <c r="AA917" t="s">
        <v>158</v>
      </c>
      <c r="AB917" t="s">
        <v>158</v>
      </c>
      <c r="AC917">
        <f>0</f>
        <v>0</v>
      </c>
      <c r="AD917">
        <f>0</f>
        <v>0</v>
      </c>
      <c r="AE917">
        <f>0</f>
        <v>0</v>
      </c>
      <c r="AH917" t="s">
        <v>166</v>
      </c>
      <c r="AI917">
        <f>0.82</f>
        <v>0.82</v>
      </c>
      <c r="AL917" t="s">
        <v>216</v>
      </c>
      <c r="AM917" t="s">
        <v>266</v>
      </c>
      <c r="AN917">
        <f>3.18</f>
        <v>3.18</v>
      </c>
      <c r="AO917">
        <f>0.064</f>
        <v>6.4000000000000001E-2</v>
      </c>
      <c r="AP917">
        <f>2.97</f>
        <v>2.97</v>
      </c>
      <c r="AQ917">
        <f>3.52</f>
        <v>3.52</v>
      </c>
      <c r="AR917" t="s">
        <v>209</v>
      </c>
      <c r="AS917">
        <f>2.1</f>
        <v>2.1</v>
      </c>
      <c r="AT917" t="s">
        <v>250</v>
      </c>
      <c r="AY917" t="s">
        <v>157</v>
      </c>
      <c r="AZ917" t="s">
        <v>208</v>
      </c>
      <c r="BA917">
        <f>0.0022</f>
        <v>2.2000000000000001E-3</v>
      </c>
      <c r="BB917">
        <f>14</f>
        <v>14</v>
      </c>
      <c r="BC917" t="s">
        <v>209</v>
      </c>
      <c r="BD917">
        <f>0.11</f>
        <v>0.11</v>
      </c>
      <c r="BE917">
        <f>0.0015</f>
        <v>1.5E-3</v>
      </c>
      <c r="BF917" t="s">
        <v>168</v>
      </c>
      <c r="BG917" t="s">
        <v>237</v>
      </c>
      <c r="BH917" t="s">
        <v>157</v>
      </c>
      <c r="BK917">
        <f>0.41</f>
        <v>0.41</v>
      </c>
      <c r="EL917">
        <f>17</f>
        <v>17</v>
      </c>
      <c r="EM917" t="s">
        <v>238</v>
      </c>
      <c r="EN917">
        <f>2.3</f>
        <v>2.2999999999999998</v>
      </c>
      <c r="EO917" t="s">
        <v>300</v>
      </c>
      <c r="ER917">
        <f>19</f>
        <v>19</v>
      </c>
    </row>
    <row r="918" spans="1:149" x14ac:dyDescent="0.25">
      <c r="A918" t="s">
        <v>3295</v>
      </c>
      <c r="B918" t="s">
        <v>268</v>
      </c>
      <c r="C918" s="1">
        <v>45748</v>
      </c>
      <c r="D918" t="s">
        <v>242</v>
      </c>
      <c r="E918" t="s">
        <v>295</v>
      </c>
      <c r="F918" t="s">
        <v>4944</v>
      </c>
      <c r="G918" t="s">
        <v>5092</v>
      </c>
      <c r="H918">
        <v>316</v>
      </c>
      <c r="I918" t="s">
        <v>5092</v>
      </c>
      <c r="J918">
        <v>18031</v>
      </c>
      <c r="K918" t="s">
        <v>5254</v>
      </c>
      <c r="L918" t="s">
        <v>154</v>
      </c>
      <c r="M918" t="s">
        <v>5264</v>
      </c>
      <c r="N918" t="s">
        <v>298</v>
      </c>
      <c r="O918" t="s">
        <v>299</v>
      </c>
      <c r="R918">
        <f>1</f>
        <v>1</v>
      </c>
      <c r="S918">
        <f>12.9</f>
        <v>12.9</v>
      </c>
      <c r="T918">
        <f>7.6</f>
        <v>7.6</v>
      </c>
      <c r="U918">
        <f>338</f>
        <v>338</v>
      </c>
      <c r="V918" t="s">
        <v>207</v>
      </c>
      <c r="X918">
        <f>0</f>
        <v>0</v>
      </c>
      <c r="Y918">
        <f>0.11</f>
        <v>0.11</v>
      </c>
      <c r="Z918">
        <f>0</f>
        <v>0</v>
      </c>
      <c r="AA918">
        <f>14</f>
        <v>14</v>
      </c>
      <c r="AB918" t="s">
        <v>158</v>
      </c>
      <c r="AD918">
        <f>0</f>
        <v>0</v>
      </c>
      <c r="AE918">
        <f>3</f>
        <v>3</v>
      </c>
    </row>
    <row r="919" spans="1:149" x14ac:dyDescent="0.25">
      <c r="A919" t="s">
        <v>3296</v>
      </c>
      <c r="B919" t="s">
        <v>148</v>
      </c>
      <c r="C919" s="1">
        <v>45772</v>
      </c>
      <c r="D919" t="s">
        <v>317</v>
      </c>
      <c r="E919" t="s">
        <v>318</v>
      </c>
      <c r="F919" t="s">
        <v>325</v>
      </c>
      <c r="G919" t="s">
        <v>326</v>
      </c>
      <c r="H919">
        <v>76</v>
      </c>
      <c r="I919" t="s">
        <v>326</v>
      </c>
      <c r="J919">
        <v>11982</v>
      </c>
      <c r="K919" t="s">
        <v>5254</v>
      </c>
      <c r="L919" t="s">
        <v>4947</v>
      </c>
      <c r="M919" t="s">
        <v>5693</v>
      </c>
      <c r="N919" t="s">
        <v>5694</v>
      </c>
      <c r="O919" t="s">
        <v>3297</v>
      </c>
      <c r="Q919" t="s">
        <v>329</v>
      </c>
      <c r="R919">
        <f>1</f>
        <v>1</v>
      </c>
      <c r="S919">
        <f>11</f>
        <v>11</v>
      </c>
      <c r="T919">
        <f>7.7</f>
        <v>7.7</v>
      </c>
      <c r="U919">
        <f>333</f>
        <v>333</v>
      </c>
      <c r="X919">
        <f>0</f>
        <v>0</v>
      </c>
      <c r="Y919" t="s">
        <v>157</v>
      </c>
      <c r="Z919">
        <f>0</f>
        <v>0</v>
      </c>
      <c r="AA919">
        <f>0</f>
        <v>0</v>
      </c>
      <c r="AB919">
        <f>0</f>
        <v>0</v>
      </c>
      <c r="AD919">
        <f>0</f>
        <v>0</v>
      </c>
      <c r="AE919">
        <f>0</f>
        <v>0</v>
      </c>
      <c r="AH919" t="s">
        <v>157</v>
      </c>
      <c r="EP919" t="s">
        <v>251</v>
      </c>
      <c r="EQ919" t="s">
        <v>251</v>
      </c>
      <c r="ES919" t="s">
        <v>251</v>
      </c>
    </row>
    <row r="920" spans="1:149" x14ac:dyDescent="0.25">
      <c r="A920" t="s">
        <v>3298</v>
      </c>
      <c r="B920" t="s">
        <v>148</v>
      </c>
      <c r="C920" s="1">
        <v>45772</v>
      </c>
      <c r="D920" t="s">
        <v>317</v>
      </c>
      <c r="E920" t="s">
        <v>318</v>
      </c>
      <c r="F920" t="s">
        <v>325</v>
      </c>
      <c r="G920" t="s">
        <v>326</v>
      </c>
      <c r="H920">
        <v>76</v>
      </c>
      <c r="I920" t="s">
        <v>326</v>
      </c>
      <c r="J920">
        <v>11982</v>
      </c>
      <c r="K920" t="s">
        <v>5254</v>
      </c>
      <c r="L920" t="s">
        <v>4947</v>
      </c>
      <c r="M920" t="s">
        <v>5266</v>
      </c>
      <c r="N920" t="s">
        <v>327</v>
      </c>
      <c r="O920" t="s">
        <v>328</v>
      </c>
      <c r="Q920" t="s">
        <v>329</v>
      </c>
      <c r="R920">
        <f>1</f>
        <v>1</v>
      </c>
      <c r="S920">
        <f>11.7</f>
        <v>11.7</v>
      </c>
      <c r="T920">
        <f>7.9</f>
        <v>7.9</v>
      </c>
      <c r="U920">
        <f>235</f>
        <v>235</v>
      </c>
      <c r="V920" t="s">
        <v>209</v>
      </c>
      <c r="X920">
        <f>0</f>
        <v>0</v>
      </c>
      <c r="Y920" t="s">
        <v>157</v>
      </c>
      <c r="Z920">
        <f>0</f>
        <v>0</v>
      </c>
      <c r="AA920">
        <f>0</f>
        <v>0</v>
      </c>
      <c r="AB920">
        <f>0</f>
        <v>0</v>
      </c>
      <c r="AD920">
        <f>0</f>
        <v>0</v>
      </c>
      <c r="AE920">
        <f>0</f>
        <v>0</v>
      </c>
      <c r="AH920" t="s">
        <v>157</v>
      </c>
    </row>
    <row r="921" spans="1:149" x14ac:dyDescent="0.25">
      <c r="A921" t="s">
        <v>3299</v>
      </c>
      <c r="B921" t="s">
        <v>148</v>
      </c>
      <c r="C921" s="1">
        <v>45748</v>
      </c>
      <c r="D921" t="s">
        <v>269</v>
      </c>
      <c r="E921" t="s">
        <v>295</v>
      </c>
      <c r="F921" t="s">
        <v>331</v>
      </c>
      <c r="G921" t="s">
        <v>5784</v>
      </c>
      <c r="H921">
        <v>145</v>
      </c>
      <c r="I921" t="s">
        <v>5784</v>
      </c>
      <c r="J921">
        <v>14477</v>
      </c>
      <c r="K921" t="s">
        <v>5254</v>
      </c>
      <c r="L921" t="s">
        <v>332</v>
      </c>
      <c r="M921" t="s">
        <v>5785</v>
      </c>
      <c r="N921" t="s">
        <v>5268</v>
      </c>
      <c r="O921" t="s">
        <v>336</v>
      </c>
      <c r="R921">
        <f>1</f>
        <v>1</v>
      </c>
      <c r="S921">
        <f>14.6</f>
        <v>14.6</v>
      </c>
      <c r="T921">
        <f>7.5</f>
        <v>7.5</v>
      </c>
      <c r="U921">
        <f>410</f>
        <v>410</v>
      </c>
      <c r="V921">
        <f>0.06</f>
        <v>0.06</v>
      </c>
      <c r="X921">
        <f>0</f>
        <v>0</v>
      </c>
      <c r="Y921">
        <f>0.12</f>
        <v>0.12</v>
      </c>
      <c r="Z921">
        <f>0</f>
        <v>0</v>
      </c>
      <c r="AA921" t="s">
        <v>158</v>
      </c>
      <c r="AB921" t="s">
        <v>158</v>
      </c>
      <c r="AD921">
        <f>0</f>
        <v>0</v>
      </c>
      <c r="AE921">
        <f>0</f>
        <v>0</v>
      </c>
    </row>
    <row r="922" spans="1:149" x14ac:dyDescent="0.25">
      <c r="A922" t="s">
        <v>3300</v>
      </c>
      <c r="B922" t="s">
        <v>148</v>
      </c>
      <c r="C922" s="1">
        <v>45761</v>
      </c>
      <c r="D922" t="s">
        <v>317</v>
      </c>
      <c r="E922" t="s">
        <v>318</v>
      </c>
      <c r="F922" t="s">
        <v>338</v>
      </c>
      <c r="G922" t="s">
        <v>6538</v>
      </c>
      <c r="H922">
        <v>854</v>
      </c>
      <c r="I922" t="s">
        <v>6538</v>
      </c>
      <c r="J922">
        <v>16473</v>
      </c>
      <c r="K922" t="s">
        <v>5254</v>
      </c>
      <c r="L922" t="s">
        <v>4948</v>
      </c>
      <c r="M922" t="s">
        <v>5269</v>
      </c>
      <c r="N922" t="s">
        <v>5270</v>
      </c>
      <c r="O922" t="s">
        <v>339</v>
      </c>
      <c r="Q922" t="s">
        <v>329</v>
      </c>
      <c r="R922">
        <f>1</f>
        <v>1</v>
      </c>
      <c r="S922">
        <f>8.2</f>
        <v>8.1999999999999993</v>
      </c>
      <c r="T922">
        <f>8.1</f>
        <v>8.1</v>
      </c>
      <c r="U922">
        <f>187</f>
        <v>187</v>
      </c>
      <c r="V922" t="s">
        <v>207</v>
      </c>
      <c r="X922">
        <f>0</f>
        <v>0</v>
      </c>
      <c r="Y922" t="s">
        <v>157</v>
      </c>
      <c r="Z922">
        <f>0</f>
        <v>0</v>
      </c>
      <c r="AA922">
        <f>1</f>
        <v>1</v>
      </c>
      <c r="AB922">
        <f>0</f>
        <v>0</v>
      </c>
      <c r="AD922">
        <f>0</f>
        <v>0</v>
      </c>
      <c r="AE922">
        <f>0</f>
        <v>0</v>
      </c>
      <c r="AH922" t="s">
        <v>157</v>
      </c>
    </row>
    <row r="923" spans="1:149" x14ac:dyDescent="0.25">
      <c r="A923" t="s">
        <v>3301</v>
      </c>
      <c r="B923" t="s">
        <v>148</v>
      </c>
      <c r="C923" s="1">
        <v>45796</v>
      </c>
      <c r="D923" t="s">
        <v>317</v>
      </c>
      <c r="E923" t="s">
        <v>318</v>
      </c>
      <c r="F923" t="s">
        <v>338</v>
      </c>
      <c r="G923" t="s">
        <v>5786</v>
      </c>
      <c r="H923">
        <v>889</v>
      </c>
      <c r="I923" t="s">
        <v>5787</v>
      </c>
      <c r="J923">
        <v>10332</v>
      </c>
      <c r="K923" t="s">
        <v>5254</v>
      </c>
      <c r="L923" t="s">
        <v>180</v>
      </c>
      <c r="M923" t="s">
        <v>5695</v>
      </c>
      <c r="N923" t="s">
        <v>5696</v>
      </c>
      <c r="O923" t="s">
        <v>3302</v>
      </c>
      <c r="Q923" t="s">
        <v>329</v>
      </c>
      <c r="R923">
        <f>1</f>
        <v>1</v>
      </c>
      <c r="S923">
        <f>14.4</f>
        <v>14.4</v>
      </c>
      <c r="T923">
        <f>8.1</f>
        <v>8.1</v>
      </c>
      <c r="U923">
        <f>168</f>
        <v>168</v>
      </c>
      <c r="X923">
        <f>0</f>
        <v>0</v>
      </c>
      <c r="Y923" t="s">
        <v>157</v>
      </c>
      <c r="Z923">
        <f>0</f>
        <v>0</v>
      </c>
      <c r="AA923">
        <f>1</f>
        <v>1</v>
      </c>
      <c r="AB923">
        <f>0</f>
        <v>0</v>
      </c>
      <c r="AD923">
        <f>0</f>
        <v>0</v>
      </c>
      <c r="AE923">
        <f>0</f>
        <v>0</v>
      </c>
      <c r="AH923" t="s">
        <v>157</v>
      </c>
      <c r="AI923" t="s">
        <v>167</v>
      </c>
      <c r="AL923" t="s">
        <v>168</v>
      </c>
      <c r="AM923" t="s">
        <v>216</v>
      </c>
      <c r="AN923">
        <f>2.2</f>
        <v>2.2000000000000002</v>
      </c>
      <c r="AO923">
        <f>0.044</f>
        <v>4.3999999999999997E-2</v>
      </c>
      <c r="AP923">
        <f>2.5</f>
        <v>2.5</v>
      </c>
      <c r="AQ923" t="s">
        <v>167</v>
      </c>
      <c r="AR923" t="s">
        <v>167</v>
      </c>
      <c r="AS923">
        <f>0.22</f>
        <v>0.22</v>
      </c>
      <c r="AY923" t="s">
        <v>158</v>
      </c>
      <c r="AZ923" t="s">
        <v>158</v>
      </c>
      <c r="BA923" t="s">
        <v>216</v>
      </c>
      <c r="BB923" t="s">
        <v>158</v>
      </c>
      <c r="BC923" t="s">
        <v>167</v>
      </c>
      <c r="BD923" t="s">
        <v>167</v>
      </c>
      <c r="BE923" t="s">
        <v>216</v>
      </c>
      <c r="BF923" t="s">
        <v>167</v>
      </c>
      <c r="BG923" t="s">
        <v>158</v>
      </c>
      <c r="BH923" t="s">
        <v>167</v>
      </c>
      <c r="BK923" t="s">
        <v>158</v>
      </c>
    </row>
    <row r="924" spans="1:149" x14ac:dyDescent="0.25">
      <c r="A924" t="s">
        <v>3303</v>
      </c>
      <c r="B924" t="s">
        <v>148</v>
      </c>
      <c r="C924" s="1">
        <v>45758</v>
      </c>
      <c r="D924" t="s">
        <v>175</v>
      </c>
      <c r="E924" t="s">
        <v>176</v>
      </c>
      <c r="F924" t="s">
        <v>343</v>
      </c>
      <c r="G924" t="s">
        <v>344</v>
      </c>
      <c r="H924">
        <v>346</v>
      </c>
      <c r="I924" t="s">
        <v>344</v>
      </c>
      <c r="J924">
        <v>21617</v>
      </c>
      <c r="K924" t="s">
        <v>5254</v>
      </c>
      <c r="L924" t="s">
        <v>180</v>
      </c>
      <c r="M924" t="s">
        <v>5697</v>
      </c>
      <c r="N924" t="s">
        <v>6180</v>
      </c>
      <c r="O924" t="s">
        <v>3304</v>
      </c>
      <c r="Q924" t="s">
        <v>347</v>
      </c>
      <c r="R924">
        <f>1</f>
        <v>1</v>
      </c>
      <c r="S924">
        <f>11.1</f>
        <v>11.1</v>
      </c>
      <c r="T924">
        <f>7.6</f>
        <v>7.6</v>
      </c>
      <c r="U924">
        <f>307</f>
        <v>307</v>
      </c>
      <c r="X924">
        <f>0</f>
        <v>0</v>
      </c>
      <c r="Y924" t="s">
        <v>157</v>
      </c>
      <c r="Z924">
        <f>0</f>
        <v>0</v>
      </c>
      <c r="AA924">
        <f>20</f>
        <v>20</v>
      </c>
      <c r="AB924">
        <f>0</f>
        <v>0</v>
      </c>
      <c r="AD924">
        <f>0</f>
        <v>0</v>
      </c>
      <c r="AE924">
        <f>0</f>
        <v>0</v>
      </c>
      <c r="AH924" t="s">
        <v>157</v>
      </c>
    </row>
    <row r="925" spans="1:149" x14ac:dyDescent="0.25">
      <c r="A925" t="s">
        <v>3305</v>
      </c>
      <c r="B925" t="s">
        <v>148</v>
      </c>
      <c r="C925" s="1">
        <v>45758</v>
      </c>
      <c r="D925" t="s">
        <v>175</v>
      </c>
      <c r="E925" t="s">
        <v>176</v>
      </c>
      <c r="F925" t="s">
        <v>343</v>
      </c>
      <c r="G925" t="s">
        <v>344</v>
      </c>
      <c r="H925">
        <v>346</v>
      </c>
      <c r="I925" t="s">
        <v>344</v>
      </c>
      <c r="J925">
        <v>21617</v>
      </c>
      <c r="K925" t="s">
        <v>5254</v>
      </c>
      <c r="L925" t="s">
        <v>180</v>
      </c>
      <c r="M925" t="s">
        <v>5698</v>
      </c>
      <c r="N925" t="s">
        <v>3306</v>
      </c>
      <c r="O925" t="s">
        <v>3307</v>
      </c>
      <c r="Q925" t="s">
        <v>347</v>
      </c>
      <c r="R925">
        <f>1</f>
        <v>1</v>
      </c>
      <c r="S925">
        <f>11.1</f>
        <v>11.1</v>
      </c>
      <c r="T925">
        <f>7.9</f>
        <v>7.9</v>
      </c>
      <c r="U925">
        <f>229</f>
        <v>229</v>
      </c>
      <c r="X925">
        <f>0</f>
        <v>0</v>
      </c>
      <c r="Y925">
        <f>0.26</f>
        <v>0.26</v>
      </c>
      <c r="Z925">
        <f>0</f>
        <v>0</v>
      </c>
      <c r="AA925">
        <f>1</f>
        <v>1</v>
      </c>
      <c r="AB925">
        <f>0</f>
        <v>0</v>
      </c>
      <c r="AD925">
        <f>0</f>
        <v>0</v>
      </c>
      <c r="AE925">
        <f>0</f>
        <v>0</v>
      </c>
      <c r="AH925" t="s">
        <v>157</v>
      </c>
    </row>
    <row r="926" spans="1:149" x14ac:dyDescent="0.25">
      <c r="A926" t="s">
        <v>3308</v>
      </c>
      <c r="B926" t="s">
        <v>148</v>
      </c>
      <c r="C926" s="1">
        <v>45771</v>
      </c>
      <c r="D926" t="s">
        <v>317</v>
      </c>
      <c r="E926" t="s">
        <v>318</v>
      </c>
      <c r="F926" t="s">
        <v>360</v>
      </c>
      <c r="G926" t="s">
        <v>361</v>
      </c>
      <c r="H926">
        <v>104</v>
      </c>
      <c r="I926" t="s">
        <v>361</v>
      </c>
      <c r="J926">
        <v>61876</v>
      </c>
      <c r="K926" t="s">
        <v>5257</v>
      </c>
      <c r="L926" t="s">
        <v>4949</v>
      </c>
      <c r="M926" t="s">
        <v>5274</v>
      </c>
      <c r="N926" t="s">
        <v>362</v>
      </c>
      <c r="O926" t="s">
        <v>363</v>
      </c>
      <c r="Q926" t="s">
        <v>329</v>
      </c>
      <c r="R926">
        <f>1</f>
        <v>1</v>
      </c>
      <c r="S926">
        <f>11.4</f>
        <v>11.4</v>
      </c>
      <c r="T926">
        <f>8</f>
        <v>8</v>
      </c>
      <c r="U926">
        <f>204</f>
        <v>204</v>
      </c>
      <c r="X926">
        <f>0</f>
        <v>0</v>
      </c>
      <c r="Y926" t="s">
        <v>157</v>
      </c>
      <c r="Z926">
        <f>0</f>
        <v>0</v>
      </c>
      <c r="AA926">
        <f>0</f>
        <v>0</v>
      </c>
      <c r="AB926">
        <f>0</f>
        <v>0</v>
      </c>
      <c r="AC926">
        <f>0</f>
        <v>0</v>
      </c>
      <c r="AD926">
        <f>0</f>
        <v>0</v>
      </c>
      <c r="AE926">
        <f>0</f>
        <v>0</v>
      </c>
      <c r="AH926" t="s">
        <v>157</v>
      </c>
    </row>
    <row r="927" spans="1:149" x14ac:dyDescent="0.25">
      <c r="A927" t="s">
        <v>3309</v>
      </c>
      <c r="B927" t="s">
        <v>148</v>
      </c>
      <c r="C927" s="1">
        <v>45771</v>
      </c>
      <c r="D927" t="s">
        <v>317</v>
      </c>
      <c r="E927" t="s">
        <v>318</v>
      </c>
      <c r="F927" t="s">
        <v>360</v>
      </c>
      <c r="G927" t="s">
        <v>361</v>
      </c>
      <c r="H927">
        <v>104</v>
      </c>
      <c r="I927" t="s">
        <v>361</v>
      </c>
      <c r="J927">
        <v>61876</v>
      </c>
      <c r="K927" t="s">
        <v>5257</v>
      </c>
      <c r="L927" t="s">
        <v>4949</v>
      </c>
      <c r="M927" t="s">
        <v>5275</v>
      </c>
      <c r="N927" t="s">
        <v>5097</v>
      </c>
      <c r="O927" t="s">
        <v>365</v>
      </c>
      <c r="Q927" t="s">
        <v>329</v>
      </c>
      <c r="R927">
        <f>1</f>
        <v>1</v>
      </c>
      <c r="S927">
        <f>13.3</f>
        <v>13.3</v>
      </c>
      <c r="T927">
        <f>8</f>
        <v>8</v>
      </c>
      <c r="U927">
        <f>205</f>
        <v>205</v>
      </c>
      <c r="X927">
        <f>0</f>
        <v>0</v>
      </c>
      <c r="Y927" t="s">
        <v>157</v>
      </c>
      <c r="Z927">
        <f>0</f>
        <v>0</v>
      </c>
      <c r="AA927">
        <f>1</f>
        <v>1</v>
      </c>
      <c r="AB927">
        <f>0</f>
        <v>0</v>
      </c>
      <c r="AC927">
        <f>0</f>
        <v>0</v>
      </c>
      <c r="AD927">
        <f>0</f>
        <v>0</v>
      </c>
      <c r="AE927">
        <f>0</f>
        <v>0</v>
      </c>
      <c r="AH927" t="s">
        <v>157</v>
      </c>
    </row>
    <row r="928" spans="1:149" x14ac:dyDescent="0.25">
      <c r="A928" t="s">
        <v>3310</v>
      </c>
      <c r="B928" t="s">
        <v>148</v>
      </c>
      <c r="C928" s="1">
        <v>45771</v>
      </c>
      <c r="D928" t="s">
        <v>317</v>
      </c>
      <c r="E928" t="s">
        <v>318</v>
      </c>
      <c r="F928" t="s">
        <v>360</v>
      </c>
      <c r="G928" t="s">
        <v>361</v>
      </c>
      <c r="H928">
        <v>104</v>
      </c>
      <c r="I928" t="s">
        <v>361</v>
      </c>
      <c r="J928">
        <v>61876</v>
      </c>
      <c r="K928" t="s">
        <v>5257</v>
      </c>
      <c r="L928" t="s">
        <v>4949</v>
      </c>
      <c r="M928" t="s">
        <v>5276</v>
      </c>
      <c r="N928" t="s">
        <v>367</v>
      </c>
      <c r="O928" t="s">
        <v>368</v>
      </c>
      <c r="Q928" t="s">
        <v>329</v>
      </c>
      <c r="R928">
        <f>1</f>
        <v>1</v>
      </c>
      <c r="S928">
        <f>12.3</f>
        <v>12.3</v>
      </c>
      <c r="T928">
        <f>8</f>
        <v>8</v>
      </c>
      <c r="U928">
        <f>222</f>
        <v>222</v>
      </c>
      <c r="X928">
        <f>0</f>
        <v>0</v>
      </c>
      <c r="Y928" t="s">
        <v>157</v>
      </c>
      <c r="Z928">
        <f>0</f>
        <v>0</v>
      </c>
      <c r="AA928">
        <f>1</f>
        <v>1</v>
      </c>
      <c r="AB928">
        <f>0</f>
        <v>0</v>
      </c>
      <c r="AC928">
        <f>0</f>
        <v>0</v>
      </c>
      <c r="AD928">
        <f>0</f>
        <v>0</v>
      </c>
      <c r="AE928">
        <f>0</f>
        <v>0</v>
      </c>
      <c r="AH928" t="s">
        <v>157</v>
      </c>
    </row>
    <row r="929" spans="1:149" x14ac:dyDescent="0.25">
      <c r="A929" t="s">
        <v>3311</v>
      </c>
      <c r="B929" t="s">
        <v>148</v>
      </c>
      <c r="C929" s="1">
        <v>45812</v>
      </c>
      <c r="D929" t="s">
        <v>317</v>
      </c>
      <c r="E929" t="s">
        <v>318</v>
      </c>
      <c r="F929" t="s">
        <v>360</v>
      </c>
      <c r="G929" t="s">
        <v>361</v>
      </c>
      <c r="H929">
        <v>104</v>
      </c>
      <c r="I929" t="s">
        <v>361</v>
      </c>
      <c r="J929">
        <v>61876</v>
      </c>
      <c r="K929" t="s">
        <v>5257</v>
      </c>
      <c r="L929" t="s">
        <v>4949</v>
      </c>
      <c r="M929" t="s">
        <v>5699</v>
      </c>
      <c r="N929" t="s">
        <v>6181</v>
      </c>
      <c r="O929" t="s">
        <v>3312</v>
      </c>
      <c r="Q929" t="s">
        <v>329</v>
      </c>
      <c r="R929">
        <f>1</f>
        <v>1</v>
      </c>
      <c r="S929">
        <f>16.6</f>
        <v>16.600000000000001</v>
      </c>
      <c r="T929">
        <f>8.1</f>
        <v>8.1</v>
      </c>
      <c r="U929">
        <f>241</f>
        <v>241</v>
      </c>
      <c r="X929">
        <f>0</f>
        <v>0</v>
      </c>
      <c r="Y929">
        <f>0.12</f>
        <v>0.12</v>
      </c>
      <c r="Z929">
        <f>0</f>
        <v>0</v>
      </c>
      <c r="AA929">
        <f>0</f>
        <v>0</v>
      </c>
      <c r="AB929">
        <f>0</f>
        <v>0</v>
      </c>
      <c r="AC929">
        <f>0</f>
        <v>0</v>
      </c>
      <c r="AD929">
        <f>0</f>
        <v>0</v>
      </c>
      <c r="AE929">
        <f>0</f>
        <v>0</v>
      </c>
      <c r="AH929" t="s">
        <v>157</v>
      </c>
      <c r="AI929" t="s">
        <v>167</v>
      </c>
      <c r="AL929" t="s">
        <v>168</v>
      </c>
      <c r="AM929" t="s">
        <v>216</v>
      </c>
      <c r="AN929">
        <f>4.1</f>
        <v>4.0999999999999996</v>
      </c>
      <c r="AO929">
        <f>0.082</f>
        <v>8.2000000000000003E-2</v>
      </c>
      <c r="AP929">
        <f>2.6</f>
        <v>2.6</v>
      </c>
      <c r="AQ929" t="s">
        <v>167</v>
      </c>
      <c r="AR929" t="s">
        <v>167</v>
      </c>
      <c r="AS929">
        <f>0.42</f>
        <v>0.42</v>
      </c>
      <c r="AY929" t="s">
        <v>158</v>
      </c>
      <c r="AZ929" t="s">
        <v>158</v>
      </c>
      <c r="BA929" t="s">
        <v>216</v>
      </c>
      <c r="BB929">
        <f>11</f>
        <v>11</v>
      </c>
      <c r="BC929" t="s">
        <v>167</v>
      </c>
      <c r="BD929" t="s">
        <v>167</v>
      </c>
      <c r="BE929" t="s">
        <v>216</v>
      </c>
      <c r="BF929" t="s">
        <v>167</v>
      </c>
      <c r="BG929" t="s">
        <v>158</v>
      </c>
      <c r="BH929" t="s">
        <v>167</v>
      </c>
      <c r="BK929" t="s">
        <v>158</v>
      </c>
    </row>
    <row r="930" spans="1:149" x14ac:dyDescent="0.25">
      <c r="A930" t="s">
        <v>3313</v>
      </c>
      <c r="B930" t="s">
        <v>268</v>
      </c>
      <c r="C930" s="1">
        <v>45749</v>
      </c>
      <c r="D930" t="s">
        <v>175</v>
      </c>
      <c r="E930" t="s">
        <v>176</v>
      </c>
      <c r="F930" t="s">
        <v>370</v>
      </c>
      <c r="G930" t="s">
        <v>5792</v>
      </c>
      <c r="H930">
        <v>334</v>
      </c>
      <c r="I930" t="s">
        <v>5793</v>
      </c>
      <c r="J930">
        <v>36614</v>
      </c>
      <c r="K930" t="s">
        <v>5254</v>
      </c>
      <c r="L930" t="s">
        <v>4697</v>
      </c>
      <c r="M930" t="s">
        <v>5277</v>
      </c>
      <c r="N930" t="s">
        <v>5794</v>
      </c>
      <c r="O930" t="s">
        <v>371</v>
      </c>
      <c r="Q930" t="s">
        <v>845</v>
      </c>
      <c r="R930">
        <f>1</f>
        <v>1</v>
      </c>
      <c r="S930">
        <f>11.5</f>
        <v>11.5</v>
      </c>
      <c r="T930">
        <f>7.4</f>
        <v>7.4</v>
      </c>
      <c r="U930">
        <f>519</f>
        <v>519</v>
      </c>
      <c r="X930">
        <f>0</f>
        <v>0</v>
      </c>
      <c r="Y930" t="s">
        <v>157</v>
      </c>
      <c r="Z930">
        <f>0</f>
        <v>0</v>
      </c>
      <c r="AA930">
        <f>160</f>
        <v>160</v>
      </c>
      <c r="AB930">
        <f>28</f>
        <v>28</v>
      </c>
      <c r="AD930">
        <f>0</f>
        <v>0</v>
      </c>
      <c r="AE930">
        <f>0</f>
        <v>0</v>
      </c>
      <c r="AH930" t="s">
        <v>157</v>
      </c>
    </row>
    <row r="931" spans="1:149" x14ac:dyDescent="0.25">
      <c r="A931" t="s">
        <v>3314</v>
      </c>
      <c r="B931" t="s">
        <v>148</v>
      </c>
      <c r="C931" s="1">
        <v>45749</v>
      </c>
      <c r="D931" t="s">
        <v>175</v>
      </c>
      <c r="E931" t="s">
        <v>176</v>
      </c>
      <c r="F931" t="s">
        <v>370</v>
      </c>
      <c r="G931" t="s">
        <v>5792</v>
      </c>
      <c r="H931">
        <v>334</v>
      </c>
      <c r="I931" t="s">
        <v>5793</v>
      </c>
      <c r="J931">
        <v>36614</v>
      </c>
      <c r="K931" t="s">
        <v>5254</v>
      </c>
      <c r="L931" t="s">
        <v>4697</v>
      </c>
      <c r="M931" t="s">
        <v>5700</v>
      </c>
      <c r="N931" t="s">
        <v>6182</v>
      </c>
      <c r="O931" t="s">
        <v>3315</v>
      </c>
      <c r="Q931" t="s">
        <v>329</v>
      </c>
      <c r="R931">
        <f>1</f>
        <v>1</v>
      </c>
      <c r="S931">
        <f>11.1</f>
        <v>11.1</v>
      </c>
      <c r="T931">
        <f>7.4</f>
        <v>7.4</v>
      </c>
      <c r="U931">
        <f>559</f>
        <v>559</v>
      </c>
      <c r="X931">
        <f>0</f>
        <v>0</v>
      </c>
      <c r="Y931" t="s">
        <v>157</v>
      </c>
      <c r="Z931">
        <f>0</f>
        <v>0</v>
      </c>
      <c r="AA931">
        <f>0</f>
        <v>0</v>
      </c>
      <c r="AB931">
        <f>0</f>
        <v>0</v>
      </c>
      <c r="AD931">
        <f>0</f>
        <v>0</v>
      </c>
      <c r="AE931">
        <f>0</f>
        <v>0</v>
      </c>
      <c r="AH931" t="s">
        <v>157</v>
      </c>
    </row>
    <row r="932" spans="1:149" x14ac:dyDescent="0.25">
      <c r="A932" t="s">
        <v>3316</v>
      </c>
      <c r="B932" t="s">
        <v>148</v>
      </c>
      <c r="C932" s="1">
        <v>45749</v>
      </c>
      <c r="D932" t="s">
        <v>175</v>
      </c>
      <c r="E932" t="s">
        <v>176</v>
      </c>
      <c r="F932" t="s">
        <v>370</v>
      </c>
      <c r="G932" t="s">
        <v>5792</v>
      </c>
      <c r="H932">
        <v>334</v>
      </c>
      <c r="I932" t="s">
        <v>5793</v>
      </c>
      <c r="J932">
        <v>36614</v>
      </c>
      <c r="K932" t="s">
        <v>5254</v>
      </c>
      <c r="L932" t="s">
        <v>4697</v>
      </c>
      <c r="M932" t="s">
        <v>5701</v>
      </c>
      <c r="N932" t="s">
        <v>5066</v>
      </c>
      <c r="O932" t="s">
        <v>3317</v>
      </c>
      <c r="Q932" t="s">
        <v>329</v>
      </c>
      <c r="R932">
        <f>1</f>
        <v>1</v>
      </c>
      <c r="S932">
        <f>12.6</f>
        <v>12.6</v>
      </c>
      <c r="T932">
        <f>7.3</f>
        <v>7.3</v>
      </c>
      <c r="U932">
        <f>589</f>
        <v>589</v>
      </c>
      <c r="X932">
        <f>0</f>
        <v>0</v>
      </c>
      <c r="Y932" t="s">
        <v>157</v>
      </c>
      <c r="Z932">
        <f>0</f>
        <v>0</v>
      </c>
      <c r="AA932">
        <f>0</f>
        <v>0</v>
      </c>
      <c r="AB932">
        <f>0</f>
        <v>0</v>
      </c>
      <c r="AD932">
        <f>0</f>
        <v>0</v>
      </c>
      <c r="AE932">
        <f>0</f>
        <v>0</v>
      </c>
      <c r="AH932" t="s">
        <v>157</v>
      </c>
    </row>
    <row r="933" spans="1:149" x14ac:dyDescent="0.25">
      <c r="A933" t="s">
        <v>3318</v>
      </c>
      <c r="B933" t="s">
        <v>148</v>
      </c>
      <c r="C933" s="1">
        <v>45771</v>
      </c>
      <c r="D933" t="s">
        <v>317</v>
      </c>
      <c r="E933" t="s">
        <v>318</v>
      </c>
      <c r="F933" t="s">
        <v>360</v>
      </c>
      <c r="G933" t="s">
        <v>361</v>
      </c>
      <c r="H933">
        <v>104</v>
      </c>
      <c r="I933" t="s">
        <v>361</v>
      </c>
      <c r="J933">
        <v>61876</v>
      </c>
      <c r="K933" t="s">
        <v>5257</v>
      </c>
      <c r="L933" t="s">
        <v>4949</v>
      </c>
      <c r="M933" t="s">
        <v>5800</v>
      </c>
      <c r="N933" t="s">
        <v>5801</v>
      </c>
      <c r="O933" t="s">
        <v>385</v>
      </c>
      <c r="Q933" t="s">
        <v>329</v>
      </c>
      <c r="R933">
        <f>1</f>
        <v>1</v>
      </c>
      <c r="S933">
        <f>11</f>
        <v>11</v>
      </c>
      <c r="T933">
        <f>8</f>
        <v>8</v>
      </c>
      <c r="U933">
        <f>274</f>
        <v>274</v>
      </c>
      <c r="X933">
        <f>0</f>
        <v>0</v>
      </c>
      <c r="Y933" t="s">
        <v>157</v>
      </c>
      <c r="Z933">
        <f>0</f>
        <v>0</v>
      </c>
      <c r="AA933">
        <f>1</f>
        <v>1</v>
      </c>
      <c r="AB933">
        <f>1</f>
        <v>1</v>
      </c>
      <c r="AC933">
        <f>0</f>
        <v>0</v>
      </c>
      <c r="AD933">
        <f>0</f>
        <v>0</v>
      </c>
      <c r="AE933">
        <f>0</f>
        <v>0</v>
      </c>
      <c r="AH933" t="s">
        <v>157</v>
      </c>
    </row>
    <row r="934" spans="1:149" x14ac:dyDescent="0.25">
      <c r="A934" t="s">
        <v>3319</v>
      </c>
      <c r="B934" t="s">
        <v>148</v>
      </c>
      <c r="C934" s="1">
        <v>45812</v>
      </c>
      <c r="D934" t="s">
        <v>317</v>
      </c>
      <c r="E934" t="s">
        <v>318</v>
      </c>
      <c r="F934" t="s">
        <v>360</v>
      </c>
      <c r="G934" t="s">
        <v>361</v>
      </c>
      <c r="H934">
        <v>104</v>
      </c>
      <c r="I934" t="s">
        <v>361</v>
      </c>
      <c r="J934">
        <v>61876</v>
      </c>
      <c r="K934" t="s">
        <v>5257</v>
      </c>
      <c r="L934" t="s">
        <v>4949</v>
      </c>
      <c r="M934" t="s">
        <v>5702</v>
      </c>
      <c r="N934" t="s">
        <v>6183</v>
      </c>
      <c r="O934" t="s">
        <v>3320</v>
      </c>
      <c r="Q934" t="s">
        <v>329</v>
      </c>
      <c r="R934">
        <f>1</f>
        <v>1</v>
      </c>
      <c r="S934">
        <f>15.5</f>
        <v>15.5</v>
      </c>
      <c r="T934">
        <f>8</f>
        <v>8</v>
      </c>
      <c r="U934">
        <f>284</f>
        <v>284</v>
      </c>
      <c r="X934">
        <f>0</f>
        <v>0</v>
      </c>
      <c r="Y934" t="s">
        <v>157</v>
      </c>
      <c r="Z934">
        <f>0</f>
        <v>0</v>
      </c>
      <c r="AA934">
        <f>0</f>
        <v>0</v>
      </c>
      <c r="AB934">
        <f>0</f>
        <v>0</v>
      </c>
      <c r="AC934">
        <f>0</f>
        <v>0</v>
      </c>
      <c r="AD934">
        <f>0</f>
        <v>0</v>
      </c>
      <c r="AE934">
        <f>0</f>
        <v>0</v>
      </c>
      <c r="AH934" t="s">
        <v>157</v>
      </c>
      <c r="AI934" t="s">
        <v>167</v>
      </c>
      <c r="AL934" t="s">
        <v>168</v>
      </c>
      <c r="AM934" t="s">
        <v>216</v>
      </c>
      <c r="AN934">
        <f>5.1</f>
        <v>5.0999999999999996</v>
      </c>
      <c r="AO934">
        <f>0.102</f>
        <v>0.10199999999999999</v>
      </c>
      <c r="AP934">
        <f>3.8</f>
        <v>3.8</v>
      </c>
      <c r="AQ934">
        <f>3.2</f>
        <v>3.2</v>
      </c>
      <c r="AR934" t="s">
        <v>167</v>
      </c>
      <c r="AS934">
        <f>1.3</f>
        <v>1.3</v>
      </c>
      <c r="AY934" t="s">
        <v>158</v>
      </c>
      <c r="AZ934" t="s">
        <v>158</v>
      </c>
      <c r="BA934" t="s">
        <v>216</v>
      </c>
      <c r="BB934" t="s">
        <v>158</v>
      </c>
      <c r="BC934" t="s">
        <v>167</v>
      </c>
      <c r="BD934" t="s">
        <v>167</v>
      </c>
      <c r="BE934" t="s">
        <v>216</v>
      </c>
      <c r="BF934" t="s">
        <v>167</v>
      </c>
      <c r="BG934" t="s">
        <v>158</v>
      </c>
      <c r="BH934" t="s">
        <v>167</v>
      </c>
      <c r="BK934" t="s">
        <v>158</v>
      </c>
      <c r="EP934" t="s">
        <v>251</v>
      </c>
      <c r="EQ934" t="s">
        <v>251</v>
      </c>
      <c r="ES934" t="s">
        <v>251</v>
      </c>
    </row>
    <row r="935" spans="1:149" x14ac:dyDescent="0.25">
      <c r="A935" t="s">
        <v>3321</v>
      </c>
      <c r="B935" t="s">
        <v>148</v>
      </c>
      <c r="C935" s="1">
        <v>45721</v>
      </c>
      <c r="D935" t="s">
        <v>242</v>
      </c>
      <c r="E935" t="s">
        <v>243</v>
      </c>
      <c r="F935" t="s">
        <v>5802</v>
      </c>
      <c r="G935" t="s">
        <v>5803</v>
      </c>
      <c r="H935">
        <v>1121</v>
      </c>
      <c r="I935" t="s">
        <v>5803</v>
      </c>
      <c r="J935">
        <v>14612</v>
      </c>
      <c r="K935" t="s">
        <v>5254</v>
      </c>
      <c r="L935" t="s">
        <v>387</v>
      </c>
      <c r="M935" t="s">
        <v>6184</v>
      </c>
      <c r="N935" t="s">
        <v>3322</v>
      </c>
      <c r="R935">
        <f>1</f>
        <v>1</v>
      </c>
      <c r="S935">
        <f>8.4</f>
        <v>8.4</v>
      </c>
      <c r="T935">
        <f>7.8</f>
        <v>7.8</v>
      </c>
      <c r="U935">
        <f>524</f>
        <v>524</v>
      </c>
      <c r="V935">
        <f>0.24</f>
        <v>0.24</v>
      </c>
      <c r="X935">
        <f>0</f>
        <v>0</v>
      </c>
      <c r="Y935" t="s">
        <v>157</v>
      </c>
      <c r="Z935">
        <f>0</f>
        <v>0</v>
      </c>
      <c r="AA935" t="s">
        <v>158</v>
      </c>
      <c r="AB935" t="s">
        <v>158</v>
      </c>
      <c r="AD935">
        <f>0</f>
        <v>0</v>
      </c>
      <c r="AE935">
        <f>0</f>
        <v>0</v>
      </c>
      <c r="AH935" t="s">
        <v>157</v>
      </c>
    </row>
    <row r="936" spans="1:149" x14ac:dyDescent="0.25">
      <c r="A936" t="s">
        <v>3323</v>
      </c>
      <c r="B936" t="s">
        <v>148</v>
      </c>
      <c r="C936" s="1">
        <v>45770</v>
      </c>
      <c r="D936" t="s">
        <v>242</v>
      </c>
      <c r="E936" t="s">
        <v>243</v>
      </c>
      <c r="F936" t="s">
        <v>5098</v>
      </c>
      <c r="G936" t="s">
        <v>5099</v>
      </c>
      <c r="H936">
        <v>1127</v>
      </c>
      <c r="I936" t="s">
        <v>5099</v>
      </c>
      <c r="J936">
        <v>13130</v>
      </c>
      <c r="K936" t="s">
        <v>5254</v>
      </c>
      <c r="L936" t="s">
        <v>387</v>
      </c>
      <c r="M936" t="s">
        <v>5100</v>
      </c>
      <c r="N936" t="s">
        <v>4699</v>
      </c>
      <c r="O936" t="s">
        <v>398</v>
      </c>
      <c r="R936">
        <f>1</f>
        <v>1</v>
      </c>
      <c r="S936">
        <f>14.5</f>
        <v>14.5</v>
      </c>
      <c r="T936">
        <f>8</f>
        <v>8</v>
      </c>
      <c r="U936">
        <f>321</f>
        <v>321</v>
      </c>
      <c r="X936">
        <f>1</f>
        <v>1</v>
      </c>
      <c r="Y936">
        <f>0.17</f>
        <v>0.17</v>
      </c>
      <c r="Z936">
        <f>0</f>
        <v>0</v>
      </c>
      <c r="AA936" t="s">
        <v>158</v>
      </c>
      <c r="AB936" t="s">
        <v>158</v>
      </c>
      <c r="AD936">
        <f>0</f>
        <v>0</v>
      </c>
      <c r="AE936">
        <f>0</f>
        <v>0</v>
      </c>
      <c r="AH936" t="s">
        <v>157</v>
      </c>
    </row>
    <row r="937" spans="1:149" x14ac:dyDescent="0.25">
      <c r="A937" t="s">
        <v>3324</v>
      </c>
      <c r="B937" t="s">
        <v>148</v>
      </c>
      <c r="C937" s="1">
        <v>45770</v>
      </c>
      <c r="D937" t="s">
        <v>242</v>
      </c>
      <c r="E937" t="s">
        <v>243</v>
      </c>
      <c r="F937" t="s">
        <v>5098</v>
      </c>
      <c r="G937" t="s">
        <v>5099</v>
      </c>
      <c r="H937">
        <v>1127</v>
      </c>
      <c r="I937" t="s">
        <v>5099</v>
      </c>
      <c r="J937">
        <v>13130</v>
      </c>
      <c r="K937" t="s">
        <v>5254</v>
      </c>
      <c r="L937" t="s">
        <v>387</v>
      </c>
      <c r="M937" t="s">
        <v>5283</v>
      </c>
      <c r="N937" t="s">
        <v>5101</v>
      </c>
      <c r="O937" t="s">
        <v>400</v>
      </c>
      <c r="R937">
        <f>1</f>
        <v>1</v>
      </c>
      <c r="S937">
        <f>13.6</f>
        <v>13.6</v>
      </c>
      <c r="T937">
        <f>8.1</f>
        <v>8.1</v>
      </c>
      <c r="U937">
        <f>354</f>
        <v>354</v>
      </c>
      <c r="V937">
        <f>0.3</f>
        <v>0.3</v>
      </c>
      <c r="X937">
        <f>1</f>
        <v>1</v>
      </c>
      <c r="Y937" t="s">
        <v>157</v>
      </c>
      <c r="Z937">
        <f>0</f>
        <v>0</v>
      </c>
      <c r="AA937" t="s">
        <v>158</v>
      </c>
      <c r="AB937" t="s">
        <v>158</v>
      </c>
      <c r="AD937">
        <f>0</f>
        <v>0</v>
      </c>
      <c r="AE937">
        <f>0</f>
        <v>0</v>
      </c>
      <c r="AH937" t="s">
        <v>157</v>
      </c>
    </row>
    <row r="938" spans="1:149" x14ac:dyDescent="0.25">
      <c r="A938" t="s">
        <v>3325</v>
      </c>
      <c r="B938" t="s">
        <v>148</v>
      </c>
      <c r="C938" s="1">
        <v>45756</v>
      </c>
      <c r="D938" t="s">
        <v>242</v>
      </c>
      <c r="E938" t="s">
        <v>243</v>
      </c>
      <c r="F938" t="s">
        <v>5284</v>
      </c>
      <c r="G938" t="s">
        <v>5806</v>
      </c>
      <c r="H938">
        <v>1133</v>
      </c>
      <c r="I938" t="s">
        <v>5807</v>
      </c>
      <c r="J938">
        <v>12771</v>
      </c>
      <c r="K938" t="s">
        <v>5254</v>
      </c>
      <c r="L938" t="s">
        <v>387</v>
      </c>
      <c r="M938" t="s">
        <v>5703</v>
      </c>
      <c r="N938" t="s">
        <v>5704</v>
      </c>
      <c r="O938" t="s">
        <v>3326</v>
      </c>
      <c r="R938">
        <f>1</f>
        <v>1</v>
      </c>
      <c r="S938">
        <f>14.9</f>
        <v>14.9</v>
      </c>
      <c r="T938">
        <f>7.6</f>
        <v>7.6</v>
      </c>
      <c r="U938">
        <f>466</f>
        <v>466</v>
      </c>
      <c r="V938">
        <f>0.21</f>
        <v>0.21</v>
      </c>
      <c r="X938">
        <f>1</f>
        <v>1</v>
      </c>
      <c r="Y938" t="s">
        <v>157</v>
      </c>
      <c r="Z938">
        <f>0</f>
        <v>0</v>
      </c>
      <c r="AA938" t="s">
        <v>158</v>
      </c>
      <c r="AB938" t="s">
        <v>158</v>
      </c>
      <c r="AD938">
        <f>0</f>
        <v>0</v>
      </c>
      <c r="AE938">
        <f>0</f>
        <v>0</v>
      </c>
      <c r="AH938" t="s">
        <v>157</v>
      </c>
    </row>
    <row r="939" spans="1:149" x14ac:dyDescent="0.25">
      <c r="A939" t="s">
        <v>3327</v>
      </c>
      <c r="B939" t="s">
        <v>148</v>
      </c>
      <c r="C939" s="1">
        <v>45775</v>
      </c>
      <c r="D939" t="s">
        <v>311</v>
      </c>
      <c r="E939" t="s">
        <v>312</v>
      </c>
      <c r="F939" t="s">
        <v>418</v>
      </c>
      <c r="G939" t="s">
        <v>419</v>
      </c>
      <c r="H939">
        <v>782</v>
      </c>
      <c r="I939" t="s">
        <v>420</v>
      </c>
      <c r="J939">
        <v>28100</v>
      </c>
      <c r="K939" t="s">
        <v>5254</v>
      </c>
      <c r="L939" t="s">
        <v>180</v>
      </c>
      <c r="M939" t="s">
        <v>6185</v>
      </c>
      <c r="N939" t="s">
        <v>3328</v>
      </c>
      <c r="O939" t="s">
        <v>3329</v>
      </c>
      <c r="Q939" t="s">
        <v>6433</v>
      </c>
      <c r="R939">
        <f>1</f>
        <v>1</v>
      </c>
      <c r="S939">
        <f>15.1</f>
        <v>15.1</v>
      </c>
      <c r="T939">
        <f>7.4</f>
        <v>7.4</v>
      </c>
      <c r="U939">
        <f>457</f>
        <v>457</v>
      </c>
      <c r="X939">
        <f>0</f>
        <v>0</v>
      </c>
      <c r="Y939" t="s">
        <v>157</v>
      </c>
      <c r="Z939">
        <f>0</f>
        <v>0</v>
      </c>
      <c r="AA939" t="s">
        <v>158</v>
      </c>
      <c r="AB939" t="s">
        <v>158</v>
      </c>
      <c r="AD939">
        <f>0</f>
        <v>0</v>
      </c>
      <c r="AE939">
        <f>0</f>
        <v>0</v>
      </c>
      <c r="AH939" t="s">
        <v>157</v>
      </c>
    </row>
    <row r="940" spans="1:149" x14ac:dyDescent="0.25">
      <c r="A940" t="s">
        <v>3330</v>
      </c>
      <c r="B940" t="s">
        <v>148</v>
      </c>
      <c r="C940" s="1">
        <v>45763</v>
      </c>
      <c r="D940" t="s">
        <v>242</v>
      </c>
      <c r="E940" t="s">
        <v>243</v>
      </c>
      <c r="F940" t="s">
        <v>5284</v>
      </c>
      <c r="G940" t="s">
        <v>5806</v>
      </c>
      <c r="H940">
        <v>1133</v>
      </c>
      <c r="I940" t="s">
        <v>5807</v>
      </c>
      <c r="J940">
        <v>12771</v>
      </c>
      <c r="K940" t="s">
        <v>5254</v>
      </c>
      <c r="L940" t="s">
        <v>387</v>
      </c>
      <c r="M940" t="s">
        <v>5808</v>
      </c>
      <c r="N940" t="s">
        <v>5809</v>
      </c>
      <c r="O940" t="s">
        <v>404</v>
      </c>
      <c r="R940">
        <f>1</f>
        <v>1</v>
      </c>
      <c r="S940">
        <f>12</f>
        <v>12</v>
      </c>
      <c r="T940">
        <f>7.5</f>
        <v>7.5</v>
      </c>
      <c r="U940">
        <f>446</f>
        <v>446</v>
      </c>
      <c r="X940">
        <f>0</f>
        <v>0</v>
      </c>
      <c r="Y940">
        <f>0.1</f>
        <v>0.1</v>
      </c>
      <c r="Z940">
        <f>0</f>
        <v>0</v>
      </c>
      <c r="AA940" t="s">
        <v>158</v>
      </c>
      <c r="AB940" t="s">
        <v>158</v>
      </c>
      <c r="AD940">
        <f>0</f>
        <v>0</v>
      </c>
      <c r="AE940">
        <f>0</f>
        <v>0</v>
      </c>
      <c r="AH940" t="s">
        <v>157</v>
      </c>
    </row>
    <row r="941" spans="1:149" x14ac:dyDescent="0.25">
      <c r="A941" t="s">
        <v>3331</v>
      </c>
      <c r="B941" t="s">
        <v>148</v>
      </c>
      <c r="C941" s="1">
        <v>45756</v>
      </c>
      <c r="D941" t="s">
        <v>242</v>
      </c>
      <c r="E941" t="s">
        <v>243</v>
      </c>
      <c r="F941" t="s">
        <v>5284</v>
      </c>
      <c r="G941" t="s">
        <v>5806</v>
      </c>
      <c r="H941">
        <v>1133</v>
      </c>
      <c r="I941" t="s">
        <v>5807</v>
      </c>
      <c r="J941">
        <v>12771</v>
      </c>
      <c r="K941" t="s">
        <v>5254</v>
      </c>
      <c r="L941" t="s">
        <v>387</v>
      </c>
      <c r="M941" t="s">
        <v>3332</v>
      </c>
      <c r="N941" t="s">
        <v>3333</v>
      </c>
      <c r="O941" t="s">
        <v>3334</v>
      </c>
      <c r="R941">
        <f>1</f>
        <v>1</v>
      </c>
      <c r="S941">
        <f>15</f>
        <v>15</v>
      </c>
      <c r="T941">
        <f>7.5</f>
        <v>7.5</v>
      </c>
      <c r="U941">
        <f>561</f>
        <v>561</v>
      </c>
      <c r="V941">
        <f>0.09</f>
        <v>0.09</v>
      </c>
      <c r="X941">
        <f>1</f>
        <v>1</v>
      </c>
      <c r="Y941" t="s">
        <v>157</v>
      </c>
      <c r="Z941">
        <f>0</f>
        <v>0</v>
      </c>
      <c r="AA941" t="s">
        <v>158</v>
      </c>
      <c r="AB941" t="s">
        <v>158</v>
      </c>
      <c r="AD941">
        <f>0</f>
        <v>0</v>
      </c>
      <c r="AE941">
        <f>0</f>
        <v>0</v>
      </c>
      <c r="AH941" t="s">
        <v>157</v>
      </c>
    </row>
    <row r="942" spans="1:149" x14ac:dyDescent="0.25">
      <c r="A942" t="s">
        <v>3335</v>
      </c>
      <c r="B942" t="s">
        <v>148</v>
      </c>
      <c r="C942" s="1">
        <v>45763</v>
      </c>
      <c r="D942" t="s">
        <v>242</v>
      </c>
      <c r="E942" t="s">
        <v>243</v>
      </c>
      <c r="F942" t="s">
        <v>5284</v>
      </c>
      <c r="G942" t="s">
        <v>5806</v>
      </c>
      <c r="H942">
        <v>1133</v>
      </c>
      <c r="I942" t="s">
        <v>5807</v>
      </c>
      <c r="J942">
        <v>12771</v>
      </c>
      <c r="K942" t="s">
        <v>5254</v>
      </c>
      <c r="L942" t="s">
        <v>387</v>
      </c>
      <c r="M942" t="s">
        <v>5810</v>
      </c>
      <c r="N942" t="s">
        <v>5811</v>
      </c>
      <c r="O942" t="s">
        <v>406</v>
      </c>
      <c r="R942">
        <f>1</f>
        <v>1</v>
      </c>
      <c r="S942">
        <f>11.2</f>
        <v>11.2</v>
      </c>
      <c r="T942">
        <f>7.5</f>
        <v>7.5</v>
      </c>
      <c r="U942">
        <f>502</f>
        <v>502</v>
      </c>
      <c r="X942">
        <f>0</f>
        <v>0</v>
      </c>
      <c r="Y942">
        <f>0.19</f>
        <v>0.19</v>
      </c>
      <c r="Z942">
        <f>0</f>
        <v>0</v>
      </c>
      <c r="AA942" t="s">
        <v>158</v>
      </c>
      <c r="AB942" t="s">
        <v>158</v>
      </c>
      <c r="AD942">
        <f>0</f>
        <v>0</v>
      </c>
      <c r="AE942">
        <f>0</f>
        <v>0</v>
      </c>
      <c r="AH942" t="s">
        <v>157</v>
      </c>
    </row>
    <row r="943" spans="1:149" x14ac:dyDescent="0.25">
      <c r="A943" t="s">
        <v>3336</v>
      </c>
      <c r="B943" t="s">
        <v>148</v>
      </c>
      <c r="C943" s="1">
        <v>45751</v>
      </c>
      <c r="D943" t="s">
        <v>242</v>
      </c>
      <c r="E943" t="s">
        <v>243</v>
      </c>
      <c r="F943" t="s">
        <v>244</v>
      </c>
      <c r="G943" t="s">
        <v>245</v>
      </c>
      <c r="H943">
        <v>154</v>
      </c>
      <c r="I943" t="s">
        <v>4695</v>
      </c>
      <c r="J943">
        <v>54400</v>
      </c>
      <c r="K943" t="s">
        <v>5257</v>
      </c>
      <c r="L943" t="s">
        <v>246</v>
      </c>
      <c r="M943" t="s">
        <v>6813</v>
      </c>
      <c r="N943" t="s">
        <v>3337</v>
      </c>
      <c r="O943" t="s">
        <v>3338</v>
      </c>
      <c r="R943">
        <f>1</f>
        <v>1</v>
      </c>
      <c r="S943">
        <f>12.2</f>
        <v>12.2</v>
      </c>
      <c r="T943">
        <f>7.5</f>
        <v>7.5</v>
      </c>
      <c r="U943">
        <f>501</f>
        <v>501</v>
      </c>
      <c r="X943">
        <f>1</f>
        <v>1</v>
      </c>
      <c r="Y943" t="s">
        <v>157</v>
      </c>
      <c r="Z943">
        <f>0</f>
        <v>0</v>
      </c>
      <c r="AA943" t="s">
        <v>158</v>
      </c>
      <c r="AB943" t="s">
        <v>158</v>
      </c>
      <c r="AC943">
        <f>0</f>
        <v>0</v>
      </c>
      <c r="AD943">
        <f>0</f>
        <v>0</v>
      </c>
      <c r="AE943">
        <f>0</f>
        <v>0</v>
      </c>
      <c r="AH943" t="s">
        <v>157</v>
      </c>
    </row>
    <row r="944" spans="1:149" x14ac:dyDescent="0.25">
      <c r="A944" t="s">
        <v>3339</v>
      </c>
      <c r="B944" t="s">
        <v>148</v>
      </c>
      <c r="C944" s="1">
        <v>45728</v>
      </c>
      <c r="D944" t="s">
        <v>311</v>
      </c>
      <c r="E944" t="s">
        <v>312</v>
      </c>
      <c r="F944" t="s">
        <v>418</v>
      </c>
      <c r="G944" t="s">
        <v>419</v>
      </c>
      <c r="H944">
        <v>782</v>
      </c>
      <c r="I944" t="s">
        <v>420</v>
      </c>
      <c r="J944">
        <v>28100</v>
      </c>
      <c r="K944" t="s">
        <v>5254</v>
      </c>
      <c r="L944" t="s">
        <v>180</v>
      </c>
      <c r="M944" t="s">
        <v>6186</v>
      </c>
      <c r="N944" t="s">
        <v>3340</v>
      </c>
      <c r="O944" t="s">
        <v>3341</v>
      </c>
      <c r="R944">
        <f>1</f>
        <v>1</v>
      </c>
      <c r="S944">
        <f>12.2</f>
        <v>12.2</v>
      </c>
      <c r="T944">
        <f>7.6</f>
        <v>7.6</v>
      </c>
      <c r="U944">
        <f>505</f>
        <v>505</v>
      </c>
      <c r="X944">
        <f>0</f>
        <v>0</v>
      </c>
      <c r="Y944" t="s">
        <v>157</v>
      </c>
      <c r="Z944">
        <f>0</f>
        <v>0</v>
      </c>
      <c r="AA944" t="s">
        <v>158</v>
      </c>
      <c r="AB944" t="s">
        <v>158</v>
      </c>
      <c r="AD944">
        <f>0</f>
        <v>0</v>
      </c>
      <c r="AE944">
        <f>0</f>
        <v>0</v>
      </c>
      <c r="AH944" t="s">
        <v>157</v>
      </c>
    </row>
    <row r="945" spans="1:148" x14ac:dyDescent="0.25">
      <c r="A945" t="s">
        <v>3342</v>
      </c>
      <c r="B945" t="s">
        <v>148</v>
      </c>
      <c r="C945" s="1">
        <v>45764</v>
      </c>
      <c r="D945" t="s">
        <v>175</v>
      </c>
      <c r="E945" t="s">
        <v>270</v>
      </c>
      <c r="F945" t="s">
        <v>354</v>
      </c>
      <c r="G945" t="s">
        <v>6540</v>
      </c>
      <c r="H945">
        <v>691</v>
      </c>
      <c r="I945" t="s">
        <v>6541</v>
      </c>
      <c r="J945">
        <v>20462</v>
      </c>
      <c r="K945" t="s">
        <v>5257</v>
      </c>
      <c r="L945" t="s">
        <v>355</v>
      </c>
      <c r="M945" t="s">
        <v>5290</v>
      </c>
      <c r="N945" t="s">
        <v>434</v>
      </c>
      <c r="O945" t="s">
        <v>435</v>
      </c>
      <c r="R945">
        <f>1</f>
        <v>1</v>
      </c>
      <c r="S945">
        <f>15.3</f>
        <v>15.3</v>
      </c>
      <c r="T945">
        <f>7.8</f>
        <v>7.8</v>
      </c>
      <c r="U945">
        <f>314</f>
        <v>314</v>
      </c>
      <c r="V945">
        <f>0.16</f>
        <v>0.16</v>
      </c>
      <c r="X945">
        <f>0</f>
        <v>0</v>
      </c>
      <c r="Y945" t="s">
        <v>207</v>
      </c>
      <c r="Z945">
        <f>0</f>
        <v>0</v>
      </c>
      <c r="AA945" t="s">
        <v>158</v>
      </c>
      <c r="AB945" t="s">
        <v>158</v>
      </c>
      <c r="AC945">
        <f>0</f>
        <v>0</v>
      </c>
      <c r="AD945">
        <f>0</f>
        <v>0</v>
      </c>
      <c r="AE945">
        <f>0</f>
        <v>0</v>
      </c>
      <c r="AG945" t="s">
        <v>249</v>
      </c>
      <c r="AH945" t="s">
        <v>166</v>
      </c>
      <c r="AI945">
        <f>1.07</f>
        <v>1.07</v>
      </c>
      <c r="AL945" t="s">
        <v>216</v>
      </c>
      <c r="AM945" t="s">
        <v>266</v>
      </c>
      <c r="AN945">
        <f>3.76</f>
        <v>3.76</v>
      </c>
      <c r="AO945">
        <f>0.075</f>
        <v>7.4999999999999997E-2</v>
      </c>
      <c r="AP945">
        <f>2.94</f>
        <v>2.94</v>
      </c>
      <c r="AQ945">
        <f>1.87</f>
        <v>1.87</v>
      </c>
      <c r="AR945" t="s">
        <v>209</v>
      </c>
      <c r="AS945">
        <f>0.92</f>
        <v>0.92</v>
      </c>
      <c r="AT945" t="s">
        <v>250</v>
      </c>
      <c r="AY945" t="s">
        <v>157</v>
      </c>
      <c r="AZ945" t="s">
        <v>208</v>
      </c>
      <c r="BA945">
        <f>0.0012</f>
        <v>1.1999999999999999E-3</v>
      </c>
      <c r="BB945">
        <f>8.4</f>
        <v>8.4</v>
      </c>
      <c r="BC945" t="s">
        <v>209</v>
      </c>
      <c r="BD945" t="s">
        <v>157</v>
      </c>
      <c r="BE945">
        <f>0.005</f>
        <v>5.0000000000000001E-3</v>
      </c>
      <c r="BF945">
        <f>0.045</f>
        <v>4.4999999999999998E-2</v>
      </c>
      <c r="BG945" t="s">
        <v>237</v>
      </c>
      <c r="BH945" t="s">
        <v>157</v>
      </c>
      <c r="BK945">
        <f>0.44</f>
        <v>0.44</v>
      </c>
      <c r="EL945">
        <f>17</f>
        <v>17</v>
      </c>
      <c r="EM945" t="s">
        <v>238</v>
      </c>
      <c r="EN945">
        <f>1.9</f>
        <v>1.9</v>
      </c>
      <c r="EO945" t="s">
        <v>300</v>
      </c>
      <c r="ER945">
        <f>19</f>
        <v>19</v>
      </c>
    </row>
    <row r="946" spans="1:148" x14ac:dyDescent="0.25">
      <c r="A946" t="s">
        <v>3343</v>
      </c>
      <c r="B946" t="s">
        <v>148</v>
      </c>
      <c r="C946" s="1">
        <v>45803</v>
      </c>
      <c r="D946" t="s">
        <v>311</v>
      </c>
      <c r="E946" t="s">
        <v>312</v>
      </c>
      <c r="F946" t="s">
        <v>349</v>
      </c>
      <c r="G946" t="s">
        <v>5788</v>
      </c>
      <c r="H946">
        <v>895</v>
      </c>
      <c r="I946" t="s">
        <v>6539</v>
      </c>
      <c r="J946">
        <v>17000</v>
      </c>
      <c r="K946" t="s">
        <v>5257</v>
      </c>
      <c r="L946" t="s">
        <v>350</v>
      </c>
      <c r="M946" t="s">
        <v>6545</v>
      </c>
      <c r="N946" t="s">
        <v>5813</v>
      </c>
      <c r="O946" t="s">
        <v>437</v>
      </c>
      <c r="R946">
        <f>1</f>
        <v>1</v>
      </c>
      <c r="S946">
        <f>13.4</f>
        <v>13.4</v>
      </c>
      <c r="T946">
        <f>7.7</f>
        <v>7.7</v>
      </c>
      <c r="U946">
        <f>187</f>
        <v>187</v>
      </c>
      <c r="V946" t="s">
        <v>209</v>
      </c>
      <c r="X946">
        <f>0</f>
        <v>0</v>
      </c>
      <c r="Y946">
        <f>0.1</f>
        <v>0.1</v>
      </c>
      <c r="Z946">
        <f>0</f>
        <v>0</v>
      </c>
      <c r="AA946" t="s">
        <v>158</v>
      </c>
      <c r="AB946" t="s">
        <v>158</v>
      </c>
      <c r="AC946">
        <f>0</f>
        <v>0</v>
      </c>
      <c r="AD946">
        <f>0</f>
        <v>0</v>
      </c>
      <c r="AE946">
        <f>0</f>
        <v>0</v>
      </c>
      <c r="AH946" t="s">
        <v>157</v>
      </c>
    </row>
    <row r="947" spans="1:148" x14ac:dyDescent="0.25">
      <c r="A947" t="s">
        <v>3344</v>
      </c>
      <c r="B947" t="s">
        <v>148</v>
      </c>
      <c r="C947" s="1">
        <v>45791</v>
      </c>
      <c r="D947" t="s">
        <v>311</v>
      </c>
      <c r="E947" t="s">
        <v>312</v>
      </c>
      <c r="F947" t="s">
        <v>424</v>
      </c>
      <c r="G947" t="s">
        <v>425</v>
      </c>
      <c r="H947">
        <v>799</v>
      </c>
      <c r="I947" t="s">
        <v>4700</v>
      </c>
      <c r="J947">
        <v>84503</v>
      </c>
      <c r="K947" t="s">
        <v>5254</v>
      </c>
      <c r="L947" t="s">
        <v>180</v>
      </c>
      <c r="M947" t="s">
        <v>3345</v>
      </c>
      <c r="N947" t="s">
        <v>3346</v>
      </c>
      <c r="O947" t="s">
        <v>3347</v>
      </c>
      <c r="R947">
        <f>1</f>
        <v>1</v>
      </c>
      <c r="S947">
        <f>14.8</f>
        <v>14.8</v>
      </c>
      <c r="T947">
        <f>7.3</f>
        <v>7.3</v>
      </c>
      <c r="U947">
        <f>481</f>
        <v>481</v>
      </c>
      <c r="X947">
        <f>0</f>
        <v>0</v>
      </c>
      <c r="Y947" t="s">
        <v>157</v>
      </c>
      <c r="Z947">
        <f>0</f>
        <v>0</v>
      </c>
      <c r="AA947" t="s">
        <v>158</v>
      </c>
      <c r="AB947" t="s">
        <v>158</v>
      </c>
      <c r="AD947">
        <f>0</f>
        <v>0</v>
      </c>
      <c r="AE947">
        <f>0</f>
        <v>0</v>
      </c>
      <c r="AG947" t="s">
        <v>249</v>
      </c>
      <c r="AH947" t="s">
        <v>157</v>
      </c>
      <c r="AI947" t="s">
        <v>238</v>
      </c>
      <c r="AL947" t="s">
        <v>164</v>
      </c>
      <c r="AM947" t="s">
        <v>165</v>
      </c>
      <c r="AN947">
        <f>13</f>
        <v>13</v>
      </c>
      <c r="AO947">
        <f>0.26</f>
        <v>0.26</v>
      </c>
      <c r="AP947">
        <f>23</f>
        <v>23</v>
      </c>
      <c r="AQ947">
        <f>22</f>
        <v>22</v>
      </c>
      <c r="AR947" t="s">
        <v>157</v>
      </c>
      <c r="AS947">
        <f>14</f>
        <v>14</v>
      </c>
      <c r="AT947" t="s">
        <v>250</v>
      </c>
      <c r="AY947" t="s">
        <v>167</v>
      </c>
      <c r="AZ947" t="s">
        <v>158</v>
      </c>
      <c r="BA947">
        <f>0.042</f>
        <v>4.2000000000000003E-2</v>
      </c>
      <c r="BB947" t="s">
        <v>158</v>
      </c>
      <c r="BC947" t="s">
        <v>166</v>
      </c>
      <c r="BD947" t="s">
        <v>167</v>
      </c>
      <c r="BE947">
        <f>0.0019</f>
        <v>1.9E-3</v>
      </c>
      <c r="BF947" t="s">
        <v>168</v>
      </c>
      <c r="BG947" t="s">
        <v>167</v>
      </c>
      <c r="BH947" t="s">
        <v>167</v>
      </c>
      <c r="BK947">
        <f>0.87</f>
        <v>0.87</v>
      </c>
      <c r="BL947" t="s">
        <v>168</v>
      </c>
      <c r="BM947" t="s">
        <v>168</v>
      </c>
      <c r="BN947" t="s">
        <v>168</v>
      </c>
      <c r="BO947" t="s">
        <v>168</v>
      </c>
      <c r="BP947" t="s">
        <v>168</v>
      </c>
      <c r="BQ947" t="s">
        <v>168</v>
      </c>
      <c r="BR947" t="s">
        <v>168</v>
      </c>
      <c r="BS947" t="s">
        <v>168</v>
      </c>
      <c r="BT947" t="s">
        <v>216</v>
      </c>
      <c r="BU947" t="s">
        <v>168</v>
      </c>
      <c r="BV947" t="s">
        <v>209</v>
      </c>
      <c r="BW947" t="s">
        <v>209</v>
      </c>
      <c r="BX947" t="s">
        <v>209</v>
      </c>
      <c r="BY947" t="s">
        <v>209</v>
      </c>
      <c r="BZ947" t="s">
        <v>216</v>
      </c>
      <c r="CA947" t="s">
        <v>216</v>
      </c>
      <c r="CB947" t="s">
        <v>168</v>
      </c>
      <c r="CC947" t="s">
        <v>168</v>
      </c>
      <c r="CD947" t="s">
        <v>216</v>
      </c>
      <c r="CE947" t="s">
        <v>209</v>
      </c>
      <c r="CF947" t="s">
        <v>168</v>
      </c>
      <c r="CG947" t="s">
        <v>168</v>
      </c>
      <c r="CH947" t="s">
        <v>165</v>
      </c>
      <c r="CI947" t="s">
        <v>216</v>
      </c>
      <c r="CJ947" t="s">
        <v>216</v>
      </c>
      <c r="CK947" t="s">
        <v>216</v>
      </c>
      <c r="CL947" t="s">
        <v>216</v>
      </c>
      <c r="CM947" t="s">
        <v>216</v>
      </c>
      <c r="CN947" t="s">
        <v>216</v>
      </c>
      <c r="CO947" t="s">
        <v>216</v>
      </c>
      <c r="CP947" t="s">
        <v>216</v>
      </c>
      <c r="CQ947" t="s">
        <v>216</v>
      </c>
      <c r="CR947" t="s">
        <v>216</v>
      </c>
      <c r="CS947" t="s">
        <v>216</v>
      </c>
      <c r="CT947" t="s">
        <v>216</v>
      </c>
      <c r="CU947" t="s">
        <v>216</v>
      </c>
      <c r="CV947" t="s">
        <v>216</v>
      </c>
      <c r="CW947" t="s">
        <v>216</v>
      </c>
      <c r="CX947" t="s">
        <v>216</v>
      </c>
      <c r="CY947" t="s">
        <v>216</v>
      </c>
      <c r="CZ947" t="s">
        <v>216</v>
      </c>
      <c r="DA947" t="s">
        <v>168</v>
      </c>
      <c r="DB947" t="s">
        <v>216</v>
      </c>
      <c r="DC947" t="s">
        <v>216</v>
      </c>
      <c r="DD947" t="s">
        <v>216</v>
      </c>
      <c r="DE947" t="s">
        <v>168</v>
      </c>
      <c r="DF947" t="s">
        <v>168</v>
      </c>
      <c r="DG947" t="s">
        <v>216</v>
      </c>
      <c r="DH947" t="s">
        <v>216</v>
      </c>
      <c r="DI947" t="s">
        <v>216</v>
      </c>
      <c r="DJ947" t="s">
        <v>216</v>
      </c>
      <c r="DK947" t="s">
        <v>168</v>
      </c>
      <c r="DL947" t="s">
        <v>216</v>
      </c>
      <c r="DM947" t="s">
        <v>216</v>
      </c>
      <c r="DN947" t="s">
        <v>216</v>
      </c>
      <c r="DO947" t="s">
        <v>216</v>
      </c>
      <c r="DP947" t="s">
        <v>168</v>
      </c>
      <c r="DQ947" t="s">
        <v>216</v>
      </c>
      <c r="DR947" t="s">
        <v>168</v>
      </c>
      <c r="DS947" t="s">
        <v>168</v>
      </c>
      <c r="DT947" t="s">
        <v>168</v>
      </c>
      <c r="DU947" t="s">
        <v>168</v>
      </c>
      <c r="DV947" t="s">
        <v>168</v>
      </c>
      <c r="DW947" t="s">
        <v>168</v>
      </c>
      <c r="DX947" t="s">
        <v>168</v>
      </c>
      <c r="DY947" t="s">
        <v>168</v>
      </c>
      <c r="DZ947" t="s">
        <v>209</v>
      </c>
      <c r="EA947" t="s">
        <v>216</v>
      </c>
      <c r="EB947" t="s">
        <v>168</v>
      </c>
      <c r="EC947" t="s">
        <v>168</v>
      </c>
      <c r="ED947" t="s">
        <v>209</v>
      </c>
      <c r="EE947" t="s">
        <v>168</v>
      </c>
    </row>
    <row r="948" spans="1:148" x14ac:dyDescent="0.25">
      <c r="A948" t="s">
        <v>3348</v>
      </c>
      <c r="B948" t="s">
        <v>148</v>
      </c>
      <c r="C948" s="1">
        <v>45743</v>
      </c>
      <c r="D948" t="s">
        <v>311</v>
      </c>
      <c r="E948" t="s">
        <v>312</v>
      </c>
      <c r="F948" t="s">
        <v>424</v>
      </c>
      <c r="G948" t="s">
        <v>425</v>
      </c>
      <c r="H948">
        <v>800</v>
      </c>
      <c r="I948" t="s">
        <v>6546</v>
      </c>
      <c r="J948">
        <v>26904</v>
      </c>
      <c r="K948" t="s">
        <v>5254</v>
      </c>
      <c r="L948" t="s">
        <v>439</v>
      </c>
      <c r="M948" t="s">
        <v>6547</v>
      </c>
      <c r="N948" t="s">
        <v>6548</v>
      </c>
      <c r="O948" t="s">
        <v>440</v>
      </c>
      <c r="R948">
        <f>1</f>
        <v>1</v>
      </c>
      <c r="S948">
        <f>11.6</f>
        <v>11.6</v>
      </c>
      <c r="T948">
        <f>7.2</f>
        <v>7.2</v>
      </c>
      <c r="U948">
        <f>499</f>
        <v>499</v>
      </c>
      <c r="X948">
        <f>0</f>
        <v>0</v>
      </c>
      <c r="Y948" t="s">
        <v>157</v>
      </c>
      <c r="Z948">
        <f>0</f>
        <v>0</v>
      </c>
      <c r="AA948" t="s">
        <v>158</v>
      </c>
      <c r="AB948" t="s">
        <v>158</v>
      </c>
      <c r="AD948">
        <f>0</f>
        <v>0</v>
      </c>
      <c r="AE948">
        <f>0</f>
        <v>0</v>
      </c>
      <c r="AH948" t="s">
        <v>157</v>
      </c>
    </row>
    <row r="949" spans="1:148" x14ac:dyDescent="0.25">
      <c r="A949" t="s">
        <v>3349</v>
      </c>
      <c r="B949" t="s">
        <v>148</v>
      </c>
      <c r="C949" s="1">
        <v>45744</v>
      </c>
      <c r="D949" t="s">
        <v>311</v>
      </c>
      <c r="E949" t="s">
        <v>312</v>
      </c>
      <c r="F949" t="s">
        <v>424</v>
      </c>
      <c r="G949" t="s">
        <v>425</v>
      </c>
      <c r="H949">
        <v>799</v>
      </c>
      <c r="I949" t="s">
        <v>4700</v>
      </c>
      <c r="J949">
        <v>84503</v>
      </c>
      <c r="K949" t="s">
        <v>5254</v>
      </c>
      <c r="L949" t="s">
        <v>180</v>
      </c>
      <c r="M949" t="s">
        <v>6549</v>
      </c>
      <c r="N949" t="s">
        <v>442</v>
      </c>
      <c r="O949" t="s">
        <v>443</v>
      </c>
      <c r="R949">
        <f>1</f>
        <v>1</v>
      </c>
      <c r="S949">
        <f>10.3</f>
        <v>10.3</v>
      </c>
      <c r="T949">
        <f>7.6</f>
        <v>7.6</v>
      </c>
      <c r="U949">
        <f>487</f>
        <v>487</v>
      </c>
      <c r="X949">
        <f>0</f>
        <v>0</v>
      </c>
      <c r="Y949" t="s">
        <v>157</v>
      </c>
      <c r="Z949">
        <f>0</f>
        <v>0</v>
      </c>
      <c r="AA949" t="s">
        <v>158</v>
      </c>
      <c r="AB949" t="s">
        <v>158</v>
      </c>
      <c r="AD949">
        <f>0</f>
        <v>0</v>
      </c>
      <c r="AE949">
        <f>0</f>
        <v>0</v>
      </c>
      <c r="AH949" t="s">
        <v>157</v>
      </c>
    </row>
    <row r="950" spans="1:148" x14ac:dyDescent="0.25">
      <c r="A950" t="s">
        <v>3350</v>
      </c>
      <c r="B950" t="s">
        <v>148</v>
      </c>
      <c r="C950" s="1">
        <v>45749</v>
      </c>
      <c r="D950" t="s">
        <v>311</v>
      </c>
      <c r="E950" t="s">
        <v>312</v>
      </c>
      <c r="F950" t="s">
        <v>424</v>
      </c>
      <c r="G950" t="s">
        <v>425</v>
      </c>
      <c r="H950">
        <v>799</v>
      </c>
      <c r="I950" t="s">
        <v>4700</v>
      </c>
      <c r="J950">
        <v>84503</v>
      </c>
      <c r="K950" t="s">
        <v>5254</v>
      </c>
      <c r="L950" t="s">
        <v>180</v>
      </c>
      <c r="M950" t="s">
        <v>5102</v>
      </c>
      <c r="N950" t="s">
        <v>445</v>
      </c>
      <c r="O950" t="s">
        <v>446</v>
      </c>
      <c r="R950">
        <f>1</f>
        <v>1</v>
      </c>
      <c r="S950">
        <f>12.5</f>
        <v>12.5</v>
      </c>
      <c r="T950">
        <f>7.5</f>
        <v>7.5</v>
      </c>
      <c r="U950">
        <f>552</f>
        <v>552</v>
      </c>
      <c r="X950">
        <f>0</f>
        <v>0</v>
      </c>
      <c r="Y950" t="s">
        <v>157</v>
      </c>
      <c r="Z950">
        <f>0</f>
        <v>0</v>
      </c>
      <c r="AA950" t="s">
        <v>158</v>
      </c>
      <c r="AB950" t="s">
        <v>158</v>
      </c>
      <c r="AD950">
        <f>0</f>
        <v>0</v>
      </c>
      <c r="AE950">
        <f>0</f>
        <v>0</v>
      </c>
      <c r="AH950" t="s">
        <v>157</v>
      </c>
    </row>
    <row r="951" spans="1:148" x14ac:dyDescent="0.25">
      <c r="A951" t="s">
        <v>3351</v>
      </c>
      <c r="B951" t="s">
        <v>148</v>
      </c>
      <c r="C951" s="1">
        <v>45744</v>
      </c>
      <c r="D951" t="s">
        <v>311</v>
      </c>
      <c r="E951" t="s">
        <v>312</v>
      </c>
      <c r="F951" t="s">
        <v>424</v>
      </c>
      <c r="G951" t="s">
        <v>425</v>
      </c>
      <c r="H951">
        <v>799</v>
      </c>
      <c r="I951" t="s">
        <v>4700</v>
      </c>
      <c r="J951">
        <v>84503</v>
      </c>
      <c r="K951" t="s">
        <v>5254</v>
      </c>
      <c r="L951" t="s">
        <v>180</v>
      </c>
      <c r="M951" t="s">
        <v>448</v>
      </c>
      <c r="N951" t="s">
        <v>449</v>
      </c>
      <c r="O951" t="s">
        <v>450</v>
      </c>
      <c r="R951">
        <f>1</f>
        <v>1</v>
      </c>
      <c r="S951">
        <f>10.8</f>
        <v>10.8</v>
      </c>
      <c r="T951">
        <f>7.5</f>
        <v>7.5</v>
      </c>
      <c r="U951">
        <f>497</f>
        <v>497</v>
      </c>
      <c r="X951">
        <f>0</f>
        <v>0</v>
      </c>
      <c r="Y951" t="s">
        <v>157</v>
      </c>
      <c r="Z951">
        <f>0</f>
        <v>0</v>
      </c>
      <c r="AA951" t="s">
        <v>158</v>
      </c>
      <c r="AB951" t="s">
        <v>158</v>
      </c>
      <c r="AD951">
        <f>0</f>
        <v>0</v>
      </c>
      <c r="AE951">
        <f>0</f>
        <v>0</v>
      </c>
      <c r="AH951" t="s">
        <v>157</v>
      </c>
    </row>
    <row r="952" spans="1:148" x14ac:dyDescent="0.25">
      <c r="A952" t="s">
        <v>3352</v>
      </c>
      <c r="B952" t="s">
        <v>148</v>
      </c>
      <c r="C952" s="1">
        <v>45749</v>
      </c>
      <c r="D952" t="s">
        <v>311</v>
      </c>
      <c r="E952" t="s">
        <v>312</v>
      </c>
      <c r="F952" t="s">
        <v>424</v>
      </c>
      <c r="G952" t="s">
        <v>425</v>
      </c>
      <c r="H952">
        <v>799</v>
      </c>
      <c r="I952" t="s">
        <v>4700</v>
      </c>
      <c r="J952">
        <v>84503</v>
      </c>
      <c r="K952" t="s">
        <v>5254</v>
      </c>
      <c r="L952" t="s">
        <v>180</v>
      </c>
      <c r="M952" t="s">
        <v>5814</v>
      </c>
      <c r="N952" t="s">
        <v>5815</v>
      </c>
      <c r="O952" t="s">
        <v>452</v>
      </c>
      <c r="R952">
        <f>1</f>
        <v>1</v>
      </c>
      <c r="S952">
        <f>14</f>
        <v>14</v>
      </c>
      <c r="T952">
        <f>7.5</f>
        <v>7.5</v>
      </c>
      <c r="U952">
        <f>543</f>
        <v>543</v>
      </c>
      <c r="X952">
        <f>0</f>
        <v>0</v>
      </c>
      <c r="Y952" t="s">
        <v>157</v>
      </c>
      <c r="Z952">
        <f>0</f>
        <v>0</v>
      </c>
      <c r="AA952" t="s">
        <v>158</v>
      </c>
      <c r="AB952" t="s">
        <v>158</v>
      </c>
      <c r="AD952">
        <f>0</f>
        <v>0</v>
      </c>
      <c r="AE952">
        <f>0</f>
        <v>0</v>
      </c>
      <c r="AH952" t="s">
        <v>157</v>
      </c>
    </row>
    <row r="953" spans="1:148" x14ac:dyDescent="0.25">
      <c r="A953" t="s">
        <v>3353</v>
      </c>
      <c r="B953" t="s">
        <v>148</v>
      </c>
      <c r="C953" s="1">
        <v>45743</v>
      </c>
      <c r="D953" t="s">
        <v>311</v>
      </c>
      <c r="E953" t="s">
        <v>312</v>
      </c>
      <c r="F953" t="s">
        <v>424</v>
      </c>
      <c r="G953" t="s">
        <v>425</v>
      </c>
      <c r="H953">
        <v>800</v>
      </c>
      <c r="I953" t="s">
        <v>6546</v>
      </c>
      <c r="J953">
        <v>26904</v>
      </c>
      <c r="K953" t="s">
        <v>5254</v>
      </c>
      <c r="L953" t="s">
        <v>439</v>
      </c>
      <c r="M953" t="s">
        <v>456</v>
      </c>
      <c r="N953" t="s">
        <v>4954</v>
      </c>
      <c r="O953" t="s">
        <v>457</v>
      </c>
      <c r="R953">
        <f>1</f>
        <v>1</v>
      </c>
      <c r="S953">
        <f>11.3</f>
        <v>11.3</v>
      </c>
      <c r="T953">
        <f>7.5</f>
        <v>7.5</v>
      </c>
      <c r="U953">
        <f>648</f>
        <v>648</v>
      </c>
      <c r="X953">
        <f>0</f>
        <v>0</v>
      </c>
      <c r="Y953" t="s">
        <v>157</v>
      </c>
      <c r="Z953">
        <f>0</f>
        <v>0</v>
      </c>
      <c r="AA953" t="s">
        <v>158</v>
      </c>
      <c r="AB953" t="s">
        <v>158</v>
      </c>
      <c r="AD953">
        <f>0</f>
        <v>0</v>
      </c>
      <c r="AE953">
        <f>0</f>
        <v>0</v>
      </c>
      <c r="AH953" t="s">
        <v>157</v>
      </c>
    </row>
    <row r="954" spans="1:148" x14ac:dyDescent="0.25">
      <c r="A954" t="s">
        <v>3354</v>
      </c>
      <c r="B954" t="s">
        <v>148</v>
      </c>
      <c r="C954" s="1">
        <v>45761</v>
      </c>
      <c r="D954" t="s">
        <v>311</v>
      </c>
      <c r="E954" t="s">
        <v>312</v>
      </c>
      <c r="F954" t="s">
        <v>424</v>
      </c>
      <c r="G954" t="s">
        <v>425</v>
      </c>
      <c r="H954">
        <v>803</v>
      </c>
      <c r="I954" t="s">
        <v>4702</v>
      </c>
      <c r="J954">
        <v>31048</v>
      </c>
      <c r="K954" t="s">
        <v>5254</v>
      </c>
      <c r="L954" t="s">
        <v>387</v>
      </c>
      <c r="M954" t="s">
        <v>461</v>
      </c>
      <c r="N954" t="s">
        <v>462</v>
      </c>
      <c r="O954" t="s">
        <v>463</v>
      </c>
      <c r="R954">
        <f>1</f>
        <v>1</v>
      </c>
      <c r="S954">
        <f>13.6</f>
        <v>13.6</v>
      </c>
      <c r="T954">
        <f>7.5</f>
        <v>7.5</v>
      </c>
      <c r="U954">
        <f>489</f>
        <v>489</v>
      </c>
      <c r="V954">
        <f>0.19</f>
        <v>0.19</v>
      </c>
      <c r="X954">
        <f>0</f>
        <v>0</v>
      </c>
      <c r="Y954" t="s">
        <v>157</v>
      </c>
      <c r="Z954">
        <f>0</f>
        <v>0</v>
      </c>
      <c r="AA954" t="s">
        <v>158</v>
      </c>
      <c r="AB954" t="s">
        <v>158</v>
      </c>
      <c r="AD954">
        <f>0</f>
        <v>0</v>
      </c>
      <c r="AE954">
        <f>0</f>
        <v>0</v>
      </c>
      <c r="AH954" t="s">
        <v>157</v>
      </c>
    </row>
    <row r="955" spans="1:148" x14ac:dyDescent="0.25">
      <c r="A955" t="s">
        <v>3355</v>
      </c>
      <c r="B955" t="s">
        <v>148</v>
      </c>
      <c r="C955" s="1">
        <v>45726</v>
      </c>
      <c r="D955" t="s">
        <v>311</v>
      </c>
      <c r="E955" t="s">
        <v>312</v>
      </c>
      <c r="F955" t="s">
        <v>424</v>
      </c>
      <c r="G955" t="s">
        <v>425</v>
      </c>
      <c r="H955">
        <v>803</v>
      </c>
      <c r="I955" t="s">
        <v>4702</v>
      </c>
      <c r="J955">
        <v>31048</v>
      </c>
      <c r="K955" t="s">
        <v>5254</v>
      </c>
      <c r="L955" t="s">
        <v>387</v>
      </c>
      <c r="M955" t="s">
        <v>465</v>
      </c>
      <c r="N955" t="s">
        <v>466</v>
      </c>
      <c r="O955" t="s">
        <v>467</v>
      </c>
      <c r="R955">
        <f>1</f>
        <v>1</v>
      </c>
      <c r="S955">
        <f>11.1</f>
        <v>11.1</v>
      </c>
      <c r="T955">
        <f>7.6</f>
        <v>7.6</v>
      </c>
      <c r="U955">
        <f>488</f>
        <v>488</v>
      </c>
      <c r="V955">
        <f>0.17</f>
        <v>0.17</v>
      </c>
      <c r="X955">
        <f>0</f>
        <v>0</v>
      </c>
      <c r="Y955" t="s">
        <v>157</v>
      </c>
      <c r="Z955">
        <f>0</f>
        <v>0</v>
      </c>
      <c r="AA955" t="s">
        <v>158</v>
      </c>
      <c r="AB955" t="s">
        <v>158</v>
      </c>
      <c r="AD955">
        <f>0</f>
        <v>0</v>
      </c>
      <c r="AE955">
        <f>0</f>
        <v>0</v>
      </c>
      <c r="AH955" t="s">
        <v>157</v>
      </c>
    </row>
    <row r="956" spans="1:148" x14ac:dyDescent="0.25">
      <c r="A956" t="s">
        <v>3356</v>
      </c>
      <c r="B956" t="s">
        <v>148</v>
      </c>
      <c r="C956" s="1">
        <v>45748</v>
      </c>
      <c r="D956" t="s">
        <v>222</v>
      </c>
      <c r="E956" t="s">
        <v>223</v>
      </c>
      <c r="F956" t="s">
        <v>4938</v>
      </c>
      <c r="G956" t="s">
        <v>5291</v>
      </c>
      <c r="H956">
        <v>1471</v>
      </c>
      <c r="I956" t="s">
        <v>5291</v>
      </c>
      <c r="J956">
        <v>14988</v>
      </c>
      <c r="K956" t="s">
        <v>5257</v>
      </c>
      <c r="L956" t="s">
        <v>191</v>
      </c>
      <c r="M956" t="s">
        <v>5292</v>
      </c>
      <c r="N956" t="s">
        <v>5293</v>
      </c>
      <c r="O956" t="s">
        <v>475</v>
      </c>
      <c r="Q956" t="s">
        <v>6434</v>
      </c>
      <c r="R956">
        <f>1</f>
        <v>1</v>
      </c>
      <c r="S956">
        <f>11.8</f>
        <v>11.8</v>
      </c>
      <c r="T956">
        <f>8.1</f>
        <v>8.1</v>
      </c>
      <c r="U956">
        <f>214</f>
        <v>214</v>
      </c>
      <c r="V956">
        <f>0.24</f>
        <v>0.24</v>
      </c>
      <c r="X956">
        <f>1</f>
        <v>1</v>
      </c>
      <c r="Y956">
        <f>0.14</f>
        <v>0.14000000000000001</v>
      </c>
      <c r="Z956">
        <f>0</f>
        <v>0</v>
      </c>
      <c r="AA956">
        <f>0</f>
        <v>0</v>
      </c>
      <c r="AB956">
        <f>0</f>
        <v>0</v>
      </c>
      <c r="AC956">
        <f>0</f>
        <v>0</v>
      </c>
      <c r="AD956">
        <f>0</f>
        <v>0</v>
      </c>
      <c r="AE956">
        <f>0</f>
        <v>0</v>
      </c>
      <c r="AH956" t="s">
        <v>166</v>
      </c>
    </row>
    <row r="957" spans="1:148" x14ac:dyDescent="0.25">
      <c r="A957" t="s">
        <v>3357</v>
      </c>
      <c r="B957" t="s">
        <v>148</v>
      </c>
      <c r="C957" s="1">
        <v>45733</v>
      </c>
      <c r="D957" t="s">
        <v>311</v>
      </c>
      <c r="E957" t="s">
        <v>312</v>
      </c>
      <c r="F957" t="s">
        <v>424</v>
      </c>
      <c r="G957" t="s">
        <v>425</v>
      </c>
      <c r="H957">
        <v>799</v>
      </c>
      <c r="I957" t="s">
        <v>4700</v>
      </c>
      <c r="J957">
        <v>84503</v>
      </c>
      <c r="K957" t="s">
        <v>5254</v>
      </c>
      <c r="L957" t="s">
        <v>180</v>
      </c>
      <c r="M957" t="s">
        <v>6552</v>
      </c>
      <c r="N957" t="s">
        <v>5294</v>
      </c>
      <c r="O957" t="s">
        <v>477</v>
      </c>
      <c r="R957">
        <f>1</f>
        <v>1</v>
      </c>
      <c r="S957">
        <f>12</f>
        <v>12</v>
      </c>
      <c r="T957">
        <f>7.4</f>
        <v>7.4</v>
      </c>
      <c r="U957">
        <f>512</f>
        <v>512</v>
      </c>
      <c r="X957">
        <f>0</f>
        <v>0</v>
      </c>
      <c r="Y957" t="s">
        <v>157</v>
      </c>
      <c r="Z957">
        <f>0</f>
        <v>0</v>
      </c>
      <c r="AA957" t="s">
        <v>158</v>
      </c>
      <c r="AB957" t="s">
        <v>158</v>
      </c>
      <c r="AD957">
        <f>0</f>
        <v>0</v>
      </c>
      <c r="AE957">
        <f>0</f>
        <v>0</v>
      </c>
      <c r="AH957" t="s">
        <v>157</v>
      </c>
    </row>
    <row r="958" spans="1:148" x14ac:dyDescent="0.25">
      <c r="A958" t="s">
        <v>3358</v>
      </c>
      <c r="B958" t="s">
        <v>148</v>
      </c>
      <c r="C958" s="1">
        <v>45743</v>
      </c>
      <c r="D958" t="s">
        <v>311</v>
      </c>
      <c r="E958" t="s">
        <v>312</v>
      </c>
      <c r="F958" t="s">
        <v>424</v>
      </c>
      <c r="G958" t="s">
        <v>425</v>
      </c>
      <c r="H958">
        <v>799</v>
      </c>
      <c r="I958" t="s">
        <v>4700</v>
      </c>
      <c r="J958">
        <v>84503</v>
      </c>
      <c r="K958" t="s">
        <v>5254</v>
      </c>
      <c r="L958" t="s">
        <v>180</v>
      </c>
      <c r="M958" t="s">
        <v>479</v>
      </c>
      <c r="N958" t="s">
        <v>5295</v>
      </c>
      <c r="O958" t="s">
        <v>480</v>
      </c>
      <c r="R958">
        <f>1</f>
        <v>1</v>
      </c>
      <c r="S958">
        <f>12.5</f>
        <v>12.5</v>
      </c>
      <c r="T958">
        <f>7.2</f>
        <v>7.2</v>
      </c>
      <c r="U958">
        <f>501</f>
        <v>501</v>
      </c>
      <c r="X958">
        <f>0</f>
        <v>0</v>
      </c>
      <c r="Y958" t="s">
        <v>157</v>
      </c>
      <c r="Z958">
        <f>0</f>
        <v>0</v>
      </c>
      <c r="AA958" t="s">
        <v>158</v>
      </c>
      <c r="AB958" t="s">
        <v>158</v>
      </c>
      <c r="AD958">
        <f>0</f>
        <v>0</v>
      </c>
      <c r="AE958">
        <f>0</f>
        <v>0</v>
      </c>
      <c r="AH958" t="s">
        <v>157</v>
      </c>
    </row>
    <row r="959" spans="1:148" x14ac:dyDescent="0.25">
      <c r="A959" t="s">
        <v>3359</v>
      </c>
      <c r="B959" t="s">
        <v>148</v>
      </c>
      <c r="C959" s="1">
        <v>45749</v>
      </c>
      <c r="D959" t="s">
        <v>311</v>
      </c>
      <c r="E959" t="s">
        <v>312</v>
      </c>
      <c r="F959" t="s">
        <v>424</v>
      </c>
      <c r="G959" t="s">
        <v>425</v>
      </c>
      <c r="H959">
        <v>799</v>
      </c>
      <c r="I959" t="s">
        <v>4700</v>
      </c>
      <c r="J959">
        <v>84503</v>
      </c>
      <c r="K959" t="s">
        <v>5254</v>
      </c>
      <c r="L959" t="s">
        <v>180</v>
      </c>
      <c r="M959" t="s">
        <v>3360</v>
      </c>
      <c r="N959" t="s">
        <v>3361</v>
      </c>
      <c r="O959" t="s">
        <v>483</v>
      </c>
      <c r="R959">
        <f>1</f>
        <v>1</v>
      </c>
      <c r="S959">
        <f>13.9</f>
        <v>13.9</v>
      </c>
      <c r="T959">
        <f>7.7</f>
        <v>7.7</v>
      </c>
      <c r="U959">
        <f>535</f>
        <v>535</v>
      </c>
      <c r="X959">
        <f>0</f>
        <v>0</v>
      </c>
      <c r="Y959" t="s">
        <v>157</v>
      </c>
      <c r="Z959">
        <f>0</f>
        <v>0</v>
      </c>
      <c r="AA959" t="s">
        <v>158</v>
      </c>
      <c r="AB959" t="s">
        <v>158</v>
      </c>
      <c r="AD959">
        <f>0</f>
        <v>0</v>
      </c>
      <c r="AE959">
        <f>0</f>
        <v>0</v>
      </c>
      <c r="AH959" t="s">
        <v>157</v>
      </c>
    </row>
    <row r="960" spans="1:148" x14ac:dyDescent="0.25">
      <c r="A960" t="s">
        <v>3362</v>
      </c>
      <c r="B960" t="s">
        <v>148</v>
      </c>
      <c r="C960" s="1">
        <v>45744</v>
      </c>
      <c r="D960" t="s">
        <v>311</v>
      </c>
      <c r="E960" t="s">
        <v>312</v>
      </c>
      <c r="F960" t="s">
        <v>424</v>
      </c>
      <c r="G960" t="s">
        <v>425</v>
      </c>
      <c r="H960">
        <v>799</v>
      </c>
      <c r="I960" t="s">
        <v>4700</v>
      </c>
      <c r="J960">
        <v>84503</v>
      </c>
      <c r="K960" t="s">
        <v>5254</v>
      </c>
      <c r="L960" t="s">
        <v>180</v>
      </c>
      <c r="M960" t="s">
        <v>482</v>
      </c>
      <c r="N960" t="s">
        <v>4703</v>
      </c>
      <c r="O960" t="s">
        <v>483</v>
      </c>
      <c r="R960">
        <f>1</f>
        <v>1</v>
      </c>
      <c r="S960">
        <f>11.9</f>
        <v>11.9</v>
      </c>
      <c r="T960">
        <f>7.6</f>
        <v>7.6</v>
      </c>
      <c r="U960">
        <f>491</f>
        <v>491</v>
      </c>
      <c r="X960">
        <f>0</f>
        <v>0</v>
      </c>
      <c r="Y960" t="s">
        <v>157</v>
      </c>
      <c r="Z960">
        <f>0</f>
        <v>0</v>
      </c>
      <c r="AA960" t="s">
        <v>158</v>
      </c>
      <c r="AB960" t="s">
        <v>158</v>
      </c>
      <c r="AD960">
        <f>0</f>
        <v>0</v>
      </c>
      <c r="AE960">
        <f>0</f>
        <v>0</v>
      </c>
      <c r="AH960" t="s">
        <v>157</v>
      </c>
    </row>
    <row r="961" spans="1:149" x14ac:dyDescent="0.25">
      <c r="A961" t="s">
        <v>3363</v>
      </c>
      <c r="B961" t="s">
        <v>148</v>
      </c>
      <c r="C961" s="1">
        <v>45743</v>
      </c>
      <c r="D961" t="s">
        <v>311</v>
      </c>
      <c r="E961" t="s">
        <v>312</v>
      </c>
      <c r="F961" t="s">
        <v>424</v>
      </c>
      <c r="G961" t="s">
        <v>425</v>
      </c>
      <c r="H961">
        <v>800</v>
      </c>
      <c r="I961" t="s">
        <v>6546</v>
      </c>
      <c r="J961">
        <v>26904</v>
      </c>
      <c r="K961" t="s">
        <v>5254</v>
      </c>
      <c r="L961" t="s">
        <v>439</v>
      </c>
      <c r="M961" t="s">
        <v>485</v>
      </c>
      <c r="N961" t="s">
        <v>4955</v>
      </c>
      <c r="O961" t="s">
        <v>486</v>
      </c>
      <c r="R961">
        <f>1</f>
        <v>1</v>
      </c>
      <c r="S961">
        <f>12</f>
        <v>12</v>
      </c>
      <c r="T961">
        <f>7.4</f>
        <v>7.4</v>
      </c>
      <c r="U961">
        <f>649</f>
        <v>649</v>
      </c>
      <c r="V961">
        <f>0.21</f>
        <v>0.21</v>
      </c>
      <c r="X961">
        <f>0</f>
        <v>0</v>
      </c>
      <c r="Y961" t="s">
        <v>157</v>
      </c>
      <c r="Z961">
        <f>0</f>
        <v>0</v>
      </c>
      <c r="AA961" t="s">
        <v>158</v>
      </c>
      <c r="AB961" t="s">
        <v>158</v>
      </c>
      <c r="AD961">
        <f>0</f>
        <v>0</v>
      </c>
      <c r="AE961">
        <f>0</f>
        <v>0</v>
      </c>
      <c r="AH961" t="s">
        <v>157</v>
      </c>
    </row>
    <row r="962" spans="1:149" x14ac:dyDescent="0.25">
      <c r="A962" t="s">
        <v>3364</v>
      </c>
      <c r="B962" t="s">
        <v>148</v>
      </c>
      <c r="C962" s="1">
        <v>45749</v>
      </c>
      <c r="D962" t="s">
        <v>311</v>
      </c>
      <c r="E962" t="s">
        <v>312</v>
      </c>
      <c r="F962" t="s">
        <v>424</v>
      </c>
      <c r="G962" t="s">
        <v>425</v>
      </c>
      <c r="H962">
        <v>803</v>
      </c>
      <c r="I962" t="s">
        <v>4702</v>
      </c>
      <c r="J962">
        <v>31048</v>
      </c>
      <c r="K962" t="s">
        <v>5254</v>
      </c>
      <c r="L962" t="s">
        <v>387</v>
      </c>
      <c r="M962" t="s">
        <v>3365</v>
      </c>
      <c r="N962" t="s">
        <v>6187</v>
      </c>
      <c r="O962" t="s">
        <v>3366</v>
      </c>
      <c r="R962">
        <f>1</f>
        <v>1</v>
      </c>
      <c r="S962">
        <f>10.8</f>
        <v>10.8</v>
      </c>
      <c r="T962">
        <f>7.5</f>
        <v>7.5</v>
      </c>
      <c r="U962">
        <f>490</f>
        <v>490</v>
      </c>
      <c r="X962">
        <f>0</f>
        <v>0</v>
      </c>
      <c r="Y962" t="s">
        <v>157</v>
      </c>
      <c r="Z962">
        <f>0</f>
        <v>0</v>
      </c>
      <c r="AA962" t="s">
        <v>158</v>
      </c>
      <c r="AB962" t="s">
        <v>158</v>
      </c>
      <c r="AD962">
        <f>0</f>
        <v>0</v>
      </c>
      <c r="AE962">
        <f>0</f>
        <v>0</v>
      </c>
      <c r="AH962" t="s">
        <v>157</v>
      </c>
    </row>
    <row r="963" spans="1:149" x14ac:dyDescent="0.25">
      <c r="A963" t="s">
        <v>3367</v>
      </c>
      <c r="B963" t="s">
        <v>148</v>
      </c>
      <c r="C963" s="1">
        <v>45769</v>
      </c>
      <c r="D963" t="s">
        <v>222</v>
      </c>
      <c r="E963" t="s">
        <v>223</v>
      </c>
      <c r="F963" t="s">
        <v>224</v>
      </c>
      <c r="G963" t="s">
        <v>225</v>
      </c>
      <c r="H963">
        <v>366</v>
      </c>
      <c r="I963" t="s">
        <v>225</v>
      </c>
      <c r="J963">
        <v>8295</v>
      </c>
      <c r="K963" t="s">
        <v>5257</v>
      </c>
      <c r="L963" t="s">
        <v>191</v>
      </c>
      <c r="M963" t="s">
        <v>6188</v>
      </c>
      <c r="N963" t="s">
        <v>4905</v>
      </c>
      <c r="O963" t="s">
        <v>3368</v>
      </c>
      <c r="Q963" t="s">
        <v>6435</v>
      </c>
      <c r="R963">
        <f>1</f>
        <v>1</v>
      </c>
      <c r="S963">
        <f>18.3</f>
        <v>18.3</v>
      </c>
      <c r="T963">
        <f>8.2</f>
        <v>8.1999999999999993</v>
      </c>
      <c r="U963">
        <f>217</f>
        <v>217</v>
      </c>
      <c r="X963">
        <f>1</f>
        <v>1</v>
      </c>
      <c r="Y963">
        <f>0.07</f>
        <v>7.0000000000000007E-2</v>
      </c>
      <c r="Z963">
        <f>0</f>
        <v>0</v>
      </c>
      <c r="AA963">
        <f>0</f>
        <v>0</v>
      </c>
      <c r="AB963">
        <f>0</f>
        <v>0</v>
      </c>
      <c r="AC963">
        <f>0</f>
        <v>0</v>
      </c>
      <c r="AD963">
        <f>0</f>
        <v>0</v>
      </c>
      <c r="AE963">
        <f>0</f>
        <v>0</v>
      </c>
      <c r="AH963" t="s">
        <v>166</v>
      </c>
      <c r="AI963">
        <f>0.67</f>
        <v>0.67</v>
      </c>
      <c r="AL963" t="s">
        <v>168</v>
      </c>
      <c r="AM963" t="s">
        <v>164</v>
      </c>
      <c r="AN963">
        <f>3.5</f>
        <v>3.5</v>
      </c>
      <c r="AO963">
        <f>0.07</f>
        <v>7.0000000000000007E-2</v>
      </c>
      <c r="AP963">
        <f>1.8</f>
        <v>1.8</v>
      </c>
      <c r="AQ963">
        <f>2.1</f>
        <v>2.1</v>
      </c>
      <c r="AR963" t="s">
        <v>167</v>
      </c>
      <c r="AS963">
        <f>1.2</f>
        <v>1.2</v>
      </c>
      <c r="AY963" t="s">
        <v>157</v>
      </c>
      <c r="AZ963" t="s">
        <v>208</v>
      </c>
      <c r="BA963">
        <f>0.0015</f>
        <v>1.5E-3</v>
      </c>
      <c r="BB963">
        <f>16</f>
        <v>16</v>
      </c>
      <c r="BC963">
        <f>0.058</f>
        <v>5.8000000000000003E-2</v>
      </c>
      <c r="BD963" t="s">
        <v>157</v>
      </c>
      <c r="BE963">
        <f>0.0018</f>
        <v>1.8E-3</v>
      </c>
      <c r="BF963" t="s">
        <v>168</v>
      </c>
      <c r="BG963" t="s">
        <v>237</v>
      </c>
      <c r="BH963">
        <f>0.13</f>
        <v>0.13</v>
      </c>
      <c r="BK963">
        <f>0.13</f>
        <v>0.13</v>
      </c>
      <c r="EL963">
        <f>8</f>
        <v>8</v>
      </c>
      <c r="EM963" t="s">
        <v>238</v>
      </c>
      <c r="EN963">
        <f>1.8</f>
        <v>1.8</v>
      </c>
      <c r="EO963" t="s">
        <v>238</v>
      </c>
      <c r="ER963">
        <f>9.8</f>
        <v>9.8000000000000007</v>
      </c>
    </row>
    <row r="964" spans="1:149" x14ac:dyDescent="0.25">
      <c r="A964" t="s">
        <v>3369</v>
      </c>
      <c r="B964" t="s">
        <v>148</v>
      </c>
      <c r="C964" s="1">
        <v>45803</v>
      </c>
      <c r="D964" t="s">
        <v>222</v>
      </c>
      <c r="E964" t="s">
        <v>223</v>
      </c>
      <c r="F964" t="s">
        <v>224</v>
      </c>
      <c r="G964" t="s">
        <v>229</v>
      </c>
      <c r="H964">
        <v>367</v>
      </c>
      <c r="I964" t="s">
        <v>495</v>
      </c>
      <c r="J964">
        <v>29670</v>
      </c>
      <c r="K964" t="s">
        <v>5257</v>
      </c>
      <c r="L964" t="s">
        <v>4956</v>
      </c>
      <c r="M964" t="s">
        <v>6189</v>
      </c>
      <c r="N964" t="s">
        <v>4906</v>
      </c>
      <c r="Q964" t="s">
        <v>6298</v>
      </c>
      <c r="R964">
        <f>1</f>
        <v>1</v>
      </c>
      <c r="S964">
        <f>13.9</f>
        <v>13.9</v>
      </c>
      <c r="T964">
        <f>7.8</f>
        <v>7.8</v>
      </c>
      <c r="U964">
        <f>236</f>
        <v>236</v>
      </c>
      <c r="X964">
        <f>1</f>
        <v>1</v>
      </c>
      <c r="Y964">
        <f>0.07</f>
        <v>7.0000000000000007E-2</v>
      </c>
      <c r="Z964">
        <f>0</f>
        <v>0</v>
      </c>
      <c r="AA964">
        <f>0</f>
        <v>0</v>
      </c>
      <c r="AB964">
        <f>0</f>
        <v>0</v>
      </c>
      <c r="AC964">
        <f>0</f>
        <v>0</v>
      </c>
      <c r="AD964">
        <f>0</f>
        <v>0</v>
      </c>
      <c r="AE964">
        <f>0</f>
        <v>0</v>
      </c>
      <c r="AH964" t="s">
        <v>166</v>
      </c>
      <c r="BB964">
        <f>65</f>
        <v>65</v>
      </c>
    </row>
    <row r="965" spans="1:149" x14ac:dyDescent="0.25">
      <c r="A965" t="s">
        <v>3370</v>
      </c>
      <c r="B965" t="s">
        <v>148</v>
      </c>
      <c r="C965" s="1">
        <v>45751</v>
      </c>
      <c r="D965" t="s">
        <v>242</v>
      </c>
      <c r="E965" t="s">
        <v>243</v>
      </c>
      <c r="F965" t="s">
        <v>244</v>
      </c>
      <c r="G965" t="s">
        <v>245</v>
      </c>
      <c r="H965">
        <v>154</v>
      </c>
      <c r="I965" t="s">
        <v>4695</v>
      </c>
      <c r="J965">
        <v>54400</v>
      </c>
      <c r="K965" t="s">
        <v>5257</v>
      </c>
      <c r="L965" t="s">
        <v>246</v>
      </c>
      <c r="M965" t="s">
        <v>3371</v>
      </c>
      <c r="N965" t="s">
        <v>3372</v>
      </c>
      <c r="O965" t="s">
        <v>3373</v>
      </c>
      <c r="Q965" t="s">
        <v>6436</v>
      </c>
      <c r="R965">
        <f>1</f>
        <v>1</v>
      </c>
      <c r="S965">
        <f>11.6</f>
        <v>11.6</v>
      </c>
      <c r="T965">
        <f>7.5</f>
        <v>7.5</v>
      </c>
      <c r="U965">
        <f>477</f>
        <v>477</v>
      </c>
      <c r="V965">
        <f>0.16</f>
        <v>0.16</v>
      </c>
      <c r="X965">
        <f>0</f>
        <v>0</v>
      </c>
      <c r="Y965" t="s">
        <v>157</v>
      </c>
      <c r="Z965">
        <f>0</f>
        <v>0</v>
      </c>
      <c r="AA965" t="s">
        <v>158</v>
      </c>
      <c r="AB965" t="s">
        <v>158</v>
      </c>
      <c r="AC965">
        <f>0</f>
        <v>0</v>
      </c>
      <c r="AD965">
        <f>0</f>
        <v>0</v>
      </c>
      <c r="AE965">
        <f>0</f>
        <v>0</v>
      </c>
      <c r="AH965" t="s">
        <v>157</v>
      </c>
    </row>
    <row r="966" spans="1:149" x14ac:dyDescent="0.25">
      <c r="A966" t="s">
        <v>3374</v>
      </c>
      <c r="B966" t="s">
        <v>148</v>
      </c>
      <c r="C966" s="1">
        <v>45763</v>
      </c>
      <c r="D966" t="s">
        <v>242</v>
      </c>
      <c r="E966" t="s">
        <v>243</v>
      </c>
      <c r="F966" t="s">
        <v>244</v>
      </c>
      <c r="G966" t="s">
        <v>245</v>
      </c>
      <c r="H966">
        <v>154</v>
      </c>
      <c r="I966" t="s">
        <v>4695</v>
      </c>
      <c r="J966">
        <v>54400</v>
      </c>
      <c r="K966" t="s">
        <v>5257</v>
      </c>
      <c r="L966" t="s">
        <v>246</v>
      </c>
      <c r="M966" t="s">
        <v>499</v>
      </c>
      <c r="N966" t="s">
        <v>5819</v>
      </c>
      <c r="O966" t="s">
        <v>500</v>
      </c>
      <c r="R966">
        <f>1</f>
        <v>1</v>
      </c>
      <c r="S966">
        <f>12.2</f>
        <v>12.2</v>
      </c>
      <c r="T966">
        <f>7.5</f>
        <v>7.5</v>
      </c>
      <c r="U966">
        <f>461</f>
        <v>461</v>
      </c>
      <c r="X966">
        <f>1</f>
        <v>1</v>
      </c>
      <c r="Y966">
        <f>0.1</f>
        <v>0.1</v>
      </c>
      <c r="Z966">
        <f>0</f>
        <v>0</v>
      </c>
      <c r="AA966" t="s">
        <v>158</v>
      </c>
      <c r="AB966" t="s">
        <v>158</v>
      </c>
      <c r="AC966">
        <f>0</f>
        <v>0</v>
      </c>
      <c r="AD966">
        <f>0</f>
        <v>0</v>
      </c>
      <c r="AE966">
        <f>0</f>
        <v>0</v>
      </c>
      <c r="AH966" t="s">
        <v>157</v>
      </c>
    </row>
    <row r="967" spans="1:149" x14ac:dyDescent="0.25">
      <c r="A967" t="s">
        <v>3375</v>
      </c>
      <c r="B967" t="s">
        <v>148</v>
      </c>
      <c r="C967" s="1">
        <v>45742</v>
      </c>
      <c r="D967" t="s">
        <v>222</v>
      </c>
      <c r="E967" t="s">
        <v>223</v>
      </c>
      <c r="F967" t="s">
        <v>224</v>
      </c>
      <c r="G967" t="s">
        <v>229</v>
      </c>
      <c r="H967">
        <v>367</v>
      </c>
      <c r="I967" t="s">
        <v>495</v>
      </c>
      <c r="J967">
        <v>29670</v>
      </c>
      <c r="K967" t="s">
        <v>5257</v>
      </c>
      <c r="L967" t="s">
        <v>4956</v>
      </c>
      <c r="M967" t="s">
        <v>5067</v>
      </c>
      <c r="N967" t="s">
        <v>3376</v>
      </c>
      <c r="Q967" t="s">
        <v>6299</v>
      </c>
      <c r="R967">
        <f>1</f>
        <v>1</v>
      </c>
      <c r="S967">
        <f>10.5</f>
        <v>10.5</v>
      </c>
      <c r="T967">
        <f>7.9</f>
        <v>7.9</v>
      </c>
      <c r="U967">
        <f>219</f>
        <v>219</v>
      </c>
      <c r="V967">
        <f>0.15</f>
        <v>0.15</v>
      </c>
      <c r="X967">
        <f>1</f>
        <v>1</v>
      </c>
      <c r="Y967">
        <f>0.08</f>
        <v>0.08</v>
      </c>
      <c r="Z967">
        <f>0</f>
        <v>0</v>
      </c>
      <c r="AA967">
        <f>1</f>
        <v>1</v>
      </c>
      <c r="AB967">
        <f>0</f>
        <v>0</v>
      </c>
      <c r="AC967">
        <f>0</f>
        <v>0</v>
      </c>
      <c r="AD967">
        <f>0</f>
        <v>0</v>
      </c>
      <c r="AE967">
        <f>0</f>
        <v>0</v>
      </c>
      <c r="AH967" t="s">
        <v>166</v>
      </c>
      <c r="AI967">
        <f>0.54</f>
        <v>0.54</v>
      </c>
      <c r="AL967" t="s">
        <v>168</v>
      </c>
      <c r="AM967" t="s">
        <v>164</v>
      </c>
      <c r="AN967">
        <f>3.5</f>
        <v>3.5</v>
      </c>
      <c r="AO967">
        <f>0.07</f>
        <v>7.0000000000000007E-2</v>
      </c>
      <c r="AP967">
        <f>2.7</f>
        <v>2.7</v>
      </c>
      <c r="AQ967">
        <f>1.8</f>
        <v>1.8</v>
      </c>
      <c r="AR967" t="s">
        <v>167</v>
      </c>
      <c r="AS967">
        <f>1.1</f>
        <v>1.1000000000000001</v>
      </c>
      <c r="AT967" t="s">
        <v>250</v>
      </c>
      <c r="AX967" t="s">
        <v>503</v>
      </c>
      <c r="AY967" t="s">
        <v>157</v>
      </c>
      <c r="AZ967" t="s">
        <v>208</v>
      </c>
      <c r="BA967">
        <f>0.0028</f>
        <v>2.8E-3</v>
      </c>
      <c r="BB967">
        <f>76</f>
        <v>76</v>
      </c>
      <c r="BC967" t="s">
        <v>209</v>
      </c>
      <c r="BD967" t="s">
        <v>157</v>
      </c>
      <c r="BE967">
        <f>0.0018</f>
        <v>1.8E-3</v>
      </c>
      <c r="BF967" t="s">
        <v>168</v>
      </c>
      <c r="BG967" t="s">
        <v>237</v>
      </c>
      <c r="BH967" t="s">
        <v>157</v>
      </c>
      <c r="BJ967" t="s">
        <v>216</v>
      </c>
      <c r="BK967">
        <f>0.12</f>
        <v>0.12</v>
      </c>
      <c r="EL967">
        <f>2.4</f>
        <v>2.4</v>
      </c>
      <c r="EM967" t="s">
        <v>238</v>
      </c>
      <c r="EN967">
        <f>0.5</f>
        <v>0.5</v>
      </c>
      <c r="EO967" t="s">
        <v>238</v>
      </c>
      <c r="ER967">
        <f>2.9</f>
        <v>2.9</v>
      </c>
    </row>
    <row r="968" spans="1:149" x14ac:dyDescent="0.25">
      <c r="A968" t="s">
        <v>3377</v>
      </c>
      <c r="B968" t="s">
        <v>148</v>
      </c>
      <c r="C968" s="1">
        <v>45803</v>
      </c>
      <c r="D968" t="s">
        <v>222</v>
      </c>
      <c r="E968" t="s">
        <v>223</v>
      </c>
      <c r="F968" t="s">
        <v>224</v>
      </c>
      <c r="G968" t="s">
        <v>229</v>
      </c>
      <c r="H968">
        <v>367</v>
      </c>
      <c r="I968" t="s">
        <v>495</v>
      </c>
      <c r="J968">
        <v>29670</v>
      </c>
      <c r="K968" t="s">
        <v>5257</v>
      </c>
      <c r="L968" t="s">
        <v>4956</v>
      </c>
      <c r="M968" t="s">
        <v>4907</v>
      </c>
      <c r="N968" t="s">
        <v>3378</v>
      </c>
      <c r="Q968" t="s">
        <v>3379</v>
      </c>
      <c r="R968">
        <f>1</f>
        <v>1</v>
      </c>
      <c r="S968">
        <f>17.6</f>
        <v>17.600000000000001</v>
      </c>
      <c r="T968">
        <f>7.9</f>
        <v>7.9</v>
      </c>
      <c r="U968">
        <f>245</f>
        <v>245</v>
      </c>
      <c r="V968" t="s">
        <v>209</v>
      </c>
      <c r="X968">
        <f>1</f>
        <v>1</v>
      </c>
      <c r="Y968">
        <f>0.13</f>
        <v>0.13</v>
      </c>
      <c r="Z968">
        <f>0</f>
        <v>0</v>
      </c>
      <c r="AA968">
        <f>1</f>
        <v>1</v>
      </c>
      <c r="AB968">
        <f>0</f>
        <v>0</v>
      </c>
      <c r="AC968">
        <f>0</f>
        <v>0</v>
      </c>
      <c r="AD968">
        <f>0</f>
        <v>0</v>
      </c>
      <c r="AE968">
        <f>0</f>
        <v>0</v>
      </c>
      <c r="AH968" t="s">
        <v>166</v>
      </c>
      <c r="BB968">
        <f>46</f>
        <v>46</v>
      </c>
    </row>
    <row r="969" spans="1:149" x14ac:dyDescent="0.25">
      <c r="A969" t="s">
        <v>3380</v>
      </c>
      <c r="B969" t="s">
        <v>148</v>
      </c>
      <c r="C969" s="1">
        <v>45747</v>
      </c>
      <c r="D969" t="s">
        <v>222</v>
      </c>
      <c r="E969" t="s">
        <v>223</v>
      </c>
      <c r="F969" t="s">
        <v>224</v>
      </c>
      <c r="G969" t="s">
        <v>229</v>
      </c>
      <c r="H969">
        <v>367</v>
      </c>
      <c r="I969" t="s">
        <v>495</v>
      </c>
      <c r="J969">
        <v>29670</v>
      </c>
      <c r="K969" t="s">
        <v>5257</v>
      </c>
      <c r="L969" t="s">
        <v>4956</v>
      </c>
      <c r="M969" t="s">
        <v>5705</v>
      </c>
      <c r="N969" t="s">
        <v>3381</v>
      </c>
      <c r="Q969" t="s">
        <v>6306</v>
      </c>
      <c r="R969">
        <f>1</f>
        <v>1</v>
      </c>
      <c r="S969">
        <f>10.8</f>
        <v>10.8</v>
      </c>
      <c r="T969">
        <f>7.9</f>
        <v>7.9</v>
      </c>
      <c r="U969">
        <f>224</f>
        <v>224</v>
      </c>
      <c r="X969">
        <f>1</f>
        <v>1</v>
      </c>
      <c r="Y969">
        <f>0.05</f>
        <v>0.05</v>
      </c>
      <c r="Z969">
        <f>0</f>
        <v>0</v>
      </c>
      <c r="AA969">
        <f>0</f>
        <v>0</v>
      </c>
      <c r="AB969">
        <f>1</f>
        <v>1</v>
      </c>
      <c r="AC969">
        <f>0</f>
        <v>0</v>
      </c>
      <c r="AD969">
        <f>0</f>
        <v>0</v>
      </c>
      <c r="AE969">
        <f>0</f>
        <v>0</v>
      </c>
      <c r="AH969" t="s">
        <v>166</v>
      </c>
      <c r="BB969">
        <f>60</f>
        <v>60</v>
      </c>
    </row>
    <row r="970" spans="1:149" x14ac:dyDescent="0.25">
      <c r="A970" t="s">
        <v>3382</v>
      </c>
      <c r="B970" t="s">
        <v>148</v>
      </c>
      <c r="C970" s="1">
        <v>45755</v>
      </c>
      <c r="D970" t="s">
        <v>222</v>
      </c>
      <c r="E970" t="s">
        <v>223</v>
      </c>
      <c r="F970" t="s">
        <v>4938</v>
      </c>
      <c r="G970" t="s">
        <v>5291</v>
      </c>
      <c r="H970">
        <v>1471</v>
      </c>
      <c r="I970" t="s">
        <v>5291</v>
      </c>
      <c r="J970">
        <v>14988</v>
      </c>
      <c r="K970" t="s">
        <v>5257</v>
      </c>
      <c r="L970" t="s">
        <v>191</v>
      </c>
      <c r="M970" t="s">
        <v>5824</v>
      </c>
      <c r="N970" t="s">
        <v>6553</v>
      </c>
      <c r="O970" t="s">
        <v>509</v>
      </c>
      <c r="Q970" t="s">
        <v>5297</v>
      </c>
      <c r="R970">
        <f>1</f>
        <v>1</v>
      </c>
      <c r="S970">
        <f>12.2</f>
        <v>12.2</v>
      </c>
      <c r="T970">
        <f>8.1</f>
        <v>8.1</v>
      </c>
      <c r="U970">
        <f>228</f>
        <v>228</v>
      </c>
      <c r="X970">
        <f>1</f>
        <v>1</v>
      </c>
      <c r="Y970">
        <f>0.09</f>
        <v>0.09</v>
      </c>
      <c r="Z970">
        <f>0</f>
        <v>0</v>
      </c>
      <c r="AA970">
        <f>0</f>
        <v>0</v>
      </c>
      <c r="AB970">
        <f>0</f>
        <v>0</v>
      </c>
      <c r="AC970">
        <f>0</f>
        <v>0</v>
      </c>
      <c r="AD970">
        <f>0</f>
        <v>0</v>
      </c>
      <c r="AE970">
        <f>0</f>
        <v>0</v>
      </c>
      <c r="AH970" t="s">
        <v>166</v>
      </c>
    </row>
    <row r="971" spans="1:149" x14ac:dyDescent="0.25">
      <c r="A971" t="s">
        <v>3383</v>
      </c>
      <c r="B971" t="s">
        <v>148</v>
      </c>
      <c r="C971" s="1">
        <v>45761</v>
      </c>
      <c r="D971" t="s">
        <v>317</v>
      </c>
      <c r="E971" t="s">
        <v>318</v>
      </c>
      <c r="F971" t="s">
        <v>338</v>
      </c>
      <c r="G971" t="s">
        <v>6538</v>
      </c>
      <c r="H971">
        <v>854</v>
      </c>
      <c r="I971" t="s">
        <v>6538</v>
      </c>
      <c r="J971">
        <v>16473</v>
      </c>
      <c r="K971" t="s">
        <v>5254</v>
      </c>
      <c r="L971" t="s">
        <v>4948</v>
      </c>
      <c r="M971" t="s">
        <v>511</v>
      </c>
      <c r="N971" t="s">
        <v>512</v>
      </c>
      <c r="O971" t="s">
        <v>513</v>
      </c>
      <c r="Q971" t="s">
        <v>329</v>
      </c>
      <c r="R971">
        <f>1</f>
        <v>1</v>
      </c>
      <c r="S971">
        <f>10.9</f>
        <v>10.9</v>
      </c>
      <c r="T971">
        <f>8.1</f>
        <v>8.1</v>
      </c>
      <c r="U971">
        <f>187</f>
        <v>187</v>
      </c>
      <c r="X971">
        <f>0</f>
        <v>0</v>
      </c>
      <c r="Y971">
        <f>0.14</f>
        <v>0.14000000000000001</v>
      </c>
      <c r="Z971">
        <f>0</f>
        <v>0</v>
      </c>
      <c r="AA971">
        <f>1</f>
        <v>1</v>
      </c>
      <c r="AB971">
        <f>0</f>
        <v>0</v>
      </c>
      <c r="AD971">
        <f>0</f>
        <v>0</v>
      </c>
      <c r="AE971">
        <f>0</f>
        <v>0</v>
      </c>
      <c r="AH971" t="s">
        <v>157</v>
      </c>
    </row>
    <row r="972" spans="1:149" x14ac:dyDescent="0.25">
      <c r="A972" t="s">
        <v>3384</v>
      </c>
      <c r="B972" t="s">
        <v>148</v>
      </c>
      <c r="C972" s="1">
        <v>45714</v>
      </c>
      <c r="D972" t="s">
        <v>149</v>
      </c>
      <c r="E972" t="s">
        <v>150</v>
      </c>
      <c r="F972" t="s">
        <v>151</v>
      </c>
      <c r="G972" t="s">
        <v>152</v>
      </c>
      <c r="H972">
        <v>10</v>
      </c>
      <c r="I972" t="s">
        <v>153</v>
      </c>
      <c r="J972">
        <v>41336</v>
      </c>
      <c r="K972" t="s">
        <v>5254</v>
      </c>
      <c r="L972" t="s">
        <v>154</v>
      </c>
      <c r="M972" t="s">
        <v>5301</v>
      </c>
      <c r="N972" t="s">
        <v>539</v>
      </c>
      <c r="O972" t="s">
        <v>540</v>
      </c>
      <c r="R972">
        <f>1</f>
        <v>1</v>
      </c>
      <c r="S972">
        <f>6.1</f>
        <v>6.1</v>
      </c>
      <c r="T972">
        <f>7.3</f>
        <v>7.3</v>
      </c>
      <c r="U972">
        <f>552</f>
        <v>552</v>
      </c>
      <c r="V972" t="s">
        <v>157</v>
      </c>
      <c r="X972">
        <f>0</f>
        <v>0</v>
      </c>
      <c r="Y972">
        <f>0.1</f>
        <v>0.1</v>
      </c>
      <c r="Z972">
        <f>0</f>
        <v>0</v>
      </c>
      <c r="AA972" t="s">
        <v>158</v>
      </c>
      <c r="AB972" t="s">
        <v>158</v>
      </c>
      <c r="AD972">
        <f>0</f>
        <v>0</v>
      </c>
      <c r="AE972">
        <f>0</f>
        <v>0</v>
      </c>
      <c r="AH972" t="s">
        <v>157</v>
      </c>
    </row>
    <row r="973" spans="1:149" x14ac:dyDescent="0.25">
      <c r="A973" t="s">
        <v>3385</v>
      </c>
      <c r="B973" t="s">
        <v>148</v>
      </c>
      <c r="C973" s="1">
        <v>45770</v>
      </c>
      <c r="D973" t="s">
        <v>149</v>
      </c>
      <c r="E973" t="s">
        <v>150</v>
      </c>
      <c r="F973" t="s">
        <v>151</v>
      </c>
      <c r="G973" t="s">
        <v>152</v>
      </c>
      <c r="H973">
        <v>10</v>
      </c>
      <c r="I973" t="s">
        <v>153</v>
      </c>
      <c r="J973">
        <v>41336</v>
      </c>
      <c r="K973" t="s">
        <v>5254</v>
      </c>
      <c r="L973" t="s">
        <v>154</v>
      </c>
      <c r="M973" t="s">
        <v>6190</v>
      </c>
      <c r="N973" t="s">
        <v>3386</v>
      </c>
      <c r="O973" t="s">
        <v>3387</v>
      </c>
      <c r="R973">
        <f>1</f>
        <v>1</v>
      </c>
      <c r="S973">
        <f>13.7</f>
        <v>13.7</v>
      </c>
      <c r="T973">
        <f>7.2</f>
        <v>7.2</v>
      </c>
      <c r="U973">
        <f>513</f>
        <v>513</v>
      </c>
      <c r="V973" t="s">
        <v>157</v>
      </c>
      <c r="X973">
        <f>0</f>
        <v>0</v>
      </c>
      <c r="Y973">
        <f>0.1</f>
        <v>0.1</v>
      </c>
      <c r="Z973">
        <f>0</f>
        <v>0</v>
      </c>
      <c r="AA973" t="s">
        <v>158</v>
      </c>
      <c r="AB973" t="s">
        <v>158</v>
      </c>
      <c r="AD973">
        <f>0</f>
        <v>0</v>
      </c>
      <c r="AE973">
        <f>0</f>
        <v>0</v>
      </c>
      <c r="AH973" t="s">
        <v>157</v>
      </c>
      <c r="EP973" t="s">
        <v>157</v>
      </c>
      <c r="EQ973" t="s">
        <v>157</v>
      </c>
      <c r="ES973" t="s">
        <v>166</v>
      </c>
    </row>
    <row r="974" spans="1:149" x14ac:dyDescent="0.25">
      <c r="A974" t="s">
        <v>3388</v>
      </c>
      <c r="B974" t="s">
        <v>148</v>
      </c>
      <c r="C974" s="1">
        <v>45741</v>
      </c>
      <c r="D974" t="s">
        <v>149</v>
      </c>
      <c r="E974" t="s">
        <v>150</v>
      </c>
      <c r="F974" t="s">
        <v>151</v>
      </c>
      <c r="G974" t="s">
        <v>152</v>
      </c>
      <c r="H974">
        <v>10</v>
      </c>
      <c r="I974" t="s">
        <v>153</v>
      </c>
      <c r="J974">
        <v>41336</v>
      </c>
      <c r="K974" t="s">
        <v>5254</v>
      </c>
      <c r="L974" t="s">
        <v>154</v>
      </c>
      <c r="M974" t="s">
        <v>3389</v>
      </c>
      <c r="N974" t="s">
        <v>5706</v>
      </c>
      <c r="O974" t="s">
        <v>3390</v>
      </c>
      <c r="R974">
        <f>1</f>
        <v>1</v>
      </c>
      <c r="S974">
        <f>8.8</f>
        <v>8.8000000000000007</v>
      </c>
      <c r="T974">
        <f>7.2</f>
        <v>7.2</v>
      </c>
      <c r="U974">
        <f>538</f>
        <v>538</v>
      </c>
      <c r="V974" t="s">
        <v>157</v>
      </c>
      <c r="X974">
        <f>0</f>
        <v>0</v>
      </c>
      <c r="Y974">
        <f>0.1</f>
        <v>0.1</v>
      </c>
      <c r="Z974">
        <f>0</f>
        <v>0</v>
      </c>
      <c r="AA974" t="s">
        <v>158</v>
      </c>
      <c r="AB974" t="s">
        <v>158</v>
      </c>
      <c r="AD974">
        <f>0</f>
        <v>0</v>
      </c>
      <c r="AE974">
        <f>0</f>
        <v>0</v>
      </c>
      <c r="AH974" t="s">
        <v>157</v>
      </c>
    </row>
    <row r="975" spans="1:149" x14ac:dyDescent="0.25">
      <c r="A975" t="s">
        <v>3391</v>
      </c>
      <c r="B975" t="s">
        <v>148</v>
      </c>
      <c r="C975" s="1">
        <v>45748</v>
      </c>
      <c r="D975" t="s">
        <v>269</v>
      </c>
      <c r="E975" t="s">
        <v>295</v>
      </c>
      <c r="F975" t="s">
        <v>331</v>
      </c>
      <c r="G975" t="s">
        <v>5784</v>
      </c>
      <c r="H975">
        <v>145</v>
      </c>
      <c r="I975" t="s">
        <v>5784</v>
      </c>
      <c r="J975">
        <v>14477</v>
      </c>
      <c r="K975" t="s">
        <v>5254</v>
      </c>
      <c r="L975" t="s">
        <v>332</v>
      </c>
      <c r="M975" t="s">
        <v>5302</v>
      </c>
      <c r="N975" t="s">
        <v>5303</v>
      </c>
      <c r="O975" t="s">
        <v>545</v>
      </c>
      <c r="R975">
        <f>1</f>
        <v>1</v>
      </c>
      <c r="S975">
        <f>12.5</f>
        <v>12.5</v>
      </c>
      <c r="T975">
        <f>7.8</f>
        <v>7.8</v>
      </c>
      <c r="U975">
        <f>425</f>
        <v>425</v>
      </c>
      <c r="X975">
        <f>0</f>
        <v>0</v>
      </c>
      <c r="Y975">
        <f>0.22</f>
        <v>0.22</v>
      </c>
      <c r="Z975">
        <f>0</f>
        <v>0</v>
      </c>
      <c r="AA975" t="s">
        <v>158</v>
      </c>
      <c r="AB975" t="s">
        <v>158</v>
      </c>
      <c r="AD975">
        <f>0</f>
        <v>0</v>
      </c>
      <c r="AE975">
        <f>0</f>
        <v>0</v>
      </c>
    </row>
    <row r="976" spans="1:149" x14ac:dyDescent="0.25">
      <c r="A976" t="s">
        <v>3392</v>
      </c>
      <c r="B976" t="s">
        <v>148</v>
      </c>
      <c r="C976" s="1">
        <v>45741</v>
      </c>
      <c r="D976" t="s">
        <v>149</v>
      </c>
      <c r="E976" t="s">
        <v>150</v>
      </c>
      <c r="F976" t="s">
        <v>151</v>
      </c>
      <c r="G976" t="s">
        <v>152</v>
      </c>
      <c r="H976">
        <v>10</v>
      </c>
      <c r="I976" t="s">
        <v>153</v>
      </c>
      <c r="J976">
        <v>41336</v>
      </c>
      <c r="K976" t="s">
        <v>5254</v>
      </c>
      <c r="L976" t="s">
        <v>154</v>
      </c>
      <c r="M976" t="s">
        <v>3393</v>
      </c>
      <c r="N976" t="s">
        <v>5707</v>
      </c>
      <c r="O976" t="s">
        <v>3394</v>
      </c>
      <c r="R976">
        <f>1</f>
        <v>1</v>
      </c>
      <c r="S976">
        <f>8.3</f>
        <v>8.3000000000000007</v>
      </c>
      <c r="T976">
        <f>7.3</f>
        <v>7.3</v>
      </c>
      <c r="U976">
        <f>543</f>
        <v>543</v>
      </c>
      <c r="X976">
        <f>0</f>
        <v>0</v>
      </c>
      <c r="Y976">
        <f>0.1</f>
        <v>0.1</v>
      </c>
      <c r="Z976">
        <f>0</f>
        <v>0</v>
      </c>
      <c r="AA976" t="s">
        <v>158</v>
      </c>
      <c r="AB976" t="s">
        <v>158</v>
      </c>
      <c r="AD976">
        <f>0</f>
        <v>0</v>
      </c>
      <c r="AE976">
        <f>0</f>
        <v>0</v>
      </c>
      <c r="AH976" t="s">
        <v>157</v>
      </c>
    </row>
    <row r="977" spans="1:149" x14ac:dyDescent="0.25">
      <c r="A977" t="s">
        <v>3395</v>
      </c>
      <c r="B977" t="s">
        <v>148</v>
      </c>
      <c r="C977" s="1">
        <v>45758</v>
      </c>
      <c r="D977" t="s">
        <v>311</v>
      </c>
      <c r="E977" t="s">
        <v>312</v>
      </c>
      <c r="F977" t="s">
        <v>349</v>
      </c>
      <c r="G977" t="s">
        <v>5788</v>
      </c>
      <c r="H977">
        <v>895</v>
      </c>
      <c r="I977" t="s">
        <v>6539</v>
      </c>
      <c r="J977">
        <v>17000</v>
      </c>
      <c r="K977" t="s">
        <v>5257</v>
      </c>
      <c r="L977" t="s">
        <v>350</v>
      </c>
      <c r="M977" t="s">
        <v>5306</v>
      </c>
      <c r="N977" t="s">
        <v>550</v>
      </c>
      <c r="O977" t="s">
        <v>551</v>
      </c>
      <c r="R977">
        <f>1</f>
        <v>1</v>
      </c>
      <c r="S977">
        <f>11</f>
        <v>11</v>
      </c>
      <c r="T977">
        <f>7.9</f>
        <v>7.9</v>
      </c>
      <c r="U977">
        <f>280</f>
        <v>280</v>
      </c>
      <c r="X977">
        <f>0</f>
        <v>0</v>
      </c>
      <c r="Y977" t="s">
        <v>157</v>
      </c>
      <c r="Z977">
        <f>0</f>
        <v>0</v>
      </c>
      <c r="AA977" t="s">
        <v>158</v>
      </c>
      <c r="AB977" t="s">
        <v>158</v>
      </c>
      <c r="AC977">
        <f>0</f>
        <v>0</v>
      </c>
      <c r="AD977">
        <f>0</f>
        <v>0</v>
      </c>
      <c r="AE977">
        <f>0</f>
        <v>0</v>
      </c>
      <c r="AH977" t="s">
        <v>157</v>
      </c>
    </row>
    <row r="978" spans="1:149" x14ac:dyDescent="0.25">
      <c r="A978" t="s">
        <v>3396</v>
      </c>
      <c r="B978" t="s">
        <v>148</v>
      </c>
      <c r="C978" s="1">
        <v>45750</v>
      </c>
      <c r="D978" t="s">
        <v>269</v>
      </c>
      <c r="E978" t="s">
        <v>270</v>
      </c>
      <c r="F978" t="s">
        <v>271</v>
      </c>
      <c r="G978" t="s">
        <v>272</v>
      </c>
      <c r="H978">
        <v>132</v>
      </c>
      <c r="I978" t="s">
        <v>272</v>
      </c>
      <c r="J978">
        <v>22721</v>
      </c>
      <c r="K978" t="s">
        <v>5257</v>
      </c>
      <c r="L978" t="s">
        <v>154</v>
      </c>
      <c r="M978" t="s">
        <v>553</v>
      </c>
      <c r="N978" t="s">
        <v>5827</v>
      </c>
      <c r="O978" t="s">
        <v>554</v>
      </c>
      <c r="R978">
        <f>1</f>
        <v>1</v>
      </c>
      <c r="S978">
        <f>13.2</f>
        <v>13.2</v>
      </c>
      <c r="T978">
        <f>7.6</f>
        <v>7.6</v>
      </c>
      <c r="U978">
        <f>384</f>
        <v>384</v>
      </c>
      <c r="X978">
        <f>0</f>
        <v>0</v>
      </c>
      <c r="Y978">
        <f>0.22</f>
        <v>0.22</v>
      </c>
      <c r="Z978">
        <f>0</f>
        <v>0</v>
      </c>
      <c r="AA978" t="s">
        <v>158</v>
      </c>
      <c r="AB978" t="s">
        <v>158</v>
      </c>
      <c r="AC978">
        <f>0</f>
        <v>0</v>
      </c>
      <c r="AD978">
        <f>0</f>
        <v>0</v>
      </c>
      <c r="AE978">
        <f>0</f>
        <v>0</v>
      </c>
    </row>
    <row r="979" spans="1:149" x14ac:dyDescent="0.25">
      <c r="A979" t="s">
        <v>3397</v>
      </c>
      <c r="B979" t="s">
        <v>148</v>
      </c>
      <c r="C979" s="1">
        <v>45755</v>
      </c>
      <c r="D979" t="s">
        <v>317</v>
      </c>
      <c r="E979" t="s">
        <v>318</v>
      </c>
      <c r="F979" t="s">
        <v>360</v>
      </c>
      <c r="G979" t="s">
        <v>361</v>
      </c>
      <c r="H979">
        <v>104</v>
      </c>
      <c r="I979" t="s">
        <v>361</v>
      </c>
      <c r="J979">
        <v>61876</v>
      </c>
      <c r="K979" t="s">
        <v>5257</v>
      </c>
      <c r="L979" t="s">
        <v>4949</v>
      </c>
      <c r="M979" t="s">
        <v>5708</v>
      </c>
      <c r="N979" t="s">
        <v>5068</v>
      </c>
      <c r="O979" t="s">
        <v>3398</v>
      </c>
      <c r="Q979" t="s">
        <v>6340</v>
      </c>
      <c r="R979">
        <f>1</f>
        <v>1</v>
      </c>
      <c r="S979">
        <f>10.4</f>
        <v>10.4</v>
      </c>
      <c r="T979">
        <f>7.9</f>
        <v>7.9</v>
      </c>
      <c r="U979">
        <f>223</f>
        <v>223</v>
      </c>
      <c r="X979">
        <f>0</f>
        <v>0</v>
      </c>
      <c r="Y979" t="s">
        <v>157</v>
      </c>
      <c r="Z979">
        <f>0</f>
        <v>0</v>
      </c>
      <c r="AA979">
        <f>12</f>
        <v>12</v>
      </c>
      <c r="AB979">
        <f>0</f>
        <v>0</v>
      </c>
      <c r="AC979">
        <f>0</f>
        <v>0</v>
      </c>
      <c r="AD979">
        <f>0</f>
        <v>0</v>
      </c>
      <c r="AE979">
        <f>0</f>
        <v>0</v>
      </c>
      <c r="AH979" t="s">
        <v>157</v>
      </c>
    </row>
    <row r="980" spans="1:149" x14ac:dyDescent="0.25">
      <c r="A980" t="s">
        <v>3399</v>
      </c>
      <c r="B980" t="s">
        <v>148</v>
      </c>
      <c r="C980" s="1">
        <v>45790</v>
      </c>
      <c r="D980" t="s">
        <v>175</v>
      </c>
      <c r="E980" t="s">
        <v>176</v>
      </c>
      <c r="F980" t="s">
        <v>556</v>
      </c>
      <c r="G980" t="s">
        <v>557</v>
      </c>
      <c r="H980">
        <v>1709</v>
      </c>
      <c r="I980" t="s">
        <v>6555</v>
      </c>
      <c r="J980">
        <v>38347</v>
      </c>
      <c r="K980" t="s">
        <v>5254</v>
      </c>
      <c r="L980" t="s">
        <v>180</v>
      </c>
      <c r="M980" t="s">
        <v>5709</v>
      </c>
      <c r="N980" t="s">
        <v>5710</v>
      </c>
      <c r="O980" t="s">
        <v>3400</v>
      </c>
      <c r="Q980" t="s">
        <v>6311</v>
      </c>
      <c r="R980">
        <f>1</f>
        <v>1</v>
      </c>
      <c r="S980">
        <f>15.4</f>
        <v>15.4</v>
      </c>
      <c r="T980">
        <f>7.4</f>
        <v>7.4</v>
      </c>
      <c r="U980">
        <f>446</f>
        <v>446</v>
      </c>
      <c r="X980">
        <f>0</f>
        <v>0</v>
      </c>
      <c r="Y980" t="s">
        <v>157</v>
      </c>
      <c r="Z980">
        <f>0</f>
        <v>0</v>
      </c>
      <c r="AA980" t="s">
        <v>158</v>
      </c>
      <c r="AB980" t="s">
        <v>158</v>
      </c>
      <c r="AD980">
        <f>0</f>
        <v>0</v>
      </c>
      <c r="AE980">
        <f>0</f>
        <v>0</v>
      </c>
      <c r="AH980" t="s">
        <v>157</v>
      </c>
      <c r="AI980" t="s">
        <v>238</v>
      </c>
      <c r="AL980" t="s">
        <v>164</v>
      </c>
      <c r="AM980" t="s">
        <v>165</v>
      </c>
      <c r="AN980">
        <f>12</f>
        <v>12</v>
      </c>
      <c r="AO980">
        <f>0.24</f>
        <v>0.24</v>
      </c>
      <c r="AP980">
        <f>10</f>
        <v>10</v>
      </c>
      <c r="AQ980">
        <f>10</f>
        <v>10</v>
      </c>
      <c r="AR980" t="s">
        <v>157</v>
      </c>
      <c r="AS980">
        <f>6.7</f>
        <v>6.7</v>
      </c>
      <c r="AY980" t="s">
        <v>167</v>
      </c>
      <c r="AZ980" t="s">
        <v>158</v>
      </c>
      <c r="BA980">
        <f>0.017</f>
        <v>1.7000000000000001E-2</v>
      </c>
      <c r="BB980" t="s">
        <v>158</v>
      </c>
      <c r="BC980" t="s">
        <v>166</v>
      </c>
      <c r="BD980" t="s">
        <v>167</v>
      </c>
      <c r="BE980">
        <f>0.0026</f>
        <v>2.5999999999999999E-3</v>
      </c>
      <c r="BF980" t="s">
        <v>168</v>
      </c>
      <c r="BG980">
        <f>3.7</f>
        <v>3.7</v>
      </c>
      <c r="BH980" t="s">
        <v>167</v>
      </c>
      <c r="BK980">
        <f>0.45</f>
        <v>0.45</v>
      </c>
      <c r="EP980">
        <f>0.22</f>
        <v>0.22</v>
      </c>
      <c r="EQ980" t="s">
        <v>157</v>
      </c>
      <c r="ES980">
        <f>0.22</f>
        <v>0.22</v>
      </c>
    </row>
    <row r="981" spans="1:149" x14ac:dyDescent="0.25">
      <c r="A981" t="s">
        <v>3401</v>
      </c>
      <c r="B981" t="s">
        <v>148</v>
      </c>
      <c r="C981" s="1">
        <v>45747</v>
      </c>
      <c r="D981" t="s">
        <v>175</v>
      </c>
      <c r="E981" t="s">
        <v>176</v>
      </c>
      <c r="F981" t="s">
        <v>556</v>
      </c>
      <c r="G981" t="s">
        <v>557</v>
      </c>
      <c r="H981">
        <v>1702</v>
      </c>
      <c r="I981" t="s">
        <v>5831</v>
      </c>
      <c r="J981">
        <v>37633</v>
      </c>
      <c r="K981" t="s">
        <v>5254</v>
      </c>
      <c r="L981" t="s">
        <v>180</v>
      </c>
      <c r="M981" t="s">
        <v>5308</v>
      </c>
      <c r="N981" t="s">
        <v>5832</v>
      </c>
      <c r="O981" t="s">
        <v>594</v>
      </c>
      <c r="Q981" t="s">
        <v>6437</v>
      </c>
      <c r="R981">
        <f>1</f>
        <v>1</v>
      </c>
      <c r="S981">
        <f>15</f>
        <v>15</v>
      </c>
      <c r="T981">
        <f>7.3</f>
        <v>7.3</v>
      </c>
      <c r="U981">
        <f>496</f>
        <v>496</v>
      </c>
      <c r="X981">
        <f>0</f>
        <v>0</v>
      </c>
      <c r="Y981" t="s">
        <v>157</v>
      </c>
      <c r="Z981">
        <f>0</f>
        <v>0</v>
      </c>
      <c r="AA981" t="s">
        <v>158</v>
      </c>
      <c r="AB981" t="s">
        <v>158</v>
      </c>
      <c r="AD981">
        <f>0</f>
        <v>0</v>
      </c>
      <c r="AE981">
        <f>0</f>
        <v>0</v>
      </c>
    </row>
    <row r="982" spans="1:149" x14ac:dyDescent="0.25">
      <c r="A982" t="s">
        <v>3402</v>
      </c>
      <c r="B982" t="s">
        <v>148</v>
      </c>
      <c r="C982" s="1">
        <v>45747</v>
      </c>
      <c r="D982" t="s">
        <v>175</v>
      </c>
      <c r="E982" t="s">
        <v>176</v>
      </c>
      <c r="F982" t="s">
        <v>556</v>
      </c>
      <c r="G982" t="s">
        <v>557</v>
      </c>
      <c r="H982">
        <v>1702</v>
      </c>
      <c r="I982" t="s">
        <v>5831</v>
      </c>
      <c r="J982">
        <v>37633</v>
      </c>
      <c r="K982" t="s">
        <v>5254</v>
      </c>
      <c r="L982" t="s">
        <v>180</v>
      </c>
      <c r="M982" t="s">
        <v>5833</v>
      </c>
      <c r="N982" t="s">
        <v>4713</v>
      </c>
      <c r="O982" t="s">
        <v>596</v>
      </c>
      <c r="Q982" t="s">
        <v>6315</v>
      </c>
      <c r="R982">
        <f>1</f>
        <v>1</v>
      </c>
      <c r="S982">
        <f>11.4</f>
        <v>11.4</v>
      </c>
      <c r="T982">
        <f>7.4</f>
        <v>7.4</v>
      </c>
      <c r="U982">
        <f>493</f>
        <v>493</v>
      </c>
      <c r="X982">
        <f>0</f>
        <v>0</v>
      </c>
      <c r="Y982" t="s">
        <v>157</v>
      </c>
      <c r="Z982">
        <f>0</f>
        <v>0</v>
      </c>
      <c r="AA982" t="s">
        <v>158</v>
      </c>
      <c r="AB982" t="s">
        <v>158</v>
      </c>
      <c r="AD982">
        <f>0</f>
        <v>0</v>
      </c>
      <c r="AE982">
        <f>0</f>
        <v>0</v>
      </c>
    </row>
    <row r="983" spans="1:149" x14ac:dyDescent="0.25">
      <c r="A983" t="s">
        <v>3403</v>
      </c>
      <c r="B983" t="s">
        <v>148</v>
      </c>
      <c r="C983" s="1">
        <v>45747</v>
      </c>
      <c r="D983" t="s">
        <v>175</v>
      </c>
      <c r="E983" t="s">
        <v>176</v>
      </c>
      <c r="F983" t="s">
        <v>556</v>
      </c>
      <c r="G983" t="s">
        <v>557</v>
      </c>
      <c r="H983">
        <v>1702</v>
      </c>
      <c r="I983" t="s">
        <v>5831</v>
      </c>
      <c r="J983">
        <v>37633</v>
      </c>
      <c r="K983" t="s">
        <v>5254</v>
      </c>
      <c r="L983" t="s">
        <v>180</v>
      </c>
      <c r="M983" t="s">
        <v>5834</v>
      </c>
      <c r="N983" t="s">
        <v>598</v>
      </c>
      <c r="O983" t="s">
        <v>599</v>
      </c>
      <c r="Q983" t="s">
        <v>6311</v>
      </c>
      <c r="R983">
        <f>1</f>
        <v>1</v>
      </c>
      <c r="S983">
        <f>11.6</f>
        <v>11.6</v>
      </c>
      <c r="T983">
        <f>7.4</f>
        <v>7.4</v>
      </c>
      <c r="U983">
        <f>494</f>
        <v>494</v>
      </c>
      <c r="X983">
        <f>0</f>
        <v>0</v>
      </c>
      <c r="Y983" t="s">
        <v>157</v>
      </c>
      <c r="Z983">
        <f>0</f>
        <v>0</v>
      </c>
      <c r="AA983" t="s">
        <v>158</v>
      </c>
      <c r="AB983" t="s">
        <v>158</v>
      </c>
      <c r="AD983">
        <f>0</f>
        <v>0</v>
      </c>
      <c r="AE983">
        <f>0</f>
        <v>0</v>
      </c>
    </row>
    <row r="984" spans="1:149" x14ac:dyDescent="0.25">
      <c r="A984" t="s">
        <v>3404</v>
      </c>
      <c r="B984" t="s">
        <v>148</v>
      </c>
      <c r="C984" s="1">
        <v>45747</v>
      </c>
      <c r="D984" t="s">
        <v>175</v>
      </c>
      <c r="E984" t="s">
        <v>176</v>
      </c>
      <c r="F984" t="s">
        <v>556</v>
      </c>
      <c r="G984" t="s">
        <v>557</v>
      </c>
      <c r="H984">
        <v>1702</v>
      </c>
      <c r="I984" t="s">
        <v>5831</v>
      </c>
      <c r="J984">
        <v>37633</v>
      </c>
      <c r="K984" t="s">
        <v>5254</v>
      </c>
      <c r="L984" t="s">
        <v>180</v>
      </c>
      <c r="M984" t="s">
        <v>3405</v>
      </c>
      <c r="N984" t="s">
        <v>3406</v>
      </c>
      <c r="O984" t="s">
        <v>3407</v>
      </c>
      <c r="Q984" t="s">
        <v>6438</v>
      </c>
      <c r="R984">
        <f>1</f>
        <v>1</v>
      </c>
      <c r="S984">
        <f>10.9</f>
        <v>10.9</v>
      </c>
      <c r="T984">
        <f>7.5</f>
        <v>7.5</v>
      </c>
      <c r="U984">
        <f>491</f>
        <v>491</v>
      </c>
      <c r="X984">
        <f>0</f>
        <v>0</v>
      </c>
      <c r="Y984" t="s">
        <v>157</v>
      </c>
      <c r="Z984">
        <f>0</f>
        <v>0</v>
      </c>
      <c r="AA984" t="s">
        <v>158</v>
      </c>
      <c r="AB984" t="s">
        <v>158</v>
      </c>
      <c r="AD984">
        <f>0</f>
        <v>0</v>
      </c>
      <c r="AE984">
        <f>0</f>
        <v>0</v>
      </c>
    </row>
    <row r="985" spans="1:149" x14ac:dyDescent="0.25">
      <c r="A985" t="s">
        <v>3408</v>
      </c>
      <c r="B985" t="s">
        <v>148</v>
      </c>
      <c r="C985" s="1">
        <v>45758</v>
      </c>
      <c r="D985" t="s">
        <v>175</v>
      </c>
      <c r="E985" t="s">
        <v>176</v>
      </c>
      <c r="F985" t="s">
        <v>556</v>
      </c>
      <c r="G985" t="s">
        <v>557</v>
      </c>
      <c r="H985">
        <v>1705</v>
      </c>
      <c r="I985" t="s">
        <v>601</v>
      </c>
      <c r="J985">
        <v>28423</v>
      </c>
      <c r="K985" t="s">
        <v>5254</v>
      </c>
      <c r="L985" t="s">
        <v>4940</v>
      </c>
      <c r="M985" t="s">
        <v>6191</v>
      </c>
      <c r="N985" t="s">
        <v>6192</v>
      </c>
      <c r="O985" t="s">
        <v>3409</v>
      </c>
      <c r="Q985" t="s">
        <v>6439</v>
      </c>
      <c r="R985">
        <f>1</f>
        <v>1</v>
      </c>
      <c r="S985">
        <f>12.6</f>
        <v>12.6</v>
      </c>
      <c r="T985">
        <f>7.4</f>
        <v>7.4</v>
      </c>
      <c r="U985">
        <f>437</f>
        <v>437</v>
      </c>
      <c r="V985" t="s">
        <v>207</v>
      </c>
      <c r="X985">
        <f>0</f>
        <v>0</v>
      </c>
      <c r="Y985" t="s">
        <v>157</v>
      </c>
      <c r="Z985">
        <f>0</f>
        <v>0</v>
      </c>
      <c r="AA985" t="s">
        <v>158</v>
      </c>
      <c r="AB985" t="s">
        <v>158</v>
      </c>
      <c r="AD985">
        <f>0</f>
        <v>0</v>
      </c>
      <c r="AE985">
        <f>0</f>
        <v>0</v>
      </c>
    </row>
    <row r="986" spans="1:149" x14ac:dyDescent="0.25">
      <c r="A986" t="s">
        <v>3410</v>
      </c>
      <c r="B986" t="s">
        <v>148</v>
      </c>
      <c r="C986" s="1">
        <v>45747</v>
      </c>
      <c r="D986" t="s">
        <v>175</v>
      </c>
      <c r="E986" t="s">
        <v>176</v>
      </c>
      <c r="F986" t="s">
        <v>556</v>
      </c>
      <c r="G986" t="s">
        <v>557</v>
      </c>
      <c r="H986">
        <v>1705</v>
      </c>
      <c r="I986" t="s">
        <v>601</v>
      </c>
      <c r="J986">
        <v>28423</v>
      </c>
      <c r="K986" t="s">
        <v>5254</v>
      </c>
      <c r="L986" t="s">
        <v>4940</v>
      </c>
      <c r="M986" t="s">
        <v>5309</v>
      </c>
      <c r="N986" t="s">
        <v>4714</v>
      </c>
      <c r="O986" t="s">
        <v>602</v>
      </c>
      <c r="Q986" t="s">
        <v>6312</v>
      </c>
      <c r="R986">
        <f>1</f>
        <v>1</v>
      </c>
      <c r="S986">
        <f>12.5</f>
        <v>12.5</v>
      </c>
      <c r="T986">
        <f>7.4</f>
        <v>7.4</v>
      </c>
      <c r="U986">
        <f>444</f>
        <v>444</v>
      </c>
      <c r="V986" t="s">
        <v>207</v>
      </c>
      <c r="X986">
        <f>0</f>
        <v>0</v>
      </c>
      <c r="Y986" t="s">
        <v>157</v>
      </c>
      <c r="Z986">
        <f>0</f>
        <v>0</v>
      </c>
      <c r="AA986" t="s">
        <v>158</v>
      </c>
      <c r="AB986" t="s">
        <v>158</v>
      </c>
      <c r="AD986">
        <f>0</f>
        <v>0</v>
      </c>
      <c r="AE986">
        <f>0</f>
        <v>0</v>
      </c>
    </row>
    <row r="987" spans="1:149" x14ac:dyDescent="0.25">
      <c r="A987" t="s">
        <v>3411</v>
      </c>
      <c r="B987" t="s">
        <v>148</v>
      </c>
      <c r="C987" s="1">
        <v>45747</v>
      </c>
      <c r="D987" t="s">
        <v>175</v>
      </c>
      <c r="E987" t="s">
        <v>176</v>
      </c>
      <c r="F987" t="s">
        <v>556</v>
      </c>
      <c r="G987" t="s">
        <v>557</v>
      </c>
      <c r="H987">
        <v>1705</v>
      </c>
      <c r="I987" t="s">
        <v>601</v>
      </c>
      <c r="J987">
        <v>28423</v>
      </c>
      <c r="K987" t="s">
        <v>5254</v>
      </c>
      <c r="L987" t="s">
        <v>4940</v>
      </c>
      <c r="M987" t="s">
        <v>5310</v>
      </c>
      <c r="N987" t="s">
        <v>604</v>
      </c>
      <c r="O987" t="s">
        <v>605</v>
      </c>
      <c r="Q987" t="s">
        <v>6311</v>
      </c>
      <c r="R987">
        <f>1</f>
        <v>1</v>
      </c>
      <c r="S987">
        <f>12.8</f>
        <v>12.8</v>
      </c>
      <c r="T987">
        <f>7.3</f>
        <v>7.3</v>
      </c>
      <c r="U987">
        <f>441</f>
        <v>441</v>
      </c>
      <c r="X987">
        <f>0</f>
        <v>0</v>
      </c>
      <c r="Y987" t="s">
        <v>157</v>
      </c>
      <c r="Z987">
        <f>0</f>
        <v>0</v>
      </c>
      <c r="AA987" t="s">
        <v>158</v>
      </c>
      <c r="AB987" t="s">
        <v>158</v>
      </c>
      <c r="AD987">
        <f>0</f>
        <v>0</v>
      </c>
      <c r="AE987">
        <f>0</f>
        <v>0</v>
      </c>
    </row>
    <row r="988" spans="1:149" x14ac:dyDescent="0.25">
      <c r="A988" t="s">
        <v>3412</v>
      </c>
      <c r="B988" t="s">
        <v>148</v>
      </c>
      <c r="C988" s="1">
        <v>45798</v>
      </c>
      <c r="D988" t="s">
        <v>175</v>
      </c>
      <c r="E988" t="s">
        <v>176</v>
      </c>
      <c r="F988" t="s">
        <v>556</v>
      </c>
      <c r="G988" t="s">
        <v>557</v>
      </c>
      <c r="H988">
        <v>1705</v>
      </c>
      <c r="I988" t="s">
        <v>601</v>
      </c>
      <c r="J988">
        <v>28423</v>
      </c>
      <c r="K988" t="s">
        <v>5254</v>
      </c>
      <c r="L988" t="s">
        <v>4940</v>
      </c>
      <c r="M988" t="s">
        <v>3413</v>
      </c>
      <c r="N988" t="s">
        <v>3414</v>
      </c>
      <c r="O988" t="s">
        <v>3415</v>
      </c>
      <c r="Q988" t="s">
        <v>6312</v>
      </c>
      <c r="R988">
        <f>1</f>
        <v>1</v>
      </c>
      <c r="S988">
        <f>13.4</f>
        <v>13.4</v>
      </c>
      <c r="T988">
        <f>7.5</f>
        <v>7.5</v>
      </c>
      <c r="U988">
        <f>415</f>
        <v>415</v>
      </c>
      <c r="V988">
        <f>0.06</f>
        <v>0.06</v>
      </c>
      <c r="X988">
        <f>0</f>
        <v>0</v>
      </c>
      <c r="Y988" t="s">
        <v>157</v>
      </c>
      <c r="Z988">
        <f>0</f>
        <v>0</v>
      </c>
      <c r="AA988" t="s">
        <v>158</v>
      </c>
      <c r="AB988" t="s">
        <v>158</v>
      </c>
      <c r="AD988">
        <f>0</f>
        <v>0</v>
      </c>
      <c r="AE988">
        <f>0</f>
        <v>0</v>
      </c>
      <c r="AG988" t="s">
        <v>249</v>
      </c>
      <c r="AH988" t="s">
        <v>157</v>
      </c>
      <c r="AI988" t="s">
        <v>238</v>
      </c>
      <c r="AL988" t="s">
        <v>164</v>
      </c>
      <c r="AM988" t="s">
        <v>165</v>
      </c>
      <c r="AN988">
        <f>8.4</f>
        <v>8.4</v>
      </c>
      <c r="AO988">
        <f>0.17</f>
        <v>0.17</v>
      </c>
      <c r="AP988">
        <f>3.7</f>
        <v>3.7</v>
      </c>
      <c r="AQ988">
        <f>2.2</f>
        <v>2.2000000000000002</v>
      </c>
      <c r="AR988" t="s">
        <v>157</v>
      </c>
      <c r="AS988">
        <f>0.89</f>
        <v>0.89</v>
      </c>
      <c r="AT988" t="s">
        <v>250</v>
      </c>
      <c r="AY988" t="s">
        <v>167</v>
      </c>
      <c r="AZ988" t="s">
        <v>158</v>
      </c>
      <c r="BA988" t="s">
        <v>216</v>
      </c>
      <c r="BB988" t="s">
        <v>158</v>
      </c>
      <c r="BC988" t="s">
        <v>166</v>
      </c>
      <c r="BD988" t="s">
        <v>167</v>
      </c>
      <c r="BE988">
        <f>0.0039</f>
        <v>3.8999999999999998E-3</v>
      </c>
      <c r="BF988" t="s">
        <v>168</v>
      </c>
      <c r="BG988" t="s">
        <v>167</v>
      </c>
      <c r="BH988" t="s">
        <v>167</v>
      </c>
      <c r="BK988">
        <f>0.5</f>
        <v>0.5</v>
      </c>
      <c r="EL988">
        <f>0.44</f>
        <v>0.44</v>
      </c>
      <c r="EM988">
        <f>0.23</f>
        <v>0.23</v>
      </c>
      <c r="EN988">
        <f>0.54</f>
        <v>0.54</v>
      </c>
      <c r="EO988">
        <f>0.49</f>
        <v>0.49</v>
      </c>
      <c r="EP988">
        <f>0.11</f>
        <v>0.11</v>
      </c>
      <c r="EQ988">
        <f>0.4</f>
        <v>0.4</v>
      </c>
      <c r="ER988">
        <f>1.7</f>
        <v>1.7</v>
      </c>
      <c r="ES988">
        <f>0.51</f>
        <v>0.51</v>
      </c>
    </row>
    <row r="989" spans="1:149" x14ac:dyDescent="0.25">
      <c r="A989" t="s">
        <v>3416</v>
      </c>
      <c r="B989" t="s">
        <v>148</v>
      </c>
      <c r="C989" s="1">
        <v>45747</v>
      </c>
      <c r="D989" t="s">
        <v>175</v>
      </c>
      <c r="E989" t="s">
        <v>176</v>
      </c>
      <c r="F989" t="s">
        <v>556</v>
      </c>
      <c r="G989" t="s">
        <v>557</v>
      </c>
      <c r="H989">
        <v>1709</v>
      </c>
      <c r="I989" t="s">
        <v>6555</v>
      </c>
      <c r="J989">
        <v>38347</v>
      </c>
      <c r="K989" t="s">
        <v>5254</v>
      </c>
      <c r="L989" t="s">
        <v>180</v>
      </c>
      <c r="M989" t="s">
        <v>5835</v>
      </c>
      <c r="N989" t="s">
        <v>5311</v>
      </c>
      <c r="O989" t="s">
        <v>607</v>
      </c>
      <c r="Q989" t="s">
        <v>6311</v>
      </c>
      <c r="R989">
        <f>1</f>
        <v>1</v>
      </c>
      <c r="S989">
        <f>11.2</f>
        <v>11.2</v>
      </c>
      <c r="T989">
        <f>7.4</f>
        <v>7.4</v>
      </c>
      <c r="U989">
        <f>528</f>
        <v>528</v>
      </c>
      <c r="X989">
        <f>0</f>
        <v>0</v>
      </c>
      <c r="Y989" t="s">
        <v>157</v>
      </c>
      <c r="Z989">
        <f>0</f>
        <v>0</v>
      </c>
      <c r="AA989" t="s">
        <v>158</v>
      </c>
      <c r="AB989" t="s">
        <v>158</v>
      </c>
      <c r="AD989">
        <f>0</f>
        <v>0</v>
      </c>
      <c r="AE989">
        <f>0</f>
        <v>0</v>
      </c>
    </row>
    <row r="990" spans="1:149" x14ac:dyDescent="0.25">
      <c r="A990" t="s">
        <v>3417</v>
      </c>
      <c r="B990" t="s">
        <v>148</v>
      </c>
      <c r="C990" s="1">
        <v>45747</v>
      </c>
      <c r="D990" t="s">
        <v>175</v>
      </c>
      <c r="E990" t="s">
        <v>176</v>
      </c>
      <c r="F990" t="s">
        <v>556</v>
      </c>
      <c r="G990" t="s">
        <v>557</v>
      </c>
      <c r="H990">
        <v>1709</v>
      </c>
      <c r="I990" t="s">
        <v>6555</v>
      </c>
      <c r="J990">
        <v>38347</v>
      </c>
      <c r="K990" t="s">
        <v>5254</v>
      </c>
      <c r="L990" t="s">
        <v>180</v>
      </c>
      <c r="M990" t="s">
        <v>5313</v>
      </c>
      <c r="N990" t="s">
        <v>5314</v>
      </c>
      <c r="O990" t="s">
        <v>611</v>
      </c>
      <c r="Q990" t="s">
        <v>6311</v>
      </c>
      <c r="R990">
        <f>1</f>
        <v>1</v>
      </c>
      <c r="S990">
        <f>11.5</f>
        <v>11.5</v>
      </c>
      <c r="T990">
        <f>7.4</f>
        <v>7.4</v>
      </c>
      <c r="U990">
        <f>530</f>
        <v>530</v>
      </c>
      <c r="X990">
        <f>0</f>
        <v>0</v>
      </c>
      <c r="Y990" t="s">
        <v>157</v>
      </c>
      <c r="Z990">
        <f>0</f>
        <v>0</v>
      </c>
      <c r="AA990" t="s">
        <v>158</v>
      </c>
      <c r="AB990" t="s">
        <v>158</v>
      </c>
      <c r="AD990">
        <f>0</f>
        <v>0</v>
      </c>
      <c r="AE990">
        <f>0</f>
        <v>0</v>
      </c>
    </row>
    <row r="991" spans="1:149" x14ac:dyDescent="0.25">
      <c r="A991" t="s">
        <v>3418</v>
      </c>
      <c r="B991" t="s">
        <v>148</v>
      </c>
      <c r="C991" s="1">
        <v>45804</v>
      </c>
      <c r="D991" t="s">
        <v>149</v>
      </c>
      <c r="E991" t="s">
        <v>150</v>
      </c>
      <c r="F991" t="s">
        <v>613</v>
      </c>
      <c r="G991" t="s">
        <v>614</v>
      </c>
      <c r="H991">
        <v>1824</v>
      </c>
      <c r="I991" t="s">
        <v>5103</v>
      </c>
      <c r="J991">
        <v>5600</v>
      </c>
      <c r="K991" t="s">
        <v>5254</v>
      </c>
      <c r="M991" t="s">
        <v>6193</v>
      </c>
      <c r="N991" t="s">
        <v>3419</v>
      </c>
      <c r="R991">
        <f>1</f>
        <v>1</v>
      </c>
      <c r="S991">
        <f>15.5</f>
        <v>15.5</v>
      </c>
      <c r="T991">
        <f>6.8</f>
        <v>6.8</v>
      </c>
      <c r="U991">
        <f>415</f>
        <v>415</v>
      </c>
      <c r="V991">
        <f>0.08</f>
        <v>0.08</v>
      </c>
      <c r="X991">
        <f>0</f>
        <v>0</v>
      </c>
      <c r="Y991">
        <f>0.1</f>
        <v>0.1</v>
      </c>
      <c r="Z991">
        <f>0</f>
        <v>0</v>
      </c>
      <c r="AA991" t="s">
        <v>158</v>
      </c>
      <c r="AB991" t="s">
        <v>158</v>
      </c>
      <c r="AD991">
        <f>0</f>
        <v>0</v>
      </c>
      <c r="AE991">
        <f>0</f>
        <v>0</v>
      </c>
      <c r="AG991" t="s">
        <v>249</v>
      </c>
      <c r="AH991" t="s">
        <v>157</v>
      </c>
      <c r="AI991">
        <f>0.7</f>
        <v>0.7</v>
      </c>
      <c r="AL991" t="s">
        <v>164</v>
      </c>
      <c r="AM991" t="s">
        <v>165</v>
      </c>
      <c r="AN991">
        <f>33</f>
        <v>33</v>
      </c>
      <c r="AO991">
        <f>0.66</f>
        <v>0.66</v>
      </c>
      <c r="AP991">
        <f>22</f>
        <v>22</v>
      </c>
      <c r="AQ991">
        <f>21</f>
        <v>21</v>
      </c>
      <c r="AR991" t="s">
        <v>157</v>
      </c>
      <c r="AS991">
        <f>10</f>
        <v>10</v>
      </c>
      <c r="AT991" t="s">
        <v>250</v>
      </c>
      <c r="AY991">
        <f>1</f>
        <v>1</v>
      </c>
      <c r="AZ991" t="s">
        <v>158</v>
      </c>
      <c r="BA991">
        <f>0.02</f>
        <v>0.02</v>
      </c>
      <c r="BB991" t="s">
        <v>158</v>
      </c>
      <c r="BC991" t="s">
        <v>166</v>
      </c>
      <c r="BD991" t="s">
        <v>167</v>
      </c>
      <c r="BE991">
        <f>0.0046</f>
        <v>4.5999999999999999E-3</v>
      </c>
      <c r="BF991">
        <f>0.021</f>
        <v>2.1000000000000001E-2</v>
      </c>
      <c r="BG991" t="s">
        <v>167</v>
      </c>
      <c r="BH991" t="s">
        <v>167</v>
      </c>
      <c r="BK991">
        <f>0.44</f>
        <v>0.44</v>
      </c>
      <c r="EL991">
        <f>0.77</f>
        <v>0.77</v>
      </c>
      <c r="EM991">
        <f>0.41</f>
        <v>0.41</v>
      </c>
      <c r="EN991">
        <f>1.4</f>
        <v>1.4</v>
      </c>
      <c r="EO991">
        <f>1.3</f>
        <v>1.3</v>
      </c>
      <c r="ER991">
        <f>3.9</f>
        <v>3.9</v>
      </c>
    </row>
    <row r="992" spans="1:149" x14ac:dyDescent="0.25">
      <c r="A992" t="s">
        <v>3420</v>
      </c>
      <c r="B992" t="s">
        <v>148</v>
      </c>
      <c r="C992" s="1">
        <v>45763</v>
      </c>
      <c r="D992" t="s">
        <v>175</v>
      </c>
      <c r="E992" t="s">
        <v>176</v>
      </c>
      <c r="F992" t="s">
        <v>630</v>
      </c>
      <c r="G992" t="s">
        <v>631</v>
      </c>
      <c r="H992">
        <v>1175</v>
      </c>
      <c r="I992" t="s">
        <v>631</v>
      </c>
      <c r="J992">
        <v>14500</v>
      </c>
      <c r="K992" t="s">
        <v>5254</v>
      </c>
      <c r="L992" t="s">
        <v>154</v>
      </c>
      <c r="M992" t="s">
        <v>630</v>
      </c>
      <c r="N992" t="s">
        <v>632</v>
      </c>
      <c r="O992" t="s">
        <v>633</v>
      </c>
      <c r="R992">
        <f>1</f>
        <v>1</v>
      </c>
      <c r="S992">
        <f>12</f>
        <v>12</v>
      </c>
      <c r="T992">
        <f>7.5</f>
        <v>7.5</v>
      </c>
      <c r="U992">
        <f>568</f>
        <v>568</v>
      </c>
      <c r="V992">
        <f>0.23</f>
        <v>0.23</v>
      </c>
      <c r="X992">
        <f>0</f>
        <v>0</v>
      </c>
      <c r="Y992" t="s">
        <v>157</v>
      </c>
      <c r="Z992">
        <f>0</f>
        <v>0</v>
      </c>
      <c r="AA992" t="s">
        <v>158</v>
      </c>
      <c r="AB992" t="s">
        <v>158</v>
      </c>
      <c r="AD992">
        <f>0</f>
        <v>0</v>
      </c>
      <c r="AE992">
        <f>0</f>
        <v>0</v>
      </c>
    </row>
    <row r="993" spans="1:149" x14ac:dyDescent="0.25">
      <c r="A993" t="s">
        <v>3421</v>
      </c>
      <c r="B993" t="s">
        <v>148</v>
      </c>
      <c r="C993" s="1">
        <v>45726</v>
      </c>
      <c r="D993" t="s">
        <v>175</v>
      </c>
      <c r="E993" t="s">
        <v>176</v>
      </c>
      <c r="F993" t="s">
        <v>630</v>
      </c>
      <c r="G993" t="s">
        <v>631</v>
      </c>
      <c r="H993">
        <v>1175</v>
      </c>
      <c r="I993" t="s">
        <v>631</v>
      </c>
      <c r="J993">
        <v>14500</v>
      </c>
      <c r="K993" t="s">
        <v>5254</v>
      </c>
      <c r="L993" t="s">
        <v>154</v>
      </c>
      <c r="M993" t="s">
        <v>635</v>
      </c>
      <c r="N993" t="s">
        <v>636</v>
      </c>
      <c r="O993" t="s">
        <v>637</v>
      </c>
      <c r="R993">
        <f>1</f>
        <v>1</v>
      </c>
      <c r="S993">
        <f>9.5</f>
        <v>9.5</v>
      </c>
      <c r="T993">
        <f>7.5</f>
        <v>7.5</v>
      </c>
      <c r="U993">
        <f>585</f>
        <v>585</v>
      </c>
      <c r="V993">
        <f>0.21</f>
        <v>0.21</v>
      </c>
      <c r="X993">
        <f>0</f>
        <v>0</v>
      </c>
      <c r="Y993" t="s">
        <v>157</v>
      </c>
      <c r="Z993">
        <f>0</f>
        <v>0</v>
      </c>
      <c r="AA993" t="s">
        <v>158</v>
      </c>
      <c r="AB993" t="s">
        <v>158</v>
      </c>
      <c r="AD993">
        <f>0</f>
        <v>0</v>
      </c>
      <c r="AE993">
        <f>0</f>
        <v>0</v>
      </c>
    </row>
    <row r="994" spans="1:149" x14ac:dyDescent="0.25">
      <c r="A994" t="s">
        <v>3422</v>
      </c>
      <c r="B994" t="s">
        <v>148</v>
      </c>
      <c r="C994" s="1">
        <v>45761</v>
      </c>
      <c r="D994" t="s">
        <v>175</v>
      </c>
      <c r="E994" t="s">
        <v>176</v>
      </c>
      <c r="F994" t="s">
        <v>630</v>
      </c>
      <c r="G994" t="s">
        <v>6557</v>
      </c>
      <c r="H994">
        <v>24</v>
      </c>
      <c r="I994" t="s">
        <v>6557</v>
      </c>
      <c r="J994">
        <v>13150</v>
      </c>
      <c r="K994" t="s">
        <v>5254</v>
      </c>
      <c r="L994" t="s">
        <v>154</v>
      </c>
      <c r="M994" t="s">
        <v>5836</v>
      </c>
      <c r="N994" t="s">
        <v>4716</v>
      </c>
      <c r="O994" t="s">
        <v>645</v>
      </c>
      <c r="R994">
        <f>1</f>
        <v>1</v>
      </c>
      <c r="S994">
        <f>10.6</f>
        <v>10.6</v>
      </c>
      <c r="T994">
        <f>7.4</f>
        <v>7.4</v>
      </c>
      <c r="U994">
        <f>566</f>
        <v>566</v>
      </c>
      <c r="V994">
        <f>0.27</f>
        <v>0.27</v>
      </c>
      <c r="X994">
        <f>0</f>
        <v>0</v>
      </c>
      <c r="Y994" t="s">
        <v>157</v>
      </c>
      <c r="Z994">
        <f>0</f>
        <v>0</v>
      </c>
      <c r="AA994" t="s">
        <v>158</v>
      </c>
      <c r="AB994" t="s">
        <v>158</v>
      </c>
      <c r="AD994">
        <f>0</f>
        <v>0</v>
      </c>
      <c r="AE994">
        <f>0</f>
        <v>0</v>
      </c>
      <c r="AI994" t="s">
        <v>238</v>
      </c>
      <c r="AL994" t="s">
        <v>164</v>
      </c>
      <c r="AM994" t="s">
        <v>165</v>
      </c>
      <c r="AN994">
        <f>2.7</f>
        <v>2.7</v>
      </c>
      <c r="AO994">
        <f>0.05</f>
        <v>0.05</v>
      </c>
      <c r="AP994">
        <f>4.2</f>
        <v>4.2</v>
      </c>
      <c r="AQ994">
        <f>2.5</f>
        <v>2.5</v>
      </c>
      <c r="AR994" t="s">
        <v>157</v>
      </c>
      <c r="AS994">
        <f>0.64</f>
        <v>0.64</v>
      </c>
      <c r="AY994" t="s">
        <v>167</v>
      </c>
      <c r="AZ994">
        <f>11</f>
        <v>11</v>
      </c>
      <c r="BA994" t="s">
        <v>216</v>
      </c>
      <c r="BB994" t="s">
        <v>158</v>
      </c>
      <c r="BC994" t="s">
        <v>166</v>
      </c>
      <c r="BD994" t="s">
        <v>167</v>
      </c>
      <c r="BE994">
        <f>0.0018</f>
        <v>1.8E-3</v>
      </c>
      <c r="BF994" t="s">
        <v>168</v>
      </c>
      <c r="BG994" t="s">
        <v>167</v>
      </c>
      <c r="BH994" t="s">
        <v>167</v>
      </c>
      <c r="BK994">
        <f>0.39</f>
        <v>0.39</v>
      </c>
      <c r="EL994">
        <f>0.13</f>
        <v>0.13</v>
      </c>
      <c r="EM994" t="s">
        <v>166</v>
      </c>
      <c r="EN994" t="s">
        <v>166</v>
      </c>
      <c r="EO994" t="s">
        <v>166</v>
      </c>
      <c r="ER994" t="s">
        <v>166</v>
      </c>
    </row>
    <row r="995" spans="1:149" x14ac:dyDescent="0.25">
      <c r="A995" t="s">
        <v>3423</v>
      </c>
      <c r="B995" t="s">
        <v>148</v>
      </c>
      <c r="C995" s="1">
        <v>45761</v>
      </c>
      <c r="D995" t="s">
        <v>175</v>
      </c>
      <c r="E995" t="s">
        <v>176</v>
      </c>
      <c r="F995" t="s">
        <v>630</v>
      </c>
      <c r="G995" t="s">
        <v>6557</v>
      </c>
      <c r="H995">
        <v>24</v>
      </c>
      <c r="I995" t="s">
        <v>6557</v>
      </c>
      <c r="J995">
        <v>13150</v>
      </c>
      <c r="K995" t="s">
        <v>5254</v>
      </c>
      <c r="L995" t="s">
        <v>154</v>
      </c>
      <c r="M995" t="s">
        <v>5837</v>
      </c>
      <c r="N995" t="s">
        <v>4717</v>
      </c>
      <c r="O995" t="s">
        <v>647</v>
      </c>
      <c r="R995">
        <f>1</f>
        <v>1</v>
      </c>
      <c r="S995">
        <f>12</f>
        <v>12</v>
      </c>
      <c r="T995">
        <f>7.5</f>
        <v>7.5</v>
      </c>
      <c r="U995">
        <f>511</f>
        <v>511</v>
      </c>
      <c r="X995">
        <f>0</f>
        <v>0</v>
      </c>
      <c r="Y995">
        <f>0.1</f>
        <v>0.1</v>
      </c>
      <c r="Z995">
        <f>0</f>
        <v>0</v>
      </c>
      <c r="AA995" t="s">
        <v>158</v>
      </c>
      <c r="AB995" t="s">
        <v>158</v>
      </c>
      <c r="AD995">
        <f>0</f>
        <v>0</v>
      </c>
      <c r="AE995">
        <f>0</f>
        <v>0</v>
      </c>
    </row>
    <row r="996" spans="1:149" x14ac:dyDescent="0.25">
      <c r="A996" t="s">
        <v>3424</v>
      </c>
      <c r="B996" t="s">
        <v>148</v>
      </c>
      <c r="C996" s="1">
        <v>45898</v>
      </c>
      <c r="D996" t="s">
        <v>189</v>
      </c>
      <c r="E996" t="s">
        <v>284</v>
      </c>
      <c r="F996" t="s">
        <v>665</v>
      </c>
      <c r="G996" t="s">
        <v>666</v>
      </c>
      <c r="H996">
        <v>193</v>
      </c>
      <c r="I996" t="s">
        <v>666</v>
      </c>
      <c r="J996">
        <v>10226</v>
      </c>
      <c r="K996" t="s">
        <v>5257</v>
      </c>
      <c r="L996" t="s">
        <v>387</v>
      </c>
      <c r="M996" t="s">
        <v>667</v>
      </c>
      <c r="N996" t="s">
        <v>668</v>
      </c>
      <c r="O996" t="s">
        <v>669</v>
      </c>
      <c r="Q996" t="s">
        <v>6340</v>
      </c>
      <c r="R996">
        <f>1</f>
        <v>1</v>
      </c>
      <c r="S996">
        <f>22.8</f>
        <v>22.8</v>
      </c>
      <c r="T996">
        <f>7.8</f>
        <v>7.8</v>
      </c>
      <c r="U996">
        <f>332</f>
        <v>332</v>
      </c>
      <c r="X996">
        <f>0</f>
        <v>0</v>
      </c>
      <c r="Y996">
        <f>0.29</f>
        <v>0.28999999999999998</v>
      </c>
      <c r="Z996">
        <f>0</f>
        <v>0</v>
      </c>
      <c r="AA996">
        <f>3</f>
        <v>3</v>
      </c>
      <c r="AB996">
        <f>63</f>
        <v>63</v>
      </c>
      <c r="AC996">
        <f>0</f>
        <v>0</v>
      </c>
      <c r="AD996">
        <f>0</f>
        <v>0</v>
      </c>
      <c r="AE996">
        <f>0</f>
        <v>0</v>
      </c>
      <c r="AH996" t="s">
        <v>157</v>
      </c>
    </row>
    <row r="997" spans="1:149" x14ac:dyDescent="0.25">
      <c r="A997" t="s">
        <v>3425</v>
      </c>
      <c r="B997" t="s">
        <v>148</v>
      </c>
      <c r="C997" s="1">
        <v>45727</v>
      </c>
      <c r="D997" t="s">
        <v>189</v>
      </c>
      <c r="E997" t="s">
        <v>284</v>
      </c>
      <c r="F997" t="s">
        <v>665</v>
      </c>
      <c r="G997" t="s">
        <v>666</v>
      </c>
      <c r="H997">
        <v>193</v>
      </c>
      <c r="I997" t="s">
        <v>666</v>
      </c>
      <c r="J997">
        <v>10226</v>
      </c>
      <c r="K997" t="s">
        <v>5257</v>
      </c>
      <c r="L997" t="s">
        <v>387</v>
      </c>
      <c r="M997" t="s">
        <v>5841</v>
      </c>
      <c r="N997" t="s">
        <v>672</v>
      </c>
      <c r="O997" t="s">
        <v>673</v>
      </c>
      <c r="R997">
        <f>1</f>
        <v>1</v>
      </c>
      <c r="S997">
        <f>9.5</f>
        <v>9.5</v>
      </c>
      <c r="T997">
        <f>8</f>
        <v>8</v>
      </c>
      <c r="U997">
        <f>364</f>
        <v>364</v>
      </c>
      <c r="X997">
        <f>0</f>
        <v>0</v>
      </c>
      <c r="Y997">
        <f>0.1</f>
        <v>0.1</v>
      </c>
      <c r="Z997">
        <f>0</f>
        <v>0</v>
      </c>
      <c r="AA997" t="s">
        <v>158</v>
      </c>
      <c r="AB997" t="s">
        <v>158</v>
      </c>
      <c r="AC997">
        <f>0</f>
        <v>0</v>
      </c>
      <c r="AD997">
        <f>0</f>
        <v>0</v>
      </c>
      <c r="AE997">
        <f>0</f>
        <v>0</v>
      </c>
      <c r="AH997" t="s">
        <v>166</v>
      </c>
      <c r="AI997">
        <f>0.51</f>
        <v>0.51</v>
      </c>
      <c r="AL997" t="s">
        <v>216</v>
      </c>
      <c r="AM997" t="s">
        <v>266</v>
      </c>
      <c r="AN997">
        <f>6.13</f>
        <v>6.13</v>
      </c>
      <c r="AO997">
        <f>0.123</f>
        <v>0.123</v>
      </c>
      <c r="AP997">
        <f>3.11</f>
        <v>3.11</v>
      </c>
      <c r="AQ997">
        <f>3.03</f>
        <v>3.03</v>
      </c>
      <c r="AR997" t="s">
        <v>209</v>
      </c>
      <c r="AS997">
        <f>1.6</f>
        <v>1.6</v>
      </c>
      <c r="AY997" t="s">
        <v>157</v>
      </c>
      <c r="AZ997" t="s">
        <v>208</v>
      </c>
      <c r="BA997">
        <f>0.0021</f>
        <v>2.0999999999999999E-3</v>
      </c>
      <c r="BB997">
        <f>9</f>
        <v>9</v>
      </c>
      <c r="BC997" t="s">
        <v>209</v>
      </c>
      <c r="BD997" t="s">
        <v>157</v>
      </c>
      <c r="BE997">
        <f>0.0037</f>
        <v>3.7000000000000002E-3</v>
      </c>
      <c r="BF997" t="s">
        <v>168</v>
      </c>
      <c r="BG997" t="s">
        <v>237</v>
      </c>
      <c r="BH997" t="s">
        <v>157</v>
      </c>
      <c r="BI997">
        <f>0.12</f>
        <v>0.12</v>
      </c>
      <c r="BK997">
        <f>0.43</f>
        <v>0.43</v>
      </c>
      <c r="EL997">
        <f>3.6</f>
        <v>3.6</v>
      </c>
      <c r="EM997" t="s">
        <v>238</v>
      </c>
      <c r="EN997">
        <f>2.2</f>
        <v>2.2000000000000002</v>
      </c>
      <c r="EO997">
        <f>0.9</f>
        <v>0.9</v>
      </c>
      <c r="ER997">
        <f>6.7</f>
        <v>6.7</v>
      </c>
    </row>
    <row r="998" spans="1:149" x14ac:dyDescent="0.25">
      <c r="A998" t="s">
        <v>3426</v>
      </c>
      <c r="B998" t="s">
        <v>148</v>
      </c>
      <c r="C998" s="1">
        <v>45867</v>
      </c>
      <c r="D998" t="s">
        <v>189</v>
      </c>
      <c r="E998" t="s">
        <v>190</v>
      </c>
      <c r="F998" t="s">
        <v>5849</v>
      </c>
      <c r="G998" t="s">
        <v>711</v>
      </c>
      <c r="H998">
        <v>328</v>
      </c>
      <c r="I998" t="s">
        <v>711</v>
      </c>
      <c r="J998">
        <v>19000</v>
      </c>
      <c r="K998" t="s">
        <v>5257</v>
      </c>
      <c r="L998" t="s">
        <v>712</v>
      </c>
      <c r="M998" t="s">
        <v>6561</v>
      </c>
      <c r="N998" t="s">
        <v>4719</v>
      </c>
      <c r="O998" t="s">
        <v>713</v>
      </c>
      <c r="R998">
        <f>1</f>
        <v>1</v>
      </c>
      <c r="S998">
        <f>20.6</f>
        <v>20.6</v>
      </c>
      <c r="T998">
        <f>7.7</f>
        <v>7.7</v>
      </c>
      <c r="U998">
        <f>360</f>
        <v>360</v>
      </c>
      <c r="V998">
        <f>0.25</f>
        <v>0.25</v>
      </c>
      <c r="X998">
        <f>0</f>
        <v>0</v>
      </c>
      <c r="Y998">
        <f>0.21</f>
        <v>0.21</v>
      </c>
      <c r="Z998">
        <f>0</f>
        <v>0</v>
      </c>
      <c r="AA998">
        <f>0</f>
        <v>0</v>
      </c>
      <c r="AB998">
        <f>5</f>
        <v>5</v>
      </c>
      <c r="AC998">
        <f>0</f>
        <v>0</v>
      </c>
      <c r="AD998">
        <f>0</f>
        <v>0</v>
      </c>
      <c r="AE998">
        <f>0</f>
        <v>0</v>
      </c>
      <c r="AH998" t="s">
        <v>157</v>
      </c>
    </row>
    <row r="999" spans="1:149" x14ac:dyDescent="0.25">
      <c r="A999" t="s">
        <v>3427</v>
      </c>
      <c r="B999" t="s">
        <v>148</v>
      </c>
      <c r="C999" s="1">
        <v>45733</v>
      </c>
      <c r="D999" t="s">
        <v>269</v>
      </c>
      <c r="E999" t="s">
        <v>270</v>
      </c>
      <c r="F999" t="s">
        <v>754</v>
      </c>
      <c r="G999" t="s">
        <v>755</v>
      </c>
      <c r="H999">
        <v>135</v>
      </c>
      <c r="I999" t="s">
        <v>755</v>
      </c>
      <c r="J999">
        <v>10755</v>
      </c>
      <c r="K999" t="s">
        <v>5254</v>
      </c>
      <c r="L999" t="s">
        <v>154</v>
      </c>
      <c r="M999" t="s">
        <v>6194</v>
      </c>
      <c r="N999" t="s">
        <v>4908</v>
      </c>
      <c r="O999" t="s">
        <v>3428</v>
      </c>
      <c r="R999">
        <f>1</f>
        <v>1</v>
      </c>
      <c r="S999">
        <f>10.5</f>
        <v>10.5</v>
      </c>
      <c r="T999">
        <f>7.3</f>
        <v>7.3</v>
      </c>
      <c r="U999">
        <f>632</f>
        <v>632</v>
      </c>
      <c r="X999">
        <f>0</f>
        <v>0</v>
      </c>
      <c r="Y999" t="s">
        <v>207</v>
      </c>
      <c r="Z999">
        <f>0</f>
        <v>0</v>
      </c>
      <c r="AA999" t="s">
        <v>158</v>
      </c>
      <c r="AB999" t="s">
        <v>158</v>
      </c>
      <c r="AD999">
        <f>0</f>
        <v>0</v>
      </c>
      <c r="AE999">
        <f>0</f>
        <v>0</v>
      </c>
    </row>
    <row r="1000" spans="1:149" x14ac:dyDescent="0.25">
      <c r="A1000" t="s">
        <v>3429</v>
      </c>
      <c r="B1000" t="s">
        <v>148</v>
      </c>
      <c r="C1000" s="1">
        <v>45782</v>
      </c>
      <c r="D1000" t="s">
        <v>269</v>
      </c>
      <c r="E1000" t="s">
        <v>270</v>
      </c>
      <c r="F1000" t="s">
        <v>754</v>
      </c>
      <c r="G1000" t="s">
        <v>755</v>
      </c>
      <c r="H1000">
        <v>135</v>
      </c>
      <c r="I1000" t="s">
        <v>755</v>
      </c>
      <c r="J1000">
        <v>10755</v>
      </c>
      <c r="K1000" t="s">
        <v>5254</v>
      </c>
      <c r="L1000" t="s">
        <v>154</v>
      </c>
      <c r="M1000" t="s">
        <v>756</v>
      </c>
      <c r="N1000" t="s">
        <v>757</v>
      </c>
      <c r="O1000" t="s">
        <v>758</v>
      </c>
      <c r="R1000">
        <f>1</f>
        <v>1</v>
      </c>
      <c r="S1000">
        <f>12.8</f>
        <v>12.8</v>
      </c>
      <c r="T1000">
        <f>7.7</f>
        <v>7.7</v>
      </c>
      <c r="U1000">
        <f>627</f>
        <v>627</v>
      </c>
      <c r="V1000">
        <f>0.22</f>
        <v>0.22</v>
      </c>
      <c r="X1000">
        <f>0</f>
        <v>0</v>
      </c>
      <c r="Y1000" t="s">
        <v>207</v>
      </c>
      <c r="Z1000">
        <f>0</f>
        <v>0</v>
      </c>
      <c r="AA1000" t="s">
        <v>158</v>
      </c>
      <c r="AB1000" t="s">
        <v>158</v>
      </c>
      <c r="AD1000">
        <f>0</f>
        <v>0</v>
      </c>
      <c r="AE1000">
        <f>0</f>
        <v>0</v>
      </c>
      <c r="AH1000" t="s">
        <v>166</v>
      </c>
    </row>
    <row r="1001" spans="1:149" x14ac:dyDescent="0.25">
      <c r="A1001" t="s">
        <v>3430</v>
      </c>
      <c r="B1001" t="s">
        <v>148</v>
      </c>
      <c r="C1001" s="1">
        <v>45783</v>
      </c>
      <c r="D1001" t="s">
        <v>175</v>
      </c>
      <c r="E1001" t="s">
        <v>176</v>
      </c>
      <c r="F1001" t="s">
        <v>556</v>
      </c>
      <c r="G1001" t="s">
        <v>808</v>
      </c>
      <c r="H1001">
        <v>338</v>
      </c>
      <c r="I1001" t="s">
        <v>808</v>
      </c>
      <c r="J1001">
        <v>14369</v>
      </c>
      <c r="K1001" t="s">
        <v>5254</v>
      </c>
      <c r="L1001" t="s">
        <v>4724</v>
      </c>
      <c r="M1001" t="s">
        <v>5334</v>
      </c>
      <c r="N1001" t="s">
        <v>809</v>
      </c>
      <c r="O1001" t="s">
        <v>810</v>
      </c>
      <c r="Q1001" t="s">
        <v>6335</v>
      </c>
      <c r="R1001">
        <f>1</f>
        <v>1</v>
      </c>
      <c r="S1001">
        <f>13.8</f>
        <v>13.8</v>
      </c>
      <c r="T1001">
        <f>7.6</f>
        <v>7.6</v>
      </c>
      <c r="U1001">
        <f>490</f>
        <v>490</v>
      </c>
      <c r="X1001">
        <f>0</f>
        <v>0</v>
      </c>
      <c r="Y1001" t="s">
        <v>157</v>
      </c>
      <c r="Z1001">
        <f>0</f>
        <v>0</v>
      </c>
      <c r="AA1001" t="s">
        <v>158</v>
      </c>
      <c r="AB1001" t="s">
        <v>158</v>
      </c>
      <c r="AD1001">
        <f>0</f>
        <v>0</v>
      </c>
      <c r="AE1001">
        <f>0</f>
        <v>0</v>
      </c>
      <c r="AH1001" t="s">
        <v>157</v>
      </c>
      <c r="AI1001" t="s">
        <v>238</v>
      </c>
      <c r="AL1001" t="s">
        <v>164</v>
      </c>
      <c r="AM1001" t="s">
        <v>165</v>
      </c>
      <c r="AN1001">
        <f>7.5</f>
        <v>7.5</v>
      </c>
      <c r="AO1001">
        <f>0.15</f>
        <v>0.15</v>
      </c>
      <c r="AP1001">
        <f>8.8</f>
        <v>8.8000000000000007</v>
      </c>
      <c r="AQ1001">
        <f>4.6</f>
        <v>4.5999999999999996</v>
      </c>
      <c r="AR1001" t="s">
        <v>157</v>
      </c>
      <c r="AS1001">
        <f>3.3</f>
        <v>3.3</v>
      </c>
      <c r="AY1001" t="s">
        <v>167</v>
      </c>
      <c r="AZ1001" t="s">
        <v>158</v>
      </c>
      <c r="BA1001" t="s">
        <v>216</v>
      </c>
      <c r="BB1001" t="s">
        <v>158</v>
      </c>
      <c r="BC1001" t="s">
        <v>166</v>
      </c>
      <c r="BD1001" t="s">
        <v>167</v>
      </c>
      <c r="BE1001">
        <f>0.002</f>
        <v>2E-3</v>
      </c>
      <c r="BF1001" t="s">
        <v>168</v>
      </c>
      <c r="BG1001" t="s">
        <v>167</v>
      </c>
      <c r="BH1001" t="s">
        <v>167</v>
      </c>
      <c r="BK1001">
        <f>0.3</f>
        <v>0.3</v>
      </c>
      <c r="EP1001" t="s">
        <v>157</v>
      </c>
      <c r="EQ1001" t="s">
        <v>157</v>
      </c>
      <c r="ES1001" t="s">
        <v>166</v>
      </c>
    </row>
    <row r="1002" spans="1:149" x14ac:dyDescent="0.25">
      <c r="A1002" t="s">
        <v>3431</v>
      </c>
      <c r="B1002" t="s">
        <v>148</v>
      </c>
      <c r="C1002" s="1">
        <v>45835</v>
      </c>
      <c r="D1002" t="s">
        <v>242</v>
      </c>
      <c r="E1002" t="s">
        <v>243</v>
      </c>
      <c r="F1002" t="s">
        <v>391</v>
      </c>
      <c r="G1002" t="s">
        <v>392</v>
      </c>
      <c r="H1002">
        <v>1124</v>
      </c>
      <c r="I1002" t="s">
        <v>392</v>
      </c>
      <c r="J1002">
        <v>11300</v>
      </c>
      <c r="K1002" t="s">
        <v>5254</v>
      </c>
      <c r="L1002" t="s">
        <v>393</v>
      </c>
      <c r="M1002" t="s">
        <v>4909</v>
      </c>
      <c r="N1002" t="s">
        <v>6195</v>
      </c>
      <c r="O1002" t="s">
        <v>3432</v>
      </c>
      <c r="R1002">
        <f>1</f>
        <v>1</v>
      </c>
      <c r="S1002">
        <f>18.7</f>
        <v>18.7</v>
      </c>
      <c r="T1002">
        <f>7.6</f>
        <v>7.6</v>
      </c>
      <c r="U1002">
        <f>418</f>
        <v>418</v>
      </c>
      <c r="V1002">
        <f>0.16</f>
        <v>0.16</v>
      </c>
      <c r="X1002">
        <f>0</f>
        <v>0</v>
      </c>
      <c r="Y1002" t="s">
        <v>157</v>
      </c>
      <c r="Z1002">
        <f>0</f>
        <v>0</v>
      </c>
      <c r="AA1002" t="s">
        <v>158</v>
      </c>
      <c r="AB1002" t="s">
        <v>158</v>
      </c>
      <c r="AD1002">
        <f>0</f>
        <v>0</v>
      </c>
      <c r="AE1002">
        <f>0</f>
        <v>0</v>
      </c>
      <c r="AH1002" t="s">
        <v>157</v>
      </c>
      <c r="AI1002" t="s">
        <v>238</v>
      </c>
      <c r="AL1002" t="s">
        <v>164</v>
      </c>
      <c r="AM1002" t="s">
        <v>165</v>
      </c>
      <c r="AN1002">
        <f>4.1</f>
        <v>4.0999999999999996</v>
      </c>
      <c r="AO1002">
        <f>0.08</f>
        <v>0.08</v>
      </c>
      <c r="AP1002">
        <f>15</f>
        <v>15</v>
      </c>
      <c r="AQ1002">
        <f>3.5</f>
        <v>3.5</v>
      </c>
      <c r="AR1002" t="s">
        <v>157</v>
      </c>
      <c r="AS1002">
        <f>3.4</f>
        <v>3.4</v>
      </c>
      <c r="AY1002" t="s">
        <v>167</v>
      </c>
      <c r="AZ1002" t="s">
        <v>158</v>
      </c>
      <c r="BA1002" t="s">
        <v>216</v>
      </c>
      <c r="BB1002" t="s">
        <v>158</v>
      </c>
      <c r="BC1002" t="s">
        <v>166</v>
      </c>
      <c r="BD1002" t="s">
        <v>167</v>
      </c>
      <c r="BE1002">
        <f>0.0036</f>
        <v>3.5999999999999999E-3</v>
      </c>
      <c r="BF1002">
        <f>0.068</f>
        <v>6.8000000000000005E-2</v>
      </c>
      <c r="BG1002" t="s">
        <v>167</v>
      </c>
      <c r="BH1002">
        <f>1.4</f>
        <v>1.4</v>
      </c>
      <c r="BK1002">
        <f>0.49</f>
        <v>0.49</v>
      </c>
      <c r="EL1002">
        <f>0.29</f>
        <v>0.28999999999999998</v>
      </c>
      <c r="EM1002" t="s">
        <v>166</v>
      </c>
      <c r="EN1002">
        <f>0.51</f>
        <v>0.51</v>
      </c>
      <c r="EO1002">
        <f>0.53</f>
        <v>0.53</v>
      </c>
      <c r="ER1002">
        <f>1.3</f>
        <v>1.3</v>
      </c>
    </row>
    <row r="1003" spans="1:149" x14ac:dyDescent="0.25">
      <c r="A1003" t="s">
        <v>3433</v>
      </c>
      <c r="B1003" t="s">
        <v>148</v>
      </c>
      <c r="C1003" s="1">
        <v>45835</v>
      </c>
      <c r="D1003" t="s">
        <v>242</v>
      </c>
      <c r="E1003" t="s">
        <v>243</v>
      </c>
      <c r="F1003" t="s">
        <v>391</v>
      </c>
      <c r="G1003" t="s">
        <v>392</v>
      </c>
      <c r="H1003">
        <v>1124</v>
      </c>
      <c r="I1003" t="s">
        <v>392</v>
      </c>
      <c r="J1003">
        <v>11300</v>
      </c>
      <c r="K1003" t="s">
        <v>5254</v>
      </c>
      <c r="L1003" t="s">
        <v>393</v>
      </c>
      <c r="M1003" t="s">
        <v>954</v>
      </c>
      <c r="N1003" t="s">
        <v>955</v>
      </c>
      <c r="O1003" t="s">
        <v>956</v>
      </c>
      <c r="R1003">
        <f>1</f>
        <v>1</v>
      </c>
      <c r="S1003">
        <f>19.3</f>
        <v>19.3</v>
      </c>
      <c r="T1003">
        <f>7.5</f>
        <v>7.5</v>
      </c>
      <c r="U1003">
        <f>418</f>
        <v>418</v>
      </c>
      <c r="X1003">
        <f>0</f>
        <v>0</v>
      </c>
      <c r="Y1003" t="s">
        <v>157</v>
      </c>
      <c r="Z1003">
        <f>0</f>
        <v>0</v>
      </c>
      <c r="AA1003" t="s">
        <v>158</v>
      </c>
      <c r="AB1003" t="s">
        <v>158</v>
      </c>
      <c r="AD1003">
        <f>0</f>
        <v>0</v>
      </c>
      <c r="AE1003">
        <f>0</f>
        <v>0</v>
      </c>
      <c r="AH1003" t="s">
        <v>157</v>
      </c>
    </row>
    <row r="1004" spans="1:149" x14ac:dyDescent="0.25">
      <c r="A1004" t="s">
        <v>3434</v>
      </c>
      <c r="B1004" t="s">
        <v>148</v>
      </c>
      <c r="C1004" s="1">
        <v>45761</v>
      </c>
      <c r="D1004" t="s">
        <v>175</v>
      </c>
      <c r="E1004" t="s">
        <v>176</v>
      </c>
      <c r="F1004" t="s">
        <v>690</v>
      </c>
      <c r="G1004" t="s">
        <v>691</v>
      </c>
      <c r="H1004">
        <v>1021</v>
      </c>
      <c r="I1004" t="s">
        <v>692</v>
      </c>
      <c r="J1004">
        <v>9974</v>
      </c>
      <c r="K1004" t="s">
        <v>5254</v>
      </c>
      <c r="L1004" t="s">
        <v>4963</v>
      </c>
      <c r="M1004" t="s">
        <v>977</v>
      </c>
      <c r="N1004" t="s">
        <v>5368</v>
      </c>
      <c r="O1004" t="s">
        <v>978</v>
      </c>
      <c r="R1004">
        <f>1</f>
        <v>1</v>
      </c>
      <c r="S1004">
        <f>12.5</f>
        <v>12.5</v>
      </c>
      <c r="T1004">
        <f>7.5</f>
        <v>7.5</v>
      </c>
      <c r="U1004">
        <f>406</f>
        <v>406</v>
      </c>
      <c r="X1004">
        <f>1</f>
        <v>1</v>
      </c>
      <c r="Y1004" t="s">
        <v>157</v>
      </c>
      <c r="Z1004">
        <f>0</f>
        <v>0</v>
      </c>
      <c r="AA1004" t="s">
        <v>158</v>
      </c>
      <c r="AB1004" t="s">
        <v>158</v>
      </c>
      <c r="AC1004">
        <f>0</f>
        <v>0</v>
      </c>
      <c r="AD1004">
        <f>0</f>
        <v>0</v>
      </c>
      <c r="AE1004">
        <f>0</f>
        <v>0</v>
      </c>
    </row>
    <row r="1005" spans="1:149" x14ac:dyDescent="0.25">
      <c r="A1005" t="s">
        <v>3435</v>
      </c>
      <c r="B1005" t="s">
        <v>148</v>
      </c>
      <c r="C1005" s="1">
        <v>45729</v>
      </c>
      <c r="D1005" t="s">
        <v>189</v>
      </c>
      <c r="E1005" t="s">
        <v>190</v>
      </c>
      <c r="F1005" t="s">
        <v>5849</v>
      </c>
      <c r="G1005" t="s">
        <v>711</v>
      </c>
      <c r="H1005">
        <v>328</v>
      </c>
      <c r="I1005" t="s">
        <v>711</v>
      </c>
      <c r="J1005">
        <v>19000</v>
      </c>
      <c r="K1005" t="s">
        <v>5257</v>
      </c>
      <c r="L1005" t="s">
        <v>712</v>
      </c>
      <c r="M1005" t="s">
        <v>5069</v>
      </c>
      <c r="N1005" t="s">
        <v>5070</v>
      </c>
      <c r="O1005" t="s">
        <v>3436</v>
      </c>
      <c r="R1005">
        <f>1</f>
        <v>1</v>
      </c>
      <c r="S1005">
        <f>12.7</f>
        <v>12.7</v>
      </c>
      <c r="T1005">
        <f>7.6</f>
        <v>7.6</v>
      </c>
      <c r="U1005">
        <f>517</f>
        <v>517</v>
      </c>
      <c r="X1005">
        <f>0</f>
        <v>0</v>
      </c>
      <c r="Y1005">
        <f>0.21</f>
        <v>0.21</v>
      </c>
      <c r="Z1005">
        <f>0</f>
        <v>0</v>
      </c>
      <c r="AA1005">
        <f>2</f>
        <v>2</v>
      </c>
      <c r="AB1005">
        <f>3</f>
        <v>3</v>
      </c>
      <c r="AC1005">
        <f>0</f>
        <v>0</v>
      </c>
      <c r="AD1005">
        <f>0</f>
        <v>0</v>
      </c>
      <c r="AE1005">
        <f>0</f>
        <v>0</v>
      </c>
      <c r="AH1005" t="s">
        <v>157</v>
      </c>
    </row>
    <row r="1006" spans="1:149" x14ac:dyDescent="0.25">
      <c r="A1006" t="s">
        <v>3437</v>
      </c>
      <c r="B1006" t="s">
        <v>148</v>
      </c>
      <c r="C1006" s="1">
        <v>45761</v>
      </c>
      <c r="D1006" t="s">
        <v>175</v>
      </c>
      <c r="E1006" t="s">
        <v>176</v>
      </c>
      <c r="F1006" t="s">
        <v>630</v>
      </c>
      <c r="G1006" t="s">
        <v>631</v>
      </c>
      <c r="H1006">
        <v>1175</v>
      </c>
      <c r="I1006" t="s">
        <v>631</v>
      </c>
      <c r="J1006">
        <v>14500</v>
      </c>
      <c r="K1006" t="s">
        <v>5254</v>
      </c>
      <c r="L1006" t="s">
        <v>154</v>
      </c>
      <c r="M1006" t="s">
        <v>5886</v>
      </c>
      <c r="N1006" t="s">
        <v>5887</v>
      </c>
      <c r="O1006" t="s">
        <v>1007</v>
      </c>
      <c r="R1006">
        <f>1</f>
        <v>1</v>
      </c>
      <c r="S1006">
        <f>11.5</f>
        <v>11.5</v>
      </c>
      <c r="T1006">
        <f>7.6</f>
        <v>7.6</v>
      </c>
      <c r="U1006">
        <f>524</f>
        <v>524</v>
      </c>
      <c r="X1006">
        <f>0</f>
        <v>0</v>
      </c>
      <c r="Y1006">
        <f>0.2</f>
        <v>0.2</v>
      </c>
      <c r="Z1006">
        <f>0</f>
        <v>0</v>
      </c>
      <c r="AA1006" t="s">
        <v>158</v>
      </c>
      <c r="AB1006" t="s">
        <v>158</v>
      </c>
      <c r="AD1006">
        <f>0</f>
        <v>0</v>
      </c>
      <c r="AE1006">
        <f>0</f>
        <v>0</v>
      </c>
    </row>
    <row r="1007" spans="1:149" x14ac:dyDescent="0.25">
      <c r="A1007" t="s">
        <v>3438</v>
      </c>
      <c r="B1007" t="s">
        <v>148</v>
      </c>
      <c r="C1007" s="1">
        <v>45756</v>
      </c>
      <c r="D1007" t="s">
        <v>189</v>
      </c>
      <c r="E1007" t="s">
        <v>284</v>
      </c>
      <c r="F1007" t="s">
        <v>285</v>
      </c>
      <c r="G1007" t="s">
        <v>286</v>
      </c>
      <c r="H1007">
        <v>197</v>
      </c>
      <c r="I1007" t="s">
        <v>287</v>
      </c>
      <c r="J1007">
        <v>19851</v>
      </c>
      <c r="K1007" t="s">
        <v>5257</v>
      </c>
      <c r="L1007" t="s">
        <v>4943</v>
      </c>
      <c r="M1007" t="s">
        <v>1011</v>
      </c>
      <c r="N1007" t="s">
        <v>1012</v>
      </c>
      <c r="O1007" t="s">
        <v>1013</v>
      </c>
      <c r="R1007">
        <f>1</f>
        <v>1</v>
      </c>
      <c r="S1007">
        <f>12.2</f>
        <v>12.2</v>
      </c>
      <c r="T1007">
        <f>8.3</f>
        <v>8.3000000000000007</v>
      </c>
      <c r="U1007">
        <f>279</f>
        <v>279</v>
      </c>
      <c r="X1007">
        <f>0</f>
        <v>0</v>
      </c>
      <c r="Y1007">
        <f>0.01</f>
        <v>0.01</v>
      </c>
      <c r="Z1007">
        <f>0</f>
        <v>0</v>
      </c>
      <c r="AA1007">
        <f>33</f>
        <v>33</v>
      </c>
      <c r="AB1007">
        <f>56</f>
        <v>56</v>
      </c>
      <c r="AC1007">
        <f>0</f>
        <v>0</v>
      </c>
      <c r="AD1007">
        <f>0</f>
        <v>0</v>
      </c>
      <c r="AE1007">
        <f>0</f>
        <v>0</v>
      </c>
      <c r="AH1007" t="s">
        <v>157</v>
      </c>
      <c r="BB1007">
        <f>34</f>
        <v>34</v>
      </c>
    </row>
    <row r="1008" spans="1:149" x14ac:dyDescent="0.25">
      <c r="A1008" t="s">
        <v>3439</v>
      </c>
      <c r="B1008" t="s">
        <v>148</v>
      </c>
      <c r="C1008" s="1">
        <v>45722</v>
      </c>
      <c r="D1008" t="s">
        <v>269</v>
      </c>
      <c r="E1008" t="s">
        <v>270</v>
      </c>
      <c r="F1008" t="s">
        <v>6531</v>
      </c>
      <c r="G1008" t="s">
        <v>6532</v>
      </c>
      <c r="H1008">
        <v>796</v>
      </c>
      <c r="I1008" t="s">
        <v>6533</v>
      </c>
      <c r="J1008">
        <v>12713</v>
      </c>
      <c r="K1008" t="s">
        <v>5257</v>
      </c>
      <c r="L1008" t="s">
        <v>302</v>
      </c>
      <c r="M1008" t="s">
        <v>3440</v>
      </c>
      <c r="N1008" t="s">
        <v>3441</v>
      </c>
      <c r="O1008" t="s">
        <v>3442</v>
      </c>
      <c r="R1008">
        <f>1</f>
        <v>1</v>
      </c>
      <c r="S1008">
        <f>7.1</f>
        <v>7.1</v>
      </c>
      <c r="T1008">
        <f>7.9</f>
        <v>7.9</v>
      </c>
      <c r="U1008">
        <f>342</f>
        <v>342</v>
      </c>
      <c r="V1008">
        <f>0.27</f>
        <v>0.27</v>
      </c>
      <c r="X1008">
        <f>0</f>
        <v>0</v>
      </c>
      <c r="Y1008" t="s">
        <v>207</v>
      </c>
      <c r="Z1008">
        <f>0</f>
        <v>0</v>
      </c>
      <c r="AA1008" t="s">
        <v>158</v>
      </c>
      <c r="AB1008" t="s">
        <v>158</v>
      </c>
      <c r="AC1008">
        <f>0</f>
        <v>0</v>
      </c>
      <c r="AD1008">
        <f>0</f>
        <v>0</v>
      </c>
      <c r="AE1008">
        <f>0</f>
        <v>0</v>
      </c>
    </row>
    <row r="1009" spans="1:148" x14ac:dyDescent="0.25">
      <c r="A1009" t="s">
        <v>3443</v>
      </c>
      <c r="B1009" t="s">
        <v>148</v>
      </c>
      <c r="C1009" s="1">
        <v>45756</v>
      </c>
      <c r="D1009" t="s">
        <v>189</v>
      </c>
      <c r="E1009" t="s">
        <v>284</v>
      </c>
      <c r="F1009" t="s">
        <v>285</v>
      </c>
      <c r="G1009" t="s">
        <v>286</v>
      </c>
      <c r="H1009">
        <v>197</v>
      </c>
      <c r="I1009" t="s">
        <v>287</v>
      </c>
      <c r="J1009">
        <v>19851</v>
      </c>
      <c r="K1009" t="s">
        <v>5257</v>
      </c>
      <c r="L1009" t="s">
        <v>4943</v>
      </c>
      <c r="M1009" t="s">
        <v>1027</v>
      </c>
      <c r="N1009" t="s">
        <v>1028</v>
      </c>
      <c r="O1009" t="s">
        <v>1029</v>
      </c>
      <c r="R1009">
        <f>1</f>
        <v>1</v>
      </c>
      <c r="S1009">
        <f>12.1</f>
        <v>12.1</v>
      </c>
      <c r="T1009">
        <f>8.3</f>
        <v>8.3000000000000007</v>
      </c>
      <c r="U1009">
        <f>306</f>
        <v>306</v>
      </c>
      <c r="V1009">
        <f>0.14</f>
        <v>0.14000000000000001</v>
      </c>
      <c r="X1009">
        <f>0</f>
        <v>0</v>
      </c>
      <c r="Y1009">
        <f>0.02</f>
        <v>0.02</v>
      </c>
      <c r="Z1009">
        <f>0</f>
        <v>0</v>
      </c>
      <c r="AA1009">
        <f>2</f>
        <v>2</v>
      </c>
      <c r="AB1009">
        <f>4</f>
        <v>4</v>
      </c>
      <c r="AC1009">
        <f>0</f>
        <v>0</v>
      </c>
      <c r="AD1009">
        <f>0</f>
        <v>0</v>
      </c>
      <c r="AE1009">
        <f>0</f>
        <v>0</v>
      </c>
      <c r="AH1009" t="s">
        <v>157</v>
      </c>
    </row>
    <row r="1010" spans="1:148" x14ac:dyDescent="0.25">
      <c r="A1010" t="s">
        <v>3444</v>
      </c>
      <c r="B1010" t="s">
        <v>148</v>
      </c>
      <c r="C1010" s="1">
        <v>45765</v>
      </c>
      <c r="D1010" t="s">
        <v>189</v>
      </c>
      <c r="E1010" t="s">
        <v>190</v>
      </c>
      <c r="F1010" t="s">
        <v>5849</v>
      </c>
      <c r="G1010" t="s">
        <v>711</v>
      </c>
      <c r="H1010">
        <v>328</v>
      </c>
      <c r="I1010" t="s">
        <v>711</v>
      </c>
      <c r="J1010">
        <v>19000</v>
      </c>
      <c r="K1010" t="s">
        <v>5257</v>
      </c>
      <c r="L1010" t="s">
        <v>712</v>
      </c>
      <c r="M1010" t="s">
        <v>5375</v>
      </c>
      <c r="N1010" t="s">
        <v>1031</v>
      </c>
      <c r="O1010" t="s">
        <v>1032</v>
      </c>
      <c r="R1010">
        <f>1</f>
        <v>1</v>
      </c>
      <c r="S1010">
        <f>14.8</f>
        <v>14.8</v>
      </c>
      <c r="T1010">
        <f>7.7</f>
        <v>7.7</v>
      </c>
      <c r="U1010">
        <f>523</f>
        <v>523</v>
      </c>
      <c r="V1010">
        <f>0.05</f>
        <v>0.05</v>
      </c>
      <c r="X1010">
        <f>0</f>
        <v>0</v>
      </c>
      <c r="Y1010">
        <f>0.23</f>
        <v>0.23</v>
      </c>
      <c r="Z1010">
        <f>0</f>
        <v>0</v>
      </c>
      <c r="AA1010">
        <f>0</f>
        <v>0</v>
      </c>
      <c r="AB1010">
        <f>0</f>
        <v>0</v>
      </c>
      <c r="AC1010">
        <f>0</f>
        <v>0</v>
      </c>
      <c r="AD1010">
        <f>0</f>
        <v>0</v>
      </c>
      <c r="AE1010">
        <f>0</f>
        <v>0</v>
      </c>
      <c r="AH1010" t="s">
        <v>157</v>
      </c>
    </row>
    <row r="1011" spans="1:148" x14ac:dyDescent="0.25">
      <c r="A1011" t="s">
        <v>3445</v>
      </c>
      <c r="B1011" t="s">
        <v>148</v>
      </c>
      <c r="C1011" s="1">
        <v>45756</v>
      </c>
      <c r="D1011" t="s">
        <v>189</v>
      </c>
      <c r="E1011" t="s">
        <v>284</v>
      </c>
      <c r="F1011" t="s">
        <v>285</v>
      </c>
      <c r="G1011" t="s">
        <v>286</v>
      </c>
      <c r="H1011">
        <v>197</v>
      </c>
      <c r="I1011" t="s">
        <v>287</v>
      </c>
      <c r="J1011">
        <v>19851</v>
      </c>
      <c r="K1011" t="s">
        <v>5257</v>
      </c>
      <c r="L1011" t="s">
        <v>4943</v>
      </c>
      <c r="M1011" t="s">
        <v>1057</v>
      </c>
      <c r="N1011" t="s">
        <v>1058</v>
      </c>
      <c r="O1011" t="s">
        <v>1059</v>
      </c>
      <c r="R1011">
        <f>1</f>
        <v>1</v>
      </c>
      <c r="S1011">
        <f>11.2</f>
        <v>11.2</v>
      </c>
      <c r="T1011">
        <f>8.3</f>
        <v>8.3000000000000007</v>
      </c>
      <c r="U1011">
        <f>302</f>
        <v>302</v>
      </c>
      <c r="X1011">
        <f>0</f>
        <v>0</v>
      </c>
      <c r="Y1011">
        <f>0.02</f>
        <v>0.02</v>
      </c>
      <c r="Z1011">
        <f>0</f>
        <v>0</v>
      </c>
      <c r="AA1011">
        <f>3</f>
        <v>3</v>
      </c>
      <c r="AB1011">
        <f>1</f>
        <v>1</v>
      </c>
      <c r="AC1011">
        <f>0</f>
        <v>0</v>
      </c>
      <c r="AD1011">
        <f>0</f>
        <v>0</v>
      </c>
      <c r="AE1011">
        <f>0</f>
        <v>0</v>
      </c>
      <c r="AH1011" t="s">
        <v>157</v>
      </c>
      <c r="BB1011">
        <f>25</f>
        <v>25</v>
      </c>
    </row>
    <row r="1012" spans="1:148" x14ac:dyDescent="0.25">
      <c r="A1012" t="s">
        <v>3446</v>
      </c>
      <c r="B1012" t="s">
        <v>148</v>
      </c>
      <c r="C1012" s="1">
        <v>45783</v>
      </c>
      <c r="D1012" t="s">
        <v>175</v>
      </c>
      <c r="E1012" t="s">
        <v>176</v>
      </c>
      <c r="F1012" t="s">
        <v>556</v>
      </c>
      <c r="G1012" t="s">
        <v>808</v>
      </c>
      <c r="H1012">
        <v>338</v>
      </c>
      <c r="I1012" t="s">
        <v>808</v>
      </c>
      <c r="J1012">
        <v>14369</v>
      </c>
      <c r="K1012" t="s">
        <v>5254</v>
      </c>
      <c r="L1012" t="s">
        <v>4724</v>
      </c>
      <c r="M1012" t="s">
        <v>4743</v>
      </c>
      <c r="N1012" t="s">
        <v>4744</v>
      </c>
      <c r="O1012" t="s">
        <v>1089</v>
      </c>
      <c r="Q1012" t="s">
        <v>6311</v>
      </c>
      <c r="R1012">
        <f>1</f>
        <v>1</v>
      </c>
      <c r="S1012">
        <f>16.8</f>
        <v>16.8</v>
      </c>
      <c r="T1012">
        <f>7.7</f>
        <v>7.7</v>
      </c>
      <c r="U1012">
        <f>506</f>
        <v>506</v>
      </c>
      <c r="X1012">
        <f>0</f>
        <v>0</v>
      </c>
      <c r="Y1012" t="s">
        <v>157</v>
      </c>
      <c r="Z1012">
        <f>0</f>
        <v>0</v>
      </c>
      <c r="AA1012" t="s">
        <v>158</v>
      </c>
      <c r="AB1012" t="s">
        <v>158</v>
      </c>
      <c r="AD1012">
        <f>0</f>
        <v>0</v>
      </c>
      <c r="AE1012">
        <f>0</f>
        <v>0</v>
      </c>
      <c r="AH1012" t="s">
        <v>157</v>
      </c>
    </row>
    <row r="1013" spans="1:148" x14ac:dyDescent="0.25">
      <c r="A1013" t="s">
        <v>3447</v>
      </c>
      <c r="B1013" t="s">
        <v>148</v>
      </c>
      <c r="C1013" s="1">
        <v>45786</v>
      </c>
      <c r="D1013" t="s">
        <v>175</v>
      </c>
      <c r="E1013" t="s">
        <v>176</v>
      </c>
      <c r="F1013" t="s">
        <v>556</v>
      </c>
      <c r="G1013" t="s">
        <v>557</v>
      </c>
      <c r="H1013">
        <v>1708</v>
      </c>
      <c r="I1013" t="s">
        <v>6591</v>
      </c>
      <c r="J1013">
        <v>14987</v>
      </c>
      <c r="K1013" t="s">
        <v>5254</v>
      </c>
      <c r="L1013" t="s">
        <v>180</v>
      </c>
      <c r="M1013" t="s">
        <v>1094</v>
      </c>
      <c r="N1013" t="s">
        <v>1095</v>
      </c>
      <c r="O1013" t="s">
        <v>1096</v>
      </c>
      <c r="Q1013" t="s">
        <v>1097</v>
      </c>
      <c r="R1013">
        <f>1</f>
        <v>1</v>
      </c>
      <c r="S1013">
        <f>14.3</f>
        <v>14.3</v>
      </c>
      <c r="T1013">
        <f>7.4</f>
        <v>7.4</v>
      </c>
      <c r="U1013">
        <f>456</f>
        <v>456</v>
      </c>
      <c r="X1013">
        <f>0</f>
        <v>0</v>
      </c>
      <c r="Y1013" t="s">
        <v>157</v>
      </c>
      <c r="Z1013">
        <f>0</f>
        <v>0</v>
      </c>
      <c r="AA1013" t="s">
        <v>158</v>
      </c>
      <c r="AB1013">
        <f>10</f>
        <v>10</v>
      </c>
      <c r="AD1013">
        <f>0</f>
        <v>0</v>
      </c>
      <c r="AE1013">
        <f>0</f>
        <v>0</v>
      </c>
      <c r="AH1013" t="s">
        <v>157</v>
      </c>
    </row>
    <row r="1014" spans="1:148" x14ac:dyDescent="0.25">
      <c r="A1014" t="s">
        <v>3448</v>
      </c>
      <c r="B1014" t="s">
        <v>148</v>
      </c>
      <c r="C1014" s="1">
        <v>45786</v>
      </c>
      <c r="D1014" t="s">
        <v>175</v>
      </c>
      <c r="E1014" t="s">
        <v>176</v>
      </c>
      <c r="F1014" t="s">
        <v>556</v>
      </c>
      <c r="G1014" t="s">
        <v>557</v>
      </c>
      <c r="H1014">
        <v>1708</v>
      </c>
      <c r="I1014" t="s">
        <v>6591</v>
      </c>
      <c r="J1014">
        <v>14987</v>
      </c>
      <c r="K1014" t="s">
        <v>5254</v>
      </c>
      <c r="L1014" t="s">
        <v>180</v>
      </c>
      <c r="M1014" t="s">
        <v>5123</v>
      </c>
      <c r="N1014" t="s">
        <v>4747</v>
      </c>
      <c r="O1014" t="s">
        <v>1099</v>
      </c>
      <c r="Q1014" t="s">
        <v>1097</v>
      </c>
      <c r="R1014">
        <f>1</f>
        <v>1</v>
      </c>
      <c r="S1014">
        <f>14.6</f>
        <v>14.6</v>
      </c>
      <c r="T1014">
        <f>7.5</f>
        <v>7.5</v>
      </c>
      <c r="U1014">
        <f>466</f>
        <v>466</v>
      </c>
      <c r="X1014">
        <f>0</f>
        <v>0</v>
      </c>
      <c r="Y1014" t="s">
        <v>157</v>
      </c>
      <c r="Z1014">
        <f>0</f>
        <v>0</v>
      </c>
      <c r="AA1014">
        <f>22</f>
        <v>22</v>
      </c>
      <c r="AB1014">
        <f>26</f>
        <v>26</v>
      </c>
      <c r="AD1014">
        <f>0</f>
        <v>0</v>
      </c>
      <c r="AE1014">
        <f>0</f>
        <v>0</v>
      </c>
      <c r="AH1014" t="s">
        <v>157</v>
      </c>
    </row>
    <row r="1015" spans="1:148" x14ac:dyDescent="0.25">
      <c r="A1015" t="s">
        <v>3449</v>
      </c>
      <c r="B1015" t="s">
        <v>148</v>
      </c>
      <c r="C1015" s="1">
        <v>45769</v>
      </c>
      <c r="D1015" t="s">
        <v>175</v>
      </c>
      <c r="E1015" t="s">
        <v>176</v>
      </c>
      <c r="F1015" t="s">
        <v>556</v>
      </c>
      <c r="G1015" t="s">
        <v>557</v>
      </c>
      <c r="H1015">
        <v>1703</v>
      </c>
      <c r="I1015" t="s">
        <v>5893</v>
      </c>
      <c r="J1015">
        <v>19041</v>
      </c>
      <c r="K1015" t="s">
        <v>5254</v>
      </c>
      <c r="L1015" t="s">
        <v>4724</v>
      </c>
      <c r="M1015" t="s">
        <v>6196</v>
      </c>
      <c r="N1015" t="s">
        <v>5071</v>
      </c>
      <c r="O1015" t="s">
        <v>3450</v>
      </c>
      <c r="Q1015" t="s">
        <v>1097</v>
      </c>
      <c r="R1015">
        <f>1</f>
        <v>1</v>
      </c>
      <c r="S1015">
        <f>13.1</f>
        <v>13.1</v>
      </c>
      <c r="T1015">
        <f>7.2</f>
        <v>7.2</v>
      </c>
      <c r="U1015">
        <f>521</f>
        <v>521</v>
      </c>
      <c r="X1015">
        <f>0</f>
        <v>0</v>
      </c>
      <c r="Y1015" t="s">
        <v>157</v>
      </c>
      <c r="Z1015">
        <f>0</f>
        <v>0</v>
      </c>
      <c r="AA1015" t="s">
        <v>158</v>
      </c>
      <c r="AB1015" t="s">
        <v>158</v>
      </c>
      <c r="AD1015">
        <f>0</f>
        <v>0</v>
      </c>
      <c r="AE1015">
        <f>0</f>
        <v>0</v>
      </c>
      <c r="AI1015" t="s">
        <v>238</v>
      </c>
      <c r="AL1015" t="s">
        <v>164</v>
      </c>
      <c r="AM1015" t="s">
        <v>165</v>
      </c>
      <c r="AN1015">
        <f>9.7</f>
        <v>9.6999999999999993</v>
      </c>
      <c r="AO1015">
        <f>0.19</f>
        <v>0.19</v>
      </c>
      <c r="AP1015">
        <f>8.8</f>
        <v>8.8000000000000007</v>
      </c>
      <c r="AQ1015">
        <f>9.1</f>
        <v>9.1</v>
      </c>
      <c r="AR1015" t="s">
        <v>157</v>
      </c>
      <c r="AS1015">
        <f>8.2</f>
        <v>8.1999999999999993</v>
      </c>
      <c r="AY1015">
        <f>2.1</f>
        <v>2.1</v>
      </c>
      <c r="AZ1015" t="s">
        <v>158</v>
      </c>
      <c r="BA1015">
        <f>0.018</f>
        <v>1.7999999999999999E-2</v>
      </c>
      <c r="BB1015" t="s">
        <v>158</v>
      </c>
      <c r="BC1015" t="s">
        <v>166</v>
      </c>
      <c r="BD1015" t="s">
        <v>167</v>
      </c>
      <c r="BE1015">
        <f>0.0023</f>
        <v>2.3E-3</v>
      </c>
      <c r="BF1015" t="s">
        <v>168</v>
      </c>
      <c r="BG1015" t="s">
        <v>167</v>
      </c>
      <c r="BH1015" t="s">
        <v>167</v>
      </c>
      <c r="BK1015">
        <f>0.48</f>
        <v>0.48</v>
      </c>
      <c r="EL1015">
        <f>0.22</f>
        <v>0.22</v>
      </c>
      <c r="EM1015">
        <f>0.29</f>
        <v>0.28999999999999998</v>
      </c>
      <c r="EN1015">
        <f>0.4</f>
        <v>0.4</v>
      </c>
      <c r="EO1015">
        <f>0.51</f>
        <v>0.51</v>
      </c>
      <c r="ER1015">
        <f>1.4</f>
        <v>1.4</v>
      </c>
    </row>
    <row r="1016" spans="1:148" x14ac:dyDescent="0.25">
      <c r="A1016" t="s">
        <v>3451</v>
      </c>
      <c r="B1016" t="s">
        <v>148</v>
      </c>
      <c r="C1016" s="1">
        <v>45769</v>
      </c>
      <c r="D1016" t="s">
        <v>175</v>
      </c>
      <c r="E1016" t="s">
        <v>176</v>
      </c>
      <c r="F1016" t="s">
        <v>556</v>
      </c>
      <c r="G1016" t="s">
        <v>557</v>
      </c>
      <c r="H1016">
        <v>1703</v>
      </c>
      <c r="I1016" t="s">
        <v>5893</v>
      </c>
      <c r="J1016">
        <v>19041</v>
      </c>
      <c r="K1016" t="s">
        <v>5254</v>
      </c>
      <c r="L1016" t="s">
        <v>4724</v>
      </c>
      <c r="M1016" t="s">
        <v>1101</v>
      </c>
      <c r="N1016" t="s">
        <v>4973</v>
      </c>
      <c r="O1016" t="s">
        <v>1102</v>
      </c>
      <c r="Q1016" t="s">
        <v>6440</v>
      </c>
      <c r="R1016">
        <f>1</f>
        <v>1</v>
      </c>
      <c r="S1016">
        <f>13.4</f>
        <v>13.4</v>
      </c>
      <c r="T1016">
        <f>7.2</f>
        <v>7.2</v>
      </c>
      <c r="U1016">
        <f>630</f>
        <v>630</v>
      </c>
      <c r="V1016" t="s">
        <v>207</v>
      </c>
      <c r="X1016">
        <f>0</f>
        <v>0</v>
      </c>
      <c r="Y1016" t="s">
        <v>157</v>
      </c>
      <c r="Z1016">
        <f>0</f>
        <v>0</v>
      </c>
      <c r="AA1016" t="s">
        <v>158</v>
      </c>
      <c r="AB1016" t="s">
        <v>158</v>
      </c>
      <c r="AD1016">
        <f>0</f>
        <v>0</v>
      </c>
      <c r="AE1016">
        <f>0</f>
        <v>0</v>
      </c>
    </row>
    <row r="1017" spans="1:148" x14ac:dyDescent="0.25">
      <c r="A1017" t="s">
        <v>3452</v>
      </c>
      <c r="B1017" t="s">
        <v>148</v>
      </c>
      <c r="C1017" s="1">
        <v>45769</v>
      </c>
      <c r="D1017" t="s">
        <v>175</v>
      </c>
      <c r="E1017" t="s">
        <v>176</v>
      </c>
      <c r="F1017" t="s">
        <v>556</v>
      </c>
      <c r="G1017" t="s">
        <v>557</v>
      </c>
      <c r="H1017">
        <v>1703</v>
      </c>
      <c r="I1017" t="s">
        <v>5893</v>
      </c>
      <c r="J1017">
        <v>19041</v>
      </c>
      <c r="K1017" t="s">
        <v>5254</v>
      </c>
      <c r="L1017" t="s">
        <v>4724</v>
      </c>
      <c r="M1017" t="s">
        <v>1104</v>
      </c>
      <c r="N1017" t="s">
        <v>1105</v>
      </c>
      <c r="O1017" t="s">
        <v>1106</v>
      </c>
      <c r="Q1017" t="s">
        <v>6441</v>
      </c>
      <c r="R1017">
        <f>1</f>
        <v>1</v>
      </c>
      <c r="S1017">
        <f>14.1</f>
        <v>14.1</v>
      </c>
      <c r="T1017">
        <f>7.2</f>
        <v>7.2</v>
      </c>
      <c r="U1017">
        <f>497</f>
        <v>497</v>
      </c>
      <c r="X1017">
        <f>0</f>
        <v>0</v>
      </c>
      <c r="Y1017" t="s">
        <v>157</v>
      </c>
      <c r="Z1017">
        <f>0</f>
        <v>0</v>
      </c>
      <c r="AA1017" t="s">
        <v>158</v>
      </c>
      <c r="AB1017" t="s">
        <v>158</v>
      </c>
      <c r="AD1017">
        <f>0</f>
        <v>0</v>
      </c>
      <c r="AE1017">
        <f>0</f>
        <v>0</v>
      </c>
    </row>
    <row r="1018" spans="1:148" x14ac:dyDescent="0.25">
      <c r="A1018" t="s">
        <v>3453</v>
      </c>
      <c r="B1018" t="s">
        <v>148</v>
      </c>
      <c r="C1018" s="1">
        <v>45769</v>
      </c>
      <c r="D1018" t="s">
        <v>175</v>
      </c>
      <c r="E1018" t="s">
        <v>176</v>
      </c>
      <c r="F1018" t="s">
        <v>556</v>
      </c>
      <c r="G1018" t="s">
        <v>557</v>
      </c>
      <c r="H1018">
        <v>1703</v>
      </c>
      <c r="I1018" t="s">
        <v>5893</v>
      </c>
      <c r="J1018">
        <v>19041</v>
      </c>
      <c r="K1018" t="s">
        <v>5254</v>
      </c>
      <c r="L1018" t="s">
        <v>4724</v>
      </c>
      <c r="M1018" t="s">
        <v>1108</v>
      </c>
      <c r="N1018" t="s">
        <v>1109</v>
      </c>
      <c r="O1018" t="s">
        <v>1110</v>
      </c>
      <c r="Q1018" t="s">
        <v>6442</v>
      </c>
      <c r="R1018">
        <f>1</f>
        <v>1</v>
      </c>
      <c r="S1018">
        <f>13.5</f>
        <v>13.5</v>
      </c>
      <c r="T1018">
        <f>7.5</f>
        <v>7.5</v>
      </c>
      <c r="U1018">
        <f>408</f>
        <v>408</v>
      </c>
      <c r="V1018" t="s">
        <v>207</v>
      </c>
      <c r="X1018">
        <f>0</f>
        <v>0</v>
      </c>
      <c r="Y1018" t="s">
        <v>157</v>
      </c>
      <c r="Z1018">
        <f>0</f>
        <v>0</v>
      </c>
      <c r="AA1018" t="s">
        <v>158</v>
      </c>
      <c r="AB1018" t="s">
        <v>158</v>
      </c>
      <c r="AD1018">
        <f>0</f>
        <v>0</v>
      </c>
      <c r="AE1018">
        <f>0</f>
        <v>0</v>
      </c>
    </row>
    <row r="1019" spans="1:148" x14ac:dyDescent="0.25">
      <c r="A1019" t="s">
        <v>3454</v>
      </c>
      <c r="B1019" t="s">
        <v>148</v>
      </c>
      <c r="C1019" s="1">
        <v>45762</v>
      </c>
      <c r="D1019" t="s">
        <v>175</v>
      </c>
      <c r="E1019" t="s">
        <v>176</v>
      </c>
      <c r="F1019" t="s">
        <v>556</v>
      </c>
      <c r="G1019" t="s">
        <v>557</v>
      </c>
      <c r="H1019">
        <v>1706</v>
      </c>
      <c r="I1019" t="s">
        <v>6592</v>
      </c>
      <c r="J1019">
        <v>17666</v>
      </c>
      <c r="K1019" t="s">
        <v>5254</v>
      </c>
      <c r="L1019" t="s">
        <v>154</v>
      </c>
      <c r="M1019" t="s">
        <v>1112</v>
      </c>
      <c r="N1019" t="s">
        <v>1113</v>
      </c>
      <c r="O1019" t="s">
        <v>1114</v>
      </c>
      <c r="Q1019" t="s">
        <v>6443</v>
      </c>
      <c r="R1019">
        <f>1</f>
        <v>1</v>
      </c>
      <c r="S1019">
        <f>14.6</f>
        <v>14.6</v>
      </c>
      <c r="T1019">
        <f>7.5</f>
        <v>7.5</v>
      </c>
      <c r="U1019">
        <f>431</f>
        <v>431</v>
      </c>
      <c r="X1019">
        <f>0</f>
        <v>0</v>
      </c>
      <c r="Y1019" t="s">
        <v>157</v>
      </c>
      <c r="Z1019">
        <f>0</f>
        <v>0</v>
      </c>
      <c r="AA1019" t="s">
        <v>158</v>
      </c>
      <c r="AB1019" t="s">
        <v>158</v>
      </c>
      <c r="AD1019">
        <f>0</f>
        <v>0</v>
      </c>
      <c r="AE1019">
        <f>0</f>
        <v>0</v>
      </c>
    </row>
    <row r="1020" spans="1:148" x14ac:dyDescent="0.25">
      <c r="A1020" t="s">
        <v>3455</v>
      </c>
      <c r="B1020" t="s">
        <v>148</v>
      </c>
      <c r="C1020" s="1">
        <v>45762</v>
      </c>
      <c r="D1020" t="s">
        <v>175</v>
      </c>
      <c r="E1020" t="s">
        <v>176</v>
      </c>
      <c r="F1020" t="s">
        <v>556</v>
      </c>
      <c r="G1020" t="s">
        <v>557</v>
      </c>
      <c r="H1020">
        <v>1706</v>
      </c>
      <c r="I1020" t="s">
        <v>6592</v>
      </c>
      <c r="J1020">
        <v>17666</v>
      </c>
      <c r="K1020" t="s">
        <v>5254</v>
      </c>
      <c r="L1020" t="s">
        <v>154</v>
      </c>
      <c r="M1020" t="s">
        <v>5894</v>
      </c>
      <c r="N1020" t="s">
        <v>4748</v>
      </c>
      <c r="O1020" t="s">
        <v>1116</v>
      </c>
      <c r="Q1020" t="s">
        <v>6311</v>
      </c>
      <c r="R1020">
        <f>1</f>
        <v>1</v>
      </c>
      <c r="S1020">
        <f>12.7</f>
        <v>12.7</v>
      </c>
      <c r="T1020">
        <f>7.5</f>
        <v>7.5</v>
      </c>
      <c r="U1020">
        <f>428</f>
        <v>428</v>
      </c>
      <c r="V1020" t="s">
        <v>207</v>
      </c>
      <c r="X1020">
        <f>0</f>
        <v>0</v>
      </c>
      <c r="Y1020" t="s">
        <v>157</v>
      </c>
      <c r="Z1020">
        <f>0</f>
        <v>0</v>
      </c>
      <c r="AA1020" t="s">
        <v>158</v>
      </c>
      <c r="AB1020" t="s">
        <v>158</v>
      </c>
      <c r="AD1020">
        <f>0</f>
        <v>0</v>
      </c>
      <c r="AE1020">
        <f>0</f>
        <v>0</v>
      </c>
    </row>
    <row r="1021" spans="1:148" x14ac:dyDescent="0.25">
      <c r="A1021" t="s">
        <v>3456</v>
      </c>
      <c r="B1021" t="s">
        <v>148</v>
      </c>
      <c r="C1021" s="1">
        <v>45762</v>
      </c>
      <c r="D1021" t="s">
        <v>175</v>
      </c>
      <c r="E1021" t="s">
        <v>176</v>
      </c>
      <c r="F1021" t="s">
        <v>556</v>
      </c>
      <c r="G1021" t="s">
        <v>557</v>
      </c>
      <c r="H1021">
        <v>1706</v>
      </c>
      <c r="I1021" t="s">
        <v>6592</v>
      </c>
      <c r="J1021">
        <v>17666</v>
      </c>
      <c r="K1021" t="s">
        <v>5254</v>
      </c>
      <c r="L1021" t="s">
        <v>154</v>
      </c>
      <c r="M1021" t="s">
        <v>1118</v>
      </c>
      <c r="N1021" t="s">
        <v>4749</v>
      </c>
      <c r="O1021" t="s">
        <v>1119</v>
      </c>
      <c r="Q1021" t="s">
        <v>6311</v>
      </c>
      <c r="R1021">
        <f>1</f>
        <v>1</v>
      </c>
      <c r="S1021">
        <f>12.5</f>
        <v>12.5</v>
      </c>
      <c r="T1021">
        <f>7.4</f>
        <v>7.4</v>
      </c>
      <c r="U1021">
        <f>432</f>
        <v>432</v>
      </c>
      <c r="X1021">
        <f>0</f>
        <v>0</v>
      </c>
      <c r="Y1021" t="s">
        <v>157</v>
      </c>
      <c r="Z1021">
        <f>0</f>
        <v>0</v>
      </c>
      <c r="AA1021" t="s">
        <v>158</v>
      </c>
      <c r="AB1021" t="s">
        <v>158</v>
      </c>
      <c r="AD1021">
        <f>0</f>
        <v>0</v>
      </c>
      <c r="AE1021">
        <f>0</f>
        <v>0</v>
      </c>
      <c r="AI1021" t="s">
        <v>238</v>
      </c>
      <c r="AL1021" t="s">
        <v>164</v>
      </c>
      <c r="AM1021" t="s">
        <v>165</v>
      </c>
      <c r="AN1021">
        <f>14</f>
        <v>14</v>
      </c>
      <c r="AO1021">
        <f>0.28</f>
        <v>0.28000000000000003</v>
      </c>
      <c r="AP1021">
        <f>11</f>
        <v>11</v>
      </c>
      <c r="AQ1021">
        <f>7.9</f>
        <v>7.9</v>
      </c>
      <c r="AR1021" t="s">
        <v>157</v>
      </c>
      <c r="AS1021">
        <f>5.4</f>
        <v>5.4</v>
      </c>
      <c r="AY1021" t="s">
        <v>167</v>
      </c>
      <c r="AZ1021" t="s">
        <v>158</v>
      </c>
      <c r="BA1021">
        <f>0.014</f>
        <v>1.4E-2</v>
      </c>
      <c r="BB1021" t="s">
        <v>158</v>
      </c>
      <c r="BC1021" t="s">
        <v>166</v>
      </c>
      <c r="BD1021" t="s">
        <v>167</v>
      </c>
      <c r="BE1021">
        <f>0.0012</f>
        <v>1.1999999999999999E-3</v>
      </c>
      <c r="BF1021" t="s">
        <v>168</v>
      </c>
      <c r="BG1021" t="s">
        <v>167</v>
      </c>
      <c r="BH1021" t="s">
        <v>167</v>
      </c>
      <c r="BK1021">
        <f>0.4</f>
        <v>0.4</v>
      </c>
      <c r="EL1021" t="s">
        <v>157</v>
      </c>
      <c r="EM1021" t="s">
        <v>166</v>
      </c>
      <c r="EN1021" t="s">
        <v>166</v>
      </c>
      <c r="EO1021" t="s">
        <v>166</v>
      </c>
      <c r="ER1021" t="s">
        <v>166</v>
      </c>
    </row>
    <row r="1022" spans="1:148" x14ac:dyDescent="0.25">
      <c r="A1022" t="s">
        <v>3457</v>
      </c>
      <c r="B1022" t="s">
        <v>148</v>
      </c>
      <c r="C1022" s="1">
        <v>45762</v>
      </c>
      <c r="D1022" t="s">
        <v>175</v>
      </c>
      <c r="E1022" t="s">
        <v>176</v>
      </c>
      <c r="F1022" t="s">
        <v>556</v>
      </c>
      <c r="G1022" t="s">
        <v>557</v>
      </c>
      <c r="H1022">
        <v>1706</v>
      </c>
      <c r="I1022" t="s">
        <v>6592</v>
      </c>
      <c r="J1022">
        <v>17666</v>
      </c>
      <c r="K1022" t="s">
        <v>5254</v>
      </c>
      <c r="L1022" t="s">
        <v>154</v>
      </c>
      <c r="M1022" t="s">
        <v>4974</v>
      </c>
      <c r="N1022" t="s">
        <v>1121</v>
      </c>
      <c r="O1022" t="s">
        <v>1122</v>
      </c>
      <c r="Q1022" t="s">
        <v>6311</v>
      </c>
      <c r="R1022">
        <f>1</f>
        <v>1</v>
      </c>
      <c r="S1022">
        <f>13.9</f>
        <v>13.9</v>
      </c>
      <c r="T1022">
        <f>7.5</f>
        <v>7.5</v>
      </c>
      <c r="U1022">
        <f>428</f>
        <v>428</v>
      </c>
      <c r="V1022" t="s">
        <v>207</v>
      </c>
      <c r="X1022">
        <f>0</f>
        <v>0</v>
      </c>
      <c r="Y1022" t="s">
        <v>157</v>
      </c>
      <c r="Z1022">
        <f>0</f>
        <v>0</v>
      </c>
      <c r="AA1022" t="s">
        <v>158</v>
      </c>
      <c r="AB1022" t="s">
        <v>158</v>
      </c>
      <c r="AD1022">
        <f>0</f>
        <v>0</v>
      </c>
      <c r="AE1022">
        <f>0</f>
        <v>0</v>
      </c>
    </row>
    <row r="1023" spans="1:148" x14ac:dyDescent="0.25">
      <c r="A1023" t="s">
        <v>3458</v>
      </c>
      <c r="B1023" t="s">
        <v>148</v>
      </c>
      <c r="C1023" s="1">
        <v>45762</v>
      </c>
      <c r="D1023" t="s">
        <v>175</v>
      </c>
      <c r="E1023" t="s">
        <v>176</v>
      </c>
      <c r="F1023" t="s">
        <v>556</v>
      </c>
      <c r="G1023" t="s">
        <v>557</v>
      </c>
      <c r="H1023">
        <v>1706</v>
      </c>
      <c r="I1023" t="s">
        <v>6592</v>
      </c>
      <c r="J1023">
        <v>17666</v>
      </c>
      <c r="K1023" t="s">
        <v>5254</v>
      </c>
      <c r="L1023" t="s">
        <v>154</v>
      </c>
      <c r="M1023" t="s">
        <v>5895</v>
      </c>
      <c r="N1023" t="s">
        <v>4750</v>
      </c>
      <c r="O1023" t="s">
        <v>1124</v>
      </c>
      <c r="Q1023" t="s">
        <v>6312</v>
      </c>
      <c r="R1023">
        <f>1</f>
        <v>1</v>
      </c>
      <c r="S1023">
        <f>14.2</f>
        <v>14.2</v>
      </c>
      <c r="T1023">
        <f>7.5</f>
        <v>7.5</v>
      </c>
      <c r="U1023">
        <f>439</f>
        <v>439</v>
      </c>
      <c r="X1023">
        <f>0</f>
        <v>0</v>
      </c>
      <c r="Y1023" t="s">
        <v>157</v>
      </c>
      <c r="Z1023">
        <f>0</f>
        <v>0</v>
      </c>
      <c r="AA1023" t="s">
        <v>158</v>
      </c>
      <c r="AB1023" t="s">
        <v>158</v>
      </c>
      <c r="AD1023">
        <f>0</f>
        <v>0</v>
      </c>
      <c r="AE1023">
        <f>0</f>
        <v>0</v>
      </c>
    </row>
    <row r="1024" spans="1:148" x14ac:dyDescent="0.25">
      <c r="A1024" t="s">
        <v>3459</v>
      </c>
      <c r="B1024" t="s">
        <v>148</v>
      </c>
      <c r="C1024" s="1">
        <v>45786</v>
      </c>
      <c r="D1024" t="s">
        <v>175</v>
      </c>
      <c r="E1024" t="s">
        <v>176</v>
      </c>
      <c r="F1024" t="s">
        <v>556</v>
      </c>
      <c r="G1024" t="s">
        <v>557</v>
      </c>
      <c r="H1024">
        <v>1708</v>
      </c>
      <c r="I1024" t="s">
        <v>6591</v>
      </c>
      <c r="J1024">
        <v>14987</v>
      </c>
      <c r="K1024" t="s">
        <v>5254</v>
      </c>
      <c r="L1024" t="s">
        <v>180</v>
      </c>
      <c r="M1024" t="s">
        <v>5896</v>
      </c>
      <c r="N1024" t="s">
        <v>1126</v>
      </c>
      <c r="O1024" t="s">
        <v>1127</v>
      </c>
      <c r="Q1024" t="s">
        <v>6444</v>
      </c>
      <c r="R1024">
        <f>1</f>
        <v>1</v>
      </c>
      <c r="S1024">
        <f>13.2</f>
        <v>13.2</v>
      </c>
      <c r="T1024">
        <f>7.6</f>
        <v>7.6</v>
      </c>
      <c r="U1024">
        <f>531</f>
        <v>531</v>
      </c>
      <c r="X1024">
        <f>0</f>
        <v>0</v>
      </c>
      <c r="Y1024" t="s">
        <v>157</v>
      </c>
      <c r="Z1024">
        <f>0</f>
        <v>0</v>
      </c>
      <c r="AA1024" t="s">
        <v>158</v>
      </c>
      <c r="AB1024" t="s">
        <v>158</v>
      </c>
      <c r="AD1024">
        <f>0</f>
        <v>0</v>
      </c>
      <c r="AE1024">
        <f>0</f>
        <v>0</v>
      </c>
      <c r="AH1024" t="s">
        <v>157</v>
      </c>
    </row>
    <row r="1025" spans="1:149" x14ac:dyDescent="0.25">
      <c r="A1025" t="s">
        <v>3460</v>
      </c>
      <c r="B1025" t="s">
        <v>148</v>
      </c>
      <c r="C1025" s="1">
        <v>45785</v>
      </c>
      <c r="D1025" t="s">
        <v>175</v>
      </c>
      <c r="E1025" t="s">
        <v>176</v>
      </c>
      <c r="F1025" t="s">
        <v>556</v>
      </c>
      <c r="G1025" t="s">
        <v>557</v>
      </c>
      <c r="H1025">
        <v>1708</v>
      </c>
      <c r="I1025" t="s">
        <v>6591</v>
      </c>
      <c r="J1025">
        <v>14987</v>
      </c>
      <c r="K1025" t="s">
        <v>5254</v>
      </c>
      <c r="L1025" t="s">
        <v>180</v>
      </c>
      <c r="M1025" t="s">
        <v>5897</v>
      </c>
      <c r="N1025" t="s">
        <v>1129</v>
      </c>
      <c r="O1025" t="s">
        <v>1130</v>
      </c>
      <c r="R1025">
        <f>1</f>
        <v>1</v>
      </c>
      <c r="S1025">
        <f>15.3</f>
        <v>15.3</v>
      </c>
      <c r="T1025">
        <f>7.4</f>
        <v>7.4</v>
      </c>
      <c r="U1025">
        <f>438</f>
        <v>438</v>
      </c>
      <c r="X1025">
        <f>0</f>
        <v>0</v>
      </c>
      <c r="Y1025" t="s">
        <v>157</v>
      </c>
      <c r="Z1025">
        <f>0</f>
        <v>0</v>
      </c>
      <c r="AA1025" t="s">
        <v>158</v>
      </c>
      <c r="AB1025" t="s">
        <v>158</v>
      </c>
      <c r="AD1025">
        <f>0</f>
        <v>0</v>
      </c>
      <c r="AE1025">
        <f>0</f>
        <v>0</v>
      </c>
      <c r="AH1025" t="s">
        <v>157</v>
      </c>
    </row>
    <row r="1026" spans="1:149" x14ac:dyDescent="0.25">
      <c r="A1026" t="s">
        <v>3461</v>
      </c>
      <c r="B1026" t="s">
        <v>148</v>
      </c>
      <c r="C1026" s="1">
        <v>45785</v>
      </c>
      <c r="D1026" t="s">
        <v>175</v>
      </c>
      <c r="E1026" t="s">
        <v>176</v>
      </c>
      <c r="F1026" t="s">
        <v>556</v>
      </c>
      <c r="G1026" t="s">
        <v>557</v>
      </c>
      <c r="H1026">
        <v>1708</v>
      </c>
      <c r="I1026" t="s">
        <v>6591</v>
      </c>
      <c r="J1026">
        <v>14987</v>
      </c>
      <c r="K1026" t="s">
        <v>5254</v>
      </c>
      <c r="L1026" t="s">
        <v>180</v>
      </c>
      <c r="M1026" t="s">
        <v>5124</v>
      </c>
      <c r="N1026" t="s">
        <v>5898</v>
      </c>
      <c r="O1026" t="s">
        <v>1132</v>
      </c>
      <c r="R1026">
        <f>1</f>
        <v>1</v>
      </c>
      <c r="S1026">
        <f>14.5</f>
        <v>14.5</v>
      </c>
      <c r="T1026">
        <f>7.4</f>
        <v>7.4</v>
      </c>
      <c r="U1026">
        <f>441</f>
        <v>441</v>
      </c>
      <c r="X1026">
        <f>0</f>
        <v>0</v>
      </c>
      <c r="Y1026" t="s">
        <v>157</v>
      </c>
      <c r="Z1026">
        <f>0</f>
        <v>0</v>
      </c>
      <c r="AA1026" t="s">
        <v>158</v>
      </c>
      <c r="AB1026" t="s">
        <v>158</v>
      </c>
      <c r="AD1026">
        <f>0</f>
        <v>0</v>
      </c>
      <c r="AE1026">
        <f>0</f>
        <v>0</v>
      </c>
      <c r="AH1026" t="s">
        <v>157</v>
      </c>
    </row>
    <row r="1027" spans="1:149" x14ac:dyDescent="0.25">
      <c r="A1027" t="s">
        <v>3462</v>
      </c>
      <c r="B1027" t="s">
        <v>148</v>
      </c>
      <c r="C1027" s="1">
        <v>45785</v>
      </c>
      <c r="D1027" t="s">
        <v>175</v>
      </c>
      <c r="E1027" t="s">
        <v>176</v>
      </c>
      <c r="F1027" t="s">
        <v>556</v>
      </c>
      <c r="G1027" t="s">
        <v>557</v>
      </c>
      <c r="H1027">
        <v>1708</v>
      </c>
      <c r="I1027" t="s">
        <v>6591</v>
      </c>
      <c r="J1027">
        <v>14987</v>
      </c>
      <c r="K1027" t="s">
        <v>5254</v>
      </c>
      <c r="L1027" t="s">
        <v>180</v>
      </c>
      <c r="M1027" t="s">
        <v>5382</v>
      </c>
      <c r="N1027" t="s">
        <v>4751</v>
      </c>
      <c r="O1027" t="s">
        <v>1134</v>
      </c>
      <c r="R1027">
        <f>1</f>
        <v>1</v>
      </c>
      <c r="S1027">
        <f>14.1</f>
        <v>14.1</v>
      </c>
      <c r="T1027">
        <f>7.4</f>
        <v>7.4</v>
      </c>
      <c r="U1027">
        <f>440</f>
        <v>440</v>
      </c>
      <c r="X1027">
        <f>0</f>
        <v>0</v>
      </c>
      <c r="Y1027" t="s">
        <v>157</v>
      </c>
      <c r="Z1027">
        <f>0</f>
        <v>0</v>
      </c>
      <c r="AA1027" t="s">
        <v>158</v>
      </c>
      <c r="AB1027" t="s">
        <v>158</v>
      </c>
      <c r="AD1027">
        <f>0</f>
        <v>0</v>
      </c>
      <c r="AE1027">
        <f>0</f>
        <v>0</v>
      </c>
      <c r="AH1027" t="s">
        <v>157</v>
      </c>
    </row>
    <row r="1028" spans="1:149" x14ac:dyDescent="0.25">
      <c r="A1028" t="s">
        <v>3463</v>
      </c>
      <c r="B1028" t="s">
        <v>148</v>
      </c>
      <c r="C1028" s="1">
        <v>45785</v>
      </c>
      <c r="D1028" t="s">
        <v>175</v>
      </c>
      <c r="E1028" t="s">
        <v>176</v>
      </c>
      <c r="F1028" t="s">
        <v>556</v>
      </c>
      <c r="G1028" t="s">
        <v>557</v>
      </c>
      <c r="H1028">
        <v>1708</v>
      </c>
      <c r="I1028" t="s">
        <v>6591</v>
      </c>
      <c r="J1028">
        <v>14987</v>
      </c>
      <c r="K1028" t="s">
        <v>5254</v>
      </c>
      <c r="L1028" t="s">
        <v>180</v>
      </c>
      <c r="M1028" t="s">
        <v>1136</v>
      </c>
      <c r="N1028" t="s">
        <v>1137</v>
      </c>
      <c r="O1028" t="s">
        <v>1138</v>
      </c>
      <c r="R1028">
        <f>1</f>
        <v>1</v>
      </c>
      <c r="S1028">
        <f>15.4</f>
        <v>15.4</v>
      </c>
      <c r="T1028">
        <f>7.4</f>
        <v>7.4</v>
      </c>
      <c r="U1028">
        <f>436</f>
        <v>436</v>
      </c>
      <c r="X1028">
        <f>0</f>
        <v>0</v>
      </c>
      <c r="Y1028" t="s">
        <v>157</v>
      </c>
      <c r="Z1028">
        <f>0</f>
        <v>0</v>
      </c>
      <c r="AA1028" t="s">
        <v>158</v>
      </c>
      <c r="AB1028" t="s">
        <v>158</v>
      </c>
      <c r="AD1028">
        <f>0</f>
        <v>0</v>
      </c>
      <c r="AE1028">
        <f>0</f>
        <v>0</v>
      </c>
      <c r="AG1028" t="s">
        <v>249</v>
      </c>
      <c r="AH1028" t="s">
        <v>157</v>
      </c>
      <c r="AI1028" t="s">
        <v>238</v>
      </c>
      <c r="AL1028" t="s">
        <v>164</v>
      </c>
      <c r="AM1028" t="s">
        <v>165</v>
      </c>
      <c r="AN1028">
        <f>12</f>
        <v>12</v>
      </c>
      <c r="AO1028">
        <f>0.24</f>
        <v>0.24</v>
      </c>
      <c r="AP1028">
        <f>11</f>
        <v>11</v>
      </c>
      <c r="AQ1028">
        <f>7.8</f>
        <v>7.8</v>
      </c>
      <c r="AR1028" t="s">
        <v>157</v>
      </c>
      <c r="AS1028">
        <f>5.3</f>
        <v>5.3</v>
      </c>
      <c r="AT1028" t="s">
        <v>250</v>
      </c>
      <c r="AY1028" t="s">
        <v>167</v>
      </c>
      <c r="AZ1028" t="s">
        <v>158</v>
      </c>
      <c r="BA1028">
        <f>0.015</f>
        <v>1.4999999999999999E-2</v>
      </c>
      <c r="BB1028" t="s">
        <v>158</v>
      </c>
      <c r="BC1028" t="s">
        <v>166</v>
      </c>
      <c r="BD1028" t="s">
        <v>167</v>
      </c>
      <c r="BE1028">
        <f>0.0021</f>
        <v>2.0999999999999999E-3</v>
      </c>
      <c r="BF1028" t="s">
        <v>168</v>
      </c>
      <c r="BG1028">
        <f>2.2</f>
        <v>2.2000000000000002</v>
      </c>
      <c r="BH1028" t="s">
        <v>167</v>
      </c>
      <c r="BK1028">
        <f>0.39</f>
        <v>0.39</v>
      </c>
      <c r="EP1028">
        <f>0.12</f>
        <v>0.12</v>
      </c>
      <c r="EQ1028" t="s">
        <v>157</v>
      </c>
      <c r="ES1028" t="s">
        <v>166</v>
      </c>
    </row>
    <row r="1029" spans="1:149" x14ac:dyDescent="0.25">
      <c r="A1029" t="s">
        <v>3464</v>
      </c>
      <c r="B1029" t="s">
        <v>148</v>
      </c>
      <c r="C1029" s="1">
        <v>45786</v>
      </c>
      <c r="D1029" t="s">
        <v>175</v>
      </c>
      <c r="E1029" t="s">
        <v>176</v>
      </c>
      <c r="F1029" t="s">
        <v>556</v>
      </c>
      <c r="G1029" t="s">
        <v>557</v>
      </c>
      <c r="H1029">
        <v>1708</v>
      </c>
      <c r="I1029" t="s">
        <v>6591</v>
      </c>
      <c r="J1029">
        <v>14987</v>
      </c>
      <c r="K1029" t="s">
        <v>5254</v>
      </c>
      <c r="L1029" t="s">
        <v>180</v>
      </c>
      <c r="M1029" t="s">
        <v>4752</v>
      </c>
      <c r="N1029" t="s">
        <v>1140</v>
      </c>
      <c r="O1029" t="s">
        <v>1141</v>
      </c>
      <c r="Q1029" t="s">
        <v>1097</v>
      </c>
      <c r="R1029">
        <f>1</f>
        <v>1</v>
      </c>
      <c r="S1029">
        <f>15.1</f>
        <v>15.1</v>
      </c>
      <c r="T1029">
        <f>7.5</f>
        <v>7.5</v>
      </c>
      <c r="U1029">
        <f>540</f>
        <v>540</v>
      </c>
      <c r="X1029">
        <f>0</f>
        <v>0</v>
      </c>
      <c r="Y1029" t="s">
        <v>157</v>
      </c>
      <c r="Z1029">
        <f>0</f>
        <v>0</v>
      </c>
      <c r="AA1029" t="s">
        <v>158</v>
      </c>
      <c r="AB1029" t="s">
        <v>158</v>
      </c>
      <c r="AD1029">
        <f>0</f>
        <v>0</v>
      </c>
      <c r="AE1029">
        <f>0</f>
        <v>0</v>
      </c>
      <c r="AH1029" t="s">
        <v>157</v>
      </c>
    </row>
    <row r="1030" spans="1:149" x14ac:dyDescent="0.25">
      <c r="A1030" t="s">
        <v>3465</v>
      </c>
      <c r="B1030" t="s">
        <v>148</v>
      </c>
      <c r="C1030" s="1">
        <v>45762</v>
      </c>
      <c r="D1030" t="s">
        <v>175</v>
      </c>
      <c r="E1030" t="s">
        <v>176</v>
      </c>
      <c r="F1030" t="s">
        <v>556</v>
      </c>
      <c r="G1030" t="s">
        <v>557</v>
      </c>
      <c r="H1030">
        <v>1706</v>
      </c>
      <c r="I1030" t="s">
        <v>6592</v>
      </c>
      <c r="J1030">
        <v>17666</v>
      </c>
      <c r="K1030" t="s">
        <v>5254</v>
      </c>
      <c r="L1030" t="s">
        <v>154</v>
      </c>
      <c r="M1030" t="s">
        <v>1143</v>
      </c>
      <c r="N1030" t="s">
        <v>4975</v>
      </c>
      <c r="O1030" t="s">
        <v>1144</v>
      </c>
      <c r="Q1030" t="s">
        <v>6311</v>
      </c>
      <c r="R1030">
        <f>1</f>
        <v>1</v>
      </c>
      <c r="S1030">
        <f>13.8</f>
        <v>13.8</v>
      </c>
      <c r="T1030">
        <f>7.4</f>
        <v>7.4</v>
      </c>
      <c r="U1030">
        <f>434</f>
        <v>434</v>
      </c>
      <c r="V1030" t="s">
        <v>207</v>
      </c>
      <c r="X1030">
        <f>0</f>
        <v>0</v>
      </c>
      <c r="Y1030" t="s">
        <v>157</v>
      </c>
      <c r="Z1030">
        <f>0</f>
        <v>0</v>
      </c>
      <c r="AA1030" t="s">
        <v>158</v>
      </c>
      <c r="AB1030" t="s">
        <v>158</v>
      </c>
      <c r="AD1030">
        <f>0</f>
        <v>0</v>
      </c>
      <c r="AE1030">
        <f>0</f>
        <v>0</v>
      </c>
    </row>
    <row r="1031" spans="1:149" x14ac:dyDescent="0.25">
      <c r="A1031" t="s">
        <v>3466</v>
      </c>
      <c r="B1031" t="s">
        <v>148</v>
      </c>
      <c r="C1031" s="1">
        <v>45762</v>
      </c>
      <c r="D1031" t="s">
        <v>175</v>
      </c>
      <c r="E1031" t="s">
        <v>176</v>
      </c>
      <c r="F1031" t="s">
        <v>556</v>
      </c>
      <c r="G1031" t="s">
        <v>557</v>
      </c>
      <c r="H1031">
        <v>1706</v>
      </c>
      <c r="I1031" t="s">
        <v>6592</v>
      </c>
      <c r="J1031">
        <v>17666</v>
      </c>
      <c r="K1031" t="s">
        <v>5254</v>
      </c>
      <c r="L1031" t="s">
        <v>154</v>
      </c>
      <c r="M1031" t="s">
        <v>3467</v>
      </c>
      <c r="N1031" t="s">
        <v>6197</v>
      </c>
      <c r="O1031" t="s">
        <v>3468</v>
      </c>
      <c r="Q1031" t="s">
        <v>6445</v>
      </c>
      <c r="R1031">
        <f>1</f>
        <v>1</v>
      </c>
      <c r="S1031">
        <f>12.4</f>
        <v>12.4</v>
      </c>
      <c r="T1031">
        <f>7.5</f>
        <v>7.5</v>
      </c>
      <c r="U1031">
        <f>451</f>
        <v>451</v>
      </c>
      <c r="X1031">
        <f>0</f>
        <v>0</v>
      </c>
      <c r="Y1031" t="s">
        <v>157</v>
      </c>
      <c r="Z1031">
        <f>0</f>
        <v>0</v>
      </c>
      <c r="AA1031" t="s">
        <v>158</v>
      </c>
      <c r="AB1031" t="s">
        <v>158</v>
      </c>
      <c r="AD1031">
        <f>0</f>
        <v>0</v>
      </c>
      <c r="AE1031">
        <f>0</f>
        <v>0</v>
      </c>
    </row>
    <row r="1032" spans="1:149" x14ac:dyDescent="0.25">
      <c r="A1032" t="s">
        <v>3469</v>
      </c>
      <c r="B1032" t="s">
        <v>148</v>
      </c>
      <c r="C1032" s="1">
        <v>45762</v>
      </c>
      <c r="D1032" t="s">
        <v>175</v>
      </c>
      <c r="E1032" t="s">
        <v>176</v>
      </c>
      <c r="F1032" t="s">
        <v>556</v>
      </c>
      <c r="G1032" t="s">
        <v>557</v>
      </c>
      <c r="H1032">
        <v>1706</v>
      </c>
      <c r="I1032" t="s">
        <v>6592</v>
      </c>
      <c r="J1032">
        <v>17666</v>
      </c>
      <c r="K1032" t="s">
        <v>5254</v>
      </c>
      <c r="L1032" t="s">
        <v>154</v>
      </c>
      <c r="M1032" t="s">
        <v>6198</v>
      </c>
      <c r="N1032" t="s">
        <v>6199</v>
      </c>
      <c r="O1032" t="s">
        <v>3470</v>
      </c>
      <c r="Q1032" t="s">
        <v>6446</v>
      </c>
      <c r="R1032">
        <f>1</f>
        <v>1</v>
      </c>
      <c r="S1032">
        <f>12.5</f>
        <v>12.5</v>
      </c>
      <c r="T1032">
        <f>7.5</f>
        <v>7.5</v>
      </c>
      <c r="U1032">
        <f>446</f>
        <v>446</v>
      </c>
      <c r="V1032" t="s">
        <v>207</v>
      </c>
      <c r="X1032">
        <f>0</f>
        <v>0</v>
      </c>
      <c r="Y1032" t="s">
        <v>157</v>
      </c>
      <c r="Z1032">
        <f>0</f>
        <v>0</v>
      </c>
      <c r="AA1032" t="s">
        <v>158</v>
      </c>
      <c r="AB1032" t="s">
        <v>158</v>
      </c>
      <c r="AD1032">
        <f>0</f>
        <v>0</v>
      </c>
      <c r="AE1032">
        <f>0</f>
        <v>0</v>
      </c>
      <c r="AI1032" t="s">
        <v>238</v>
      </c>
      <c r="AL1032" t="s">
        <v>164</v>
      </c>
      <c r="AM1032" t="s">
        <v>165</v>
      </c>
      <c r="AN1032">
        <f>14</f>
        <v>14</v>
      </c>
      <c r="AO1032">
        <f>0.28</f>
        <v>0.28000000000000003</v>
      </c>
      <c r="AP1032">
        <f>11</f>
        <v>11</v>
      </c>
      <c r="AQ1032">
        <f>9.6</f>
        <v>9.6</v>
      </c>
      <c r="AR1032" t="s">
        <v>157</v>
      </c>
      <c r="AS1032">
        <f>6.1</f>
        <v>6.1</v>
      </c>
      <c r="AY1032" t="s">
        <v>167</v>
      </c>
      <c r="AZ1032" t="s">
        <v>158</v>
      </c>
      <c r="BA1032">
        <f>0.015</f>
        <v>1.4999999999999999E-2</v>
      </c>
      <c r="BB1032" t="s">
        <v>158</v>
      </c>
      <c r="BC1032" t="s">
        <v>166</v>
      </c>
      <c r="BD1032" t="s">
        <v>167</v>
      </c>
      <c r="BE1032">
        <f>0.0015</f>
        <v>1.5E-3</v>
      </c>
      <c r="BF1032" t="s">
        <v>168</v>
      </c>
      <c r="BG1032" t="s">
        <v>167</v>
      </c>
      <c r="BH1032" t="s">
        <v>167</v>
      </c>
      <c r="BK1032">
        <f>0.43</f>
        <v>0.43</v>
      </c>
      <c r="BL1032" t="s">
        <v>168</v>
      </c>
      <c r="BM1032" t="s">
        <v>168</v>
      </c>
      <c r="BN1032" t="s">
        <v>168</v>
      </c>
      <c r="BO1032" t="s">
        <v>168</v>
      </c>
      <c r="BP1032" t="s">
        <v>168</v>
      </c>
      <c r="BQ1032" t="s">
        <v>168</v>
      </c>
      <c r="BR1032" t="s">
        <v>168</v>
      </c>
      <c r="BS1032" t="s">
        <v>168</v>
      </c>
      <c r="BT1032" t="s">
        <v>209</v>
      </c>
      <c r="BU1032" t="s">
        <v>168</v>
      </c>
      <c r="BV1032" t="s">
        <v>209</v>
      </c>
      <c r="BW1032" t="s">
        <v>209</v>
      </c>
      <c r="BX1032" t="s">
        <v>209</v>
      </c>
      <c r="BY1032" t="s">
        <v>209</v>
      </c>
      <c r="BZ1032" t="s">
        <v>216</v>
      </c>
      <c r="CA1032" t="s">
        <v>216</v>
      </c>
      <c r="CB1032" t="s">
        <v>168</v>
      </c>
      <c r="CC1032" t="s">
        <v>168</v>
      </c>
      <c r="CD1032" t="s">
        <v>216</v>
      </c>
      <c r="CE1032" t="s">
        <v>209</v>
      </c>
      <c r="CF1032" t="s">
        <v>168</v>
      </c>
      <c r="CG1032" t="s">
        <v>168</v>
      </c>
      <c r="CH1032" t="s">
        <v>165</v>
      </c>
      <c r="CI1032" t="s">
        <v>216</v>
      </c>
      <c r="CJ1032" t="s">
        <v>216</v>
      </c>
      <c r="CK1032" t="s">
        <v>216</v>
      </c>
      <c r="CL1032" t="s">
        <v>216</v>
      </c>
      <c r="CM1032" t="s">
        <v>216</v>
      </c>
      <c r="CN1032" t="s">
        <v>216</v>
      </c>
      <c r="CO1032" t="s">
        <v>216</v>
      </c>
      <c r="CP1032" t="s">
        <v>216</v>
      </c>
      <c r="CQ1032" t="s">
        <v>216</v>
      </c>
      <c r="CR1032" t="s">
        <v>216</v>
      </c>
      <c r="CS1032" t="s">
        <v>216</v>
      </c>
      <c r="CT1032" t="s">
        <v>216</v>
      </c>
      <c r="CU1032" t="s">
        <v>216</v>
      </c>
      <c r="CV1032" t="s">
        <v>216</v>
      </c>
      <c r="CW1032" t="s">
        <v>216</v>
      </c>
      <c r="CX1032" t="s">
        <v>216</v>
      </c>
      <c r="CY1032" t="s">
        <v>216</v>
      </c>
      <c r="CZ1032" t="s">
        <v>216</v>
      </c>
      <c r="DA1032" t="s">
        <v>168</v>
      </c>
      <c r="DB1032" t="s">
        <v>216</v>
      </c>
      <c r="DC1032" t="s">
        <v>216</v>
      </c>
      <c r="DD1032" t="s">
        <v>216</v>
      </c>
      <c r="DE1032" t="s">
        <v>168</v>
      </c>
      <c r="DF1032" t="s">
        <v>168</v>
      </c>
      <c r="DG1032" t="s">
        <v>216</v>
      </c>
      <c r="DH1032" t="s">
        <v>216</v>
      </c>
      <c r="DI1032" t="s">
        <v>216</v>
      </c>
      <c r="DJ1032" t="s">
        <v>216</v>
      </c>
      <c r="DK1032" t="s">
        <v>168</v>
      </c>
      <c r="DL1032" t="s">
        <v>216</v>
      </c>
      <c r="DM1032" t="s">
        <v>216</v>
      </c>
      <c r="DN1032" t="s">
        <v>216</v>
      </c>
      <c r="DO1032" t="s">
        <v>216</v>
      </c>
      <c r="DP1032" t="s">
        <v>168</v>
      </c>
      <c r="DQ1032" t="s">
        <v>216</v>
      </c>
      <c r="DR1032" t="s">
        <v>168</v>
      </c>
      <c r="DS1032" t="s">
        <v>168</v>
      </c>
      <c r="DT1032" t="s">
        <v>168</v>
      </c>
      <c r="DU1032" t="s">
        <v>168</v>
      </c>
      <c r="DV1032" t="s">
        <v>168</v>
      </c>
      <c r="DW1032" t="s">
        <v>168</v>
      </c>
      <c r="DX1032" t="s">
        <v>168</v>
      </c>
      <c r="DY1032" t="s">
        <v>168</v>
      </c>
      <c r="DZ1032" t="s">
        <v>209</v>
      </c>
      <c r="EA1032" t="s">
        <v>216</v>
      </c>
      <c r="EB1032" t="s">
        <v>168</v>
      </c>
      <c r="EC1032" t="s">
        <v>168</v>
      </c>
      <c r="ED1032" t="s">
        <v>209</v>
      </c>
      <c r="EE1032" t="s">
        <v>168</v>
      </c>
      <c r="EL1032" t="s">
        <v>157</v>
      </c>
      <c r="EM1032" t="s">
        <v>166</v>
      </c>
      <c r="EN1032" t="s">
        <v>166</v>
      </c>
      <c r="EO1032" t="s">
        <v>166</v>
      </c>
      <c r="EP1032" t="s">
        <v>157</v>
      </c>
      <c r="EQ1032" t="s">
        <v>157</v>
      </c>
      <c r="ER1032" t="s">
        <v>166</v>
      </c>
      <c r="ES1032" t="s">
        <v>166</v>
      </c>
    </row>
    <row r="1033" spans="1:149" x14ac:dyDescent="0.25">
      <c r="A1033" t="s">
        <v>3471</v>
      </c>
      <c r="B1033" t="s">
        <v>148</v>
      </c>
      <c r="C1033" s="1">
        <v>45782</v>
      </c>
      <c r="D1033" t="s">
        <v>189</v>
      </c>
      <c r="E1033" t="s">
        <v>284</v>
      </c>
      <c r="F1033" t="s">
        <v>665</v>
      </c>
      <c r="G1033" t="s">
        <v>666</v>
      </c>
      <c r="H1033">
        <v>193</v>
      </c>
      <c r="I1033" t="s">
        <v>666</v>
      </c>
      <c r="J1033">
        <v>10226</v>
      </c>
      <c r="K1033" t="s">
        <v>5257</v>
      </c>
      <c r="L1033" t="s">
        <v>387</v>
      </c>
      <c r="M1033" t="s">
        <v>5904</v>
      </c>
      <c r="N1033" t="s">
        <v>5905</v>
      </c>
      <c r="O1033" t="s">
        <v>1182</v>
      </c>
      <c r="R1033">
        <f>1</f>
        <v>1</v>
      </c>
      <c r="S1033">
        <f>15.6</f>
        <v>15.6</v>
      </c>
      <c r="T1033">
        <f>8</f>
        <v>8</v>
      </c>
      <c r="U1033">
        <f>343</f>
        <v>343</v>
      </c>
      <c r="V1033" t="s">
        <v>1723</v>
      </c>
      <c r="X1033">
        <f>0</f>
        <v>0</v>
      </c>
      <c r="Y1033">
        <f>0.13</f>
        <v>0.13</v>
      </c>
      <c r="Z1033">
        <f>0</f>
        <v>0</v>
      </c>
      <c r="AA1033">
        <f>0</f>
        <v>0</v>
      </c>
      <c r="AB1033">
        <f>2</f>
        <v>2</v>
      </c>
      <c r="AC1033">
        <f>0</f>
        <v>0</v>
      </c>
      <c r="AD1033">
        <f>0</f>
        <v>0</v>
      </c>
      <c r="AE1033">
        <f>0</f>
        <v>0</v>
      </c>
      <c r="AH1033" t="s">
        <v>157</v>
      </c>
    </row>
    <row r="1034" spans="1:149" x14ac:dyDescent="0.25">
      <c r="A1034" t="s">
        <v>3472</v>
      </c>
      <c r="B1034" t="s">
        <v>148</v>
      </c>
      <c r="C1034" s="1">
        <v>45770</v>
      </c>
      <c r="D1034" t="s">
        <v>222</v>
      </c>
      <c r="E1034" t="s">
        <v>223</v>
      </c>
      <c r="F1034" t="s">
        <v>224</v>
      </c>
      <c r="G1034" t="s">
        <v>229</v>
      </c>
      <c r="H1034">
        <v>243</v>
      </c>
      <c r="I1034" t="s">
        <v>230</v>
      </c>
      <c r="J1034">
        <v>5553</v>
      </c>
      <c r="K1034" t="s">
        <v>5257</v>
      </c>
      <c r="L1034" t="s">
        <v>4937</v>
      </c>
      <c r="M1034" t="s">
        <v>5773</v>
      </c>
      <c r="N1034" t="s">
        <v>231</v>
      </c>
      <c r="O1034" t="s">
        <v>232</v>
      </c>
      <c r="Q1034" t="s">
        <v>6299</v>
      </c>
      <c r="R1034">
        <f>1</f>
        <v>1</v>
      </c>
      <c r="S1034">
        <f>13.3</f>
        <v>13.3</v>
      </c>
      <c r="T1034">
        <f>8.1</f>
        <v>8.1</v>
      </c>
      <c r="U1034">
        <f>215</f>
        <v>215</v>
      </c>
      <c r="V1034">
        <f>0.16</f>
        <v>0.16</v>
      </c>
      <c r="X1034">
        <f>1</f>
        <v>1</v>
      </c>
      <c r="Y1034">
        <f>0.13</f>
        <v>0.13</v>
      </c>
      <c r="Z1034">
        <f>0</f>
        <v>0</v>
      </c>
      <c r="AA1034">
        <f>0</f>
        <v>0</v>
      </c>
      <c r="AB1034">
        <f>0</f>
        <v>0</v>
      </c>
      <c r="AC1034">
        <f>0</f>
        <v>0</v>
      </c>
      <c r="AD1034">
        <f>0</f>
        <v>0</v>
      </c>
      <c r="AE1034">
        <f>0</f>
        <v>0</v>
      </c>
      <c r="AH1034" t="s">
        <v>166</v>
      </c>
      <c r="BB1034">
        <f>40</f>
        <v>40</v>
      </c>
    </row>
    <row r="1035" spans="1:149" x14ac:dyDescent="0.25">
      <c r="A1035" t="s">
        <v>3473</v>
      </c>
      <c r="B1035" t="s">
        <v>148</v>
      </c>
      <c r="C1035" s="1">
        <v>45887</v>
      </c>
      <c r="D1035" t="s">
        <v>222</v>
      </c>
      <c r="E1035" t="s">
        <v>223</v>
      </c>
      <c r="F1035" t="s">
        <v>4938</v>
      </c>
      <c r="G1035" t="s">
        <v>234</v>
      </c>
      <c r="H1035">
        <v>377</v>
      </c>
      <c r="I1035" t="s">
        <v>234</v>
      </c>
      <c r="J1035">
        <v>6423</v>
      </c>
      <c r="K1035" t="s">
        <v>5257</v>
      </c>
      <c r="L1035" t="s">
        <v>4939</v>
      </c>
      <c r="M1035" t="s">
        <v>5259</v>
      </c>
      <c r="N1035" t="s">
        <v>235</v>
      </c>
      <c r="O1035" t="s">
        <v>236</v>
      </c>
      <c r="Q1035" t="s">
        <v>6447</v>
      </c>
      <c r="R1035">
        <f>1</f>
        <v>1</v>
      </c>
      <c r="S1035">
        <f>14.7</f>
        <v>14.7</v>
      </c>
      <c r="T1035">
        <f>7.8</f>
        <v>7.8</v>
      </c>
      <c r="U1035">
        <f>298</f>
        <v>298</v>
      </c>
      <c r="X1035">
        <f>1</f>
        <v>1</v>
      </c>
      <c r="Y1035">
        <f>0.1</f>
        <v>0.1</v>
      </c>
      <c r="Z1035">
        <f>0</f>
        <v>0</v>
      </c>
      <c r="AA1035">
        <f>5</f>
        <v>5</v>
      </c>
      <c r="AB1035">
        <f>3</f>
        <v>3</v>
      </c>
      <c r="AC1035">
        <f>0</f>
        <v>0</v>
      </c>
      <c r="AD1035">
        <f>0</f>
        <v>0</v>
      </c>
      <c r="AE1035">
        <f>0</f>
        <v>0</v>
      </c>
      <c r="AH1035" t="s">
        <v>166</v>
      </c>
    </row>
    <row r="1036" spans="1:149" x14ac:dyDescent="0.25">
      <c r="A1036" t="s">
        <v>3474</v>
      </c>
      <c r="B1036" t="s">
        <v>148</v>
      </c>
      <c r="C1036" s="1">
        <v>45782</v>
      </c>
      <c r="D1036" t="s">
        <v>222</v>
      </c>
      <c r="E1036" t="s">
        <v>223</v>
      </c>
      <c r="F1036" t="s">
        <v>4938</v>
      </c>
      <c r="G1036" t="s">
        <v>234</v>
      </c>
      <c r="H1036">
        <v>377</v>
      </c>
      <c r="I1036" t="s">
        <v>234</v>
      </c>
      <c r="J1036">
        <v>6423</v>
      </c>
      <c r="K1036" t="s">
        <v>5257</v>
      </c>
      <c r="L1036" t="s">
        <v>4939</v>
      </c>
      <c r="M1036" t="s">
        <v>5260</v>
      </c>
      <c r="N1036" t="s">
        <v>5261</v>
      </c>
      <c r="O1036" t="s">
        <v>240</v>
      </c>
      <c r="Q1036" t="s">
        <v>6298</v>
      </c>
      <c r="R1036">
        <f>1</f>
        <v>1</v>
      </c>
      <c r="S1036">
        <f>15.5</f>
        <v>15.5</v>
      </c>
      <c r="T1036">
        <f>8</f>
        <v>8</v>
      </c>
      <c r="U1036">
        <f>221</f>
        <v>221</v>
      </c>
      <c r="V1036">
        <f>0.16</f>
        <v>0.16</v>
      </c>
      <c r="X1036">
        <f>1</f>
        <v>1</v>
      </c>
      <c r="Y1036">
        <f>0.11</f>
        <v>0.11</v>
      </c>
      <c r="Z1036">
        <f>0</f>
        <v>0</v>
      </c>
      <c r="AA1036">
        <f>0</f>
        <v>0</v>
      </c>
      <c r="AB1036">
        <f>0</f>
        <v>0</v>
      </c>
      <c r="AC1036">
        <f>0</f>
        <v>0</v>
      </c>
      <c r="AD1036">
        <f>0</f>
        <v>0</v>
      </c>
      <c r="AE1036">
        <f>0</f>
        <v>0</v>
      </c>
      <c r="AH1036" t="s">
        <v>166</v>
      </c>
    </row>
    <row r="1037" spans="1:149" x14ac:dyDescent="0.25">
      <c r="A1037" t="s">
        <v>3475</v>
      </c>
      <c r="B1037" t="s">
        <v>148</v>
      </c>
      <c r="C1037" s="1">
        <v>45729</v>
      </c>
      <c r="D1037" t="s">
        <v>317</v>
      </c>
      <c r="E1037" t="s">
        <v>318</v>
      </c>
      <c r="F1037" t="s">
        <v>319</v>
      </c>
      <c r="G1037" t="s">
        <v>320</v>
      </c>
      <c r="H1037">
        <v>821</v>
      </c>
      <c r="I1037" t="s">
        <v>321</v>
      </c>
      <c r="J1037">
        <v>9564</v>
      </c>
      <c r="K1037" t="s">
        <v>5254</v>
      </c>
      <c r="L1037" t="s">
        <v>180</v>
      </c>
      <c r="M1037" t="s">
        <v>322</v>
      </c>
      <c r="N1037" t="s">
        <v>5265</v>
      </c>
      <c r="O1037" t="s">
        <v>323</v>
      </c>
      <c r="Q1037" t="s">
        <v>6339</v>
      </c>
      <c r="R1037">
        <f>1</f>
        <v>1</v>
      </c>
      <c r="S1037">
        <f>8.7</f>
        <v>8.6999999999999993</v>
      </c>
      <c r="T1037">
        <f>8.1</f>
        <v>8.1</v>
      </c>
      <c r="U1037">
        <f>233</f>
        <v>233</v>
      </c>
      <c r="X1037">
        <f>0</f>
        <v>0</v>
      </c>
      <c r="Y1037">
        <f>0.12</f>
        <v>0.12</v>
      </c>
      <c r="Z1037">
        <f>0</f>
        <v>0</v>
      </c>
      <c r="AA1037">
        <f>0</f>
        <v>0</v>
      </c>
      <c r="AB1037">
        <f>0</f>
        <v>0</v>
      </c>
      <c r="AD1037">
        <f>0</f>
        <v>0</v>
      </c>
      <c r="AE1037">
        <f>0</f>
        <v>0</v>
      </c>
      <c r="AH1037" t="s">
        <v>157</v>
      </c>
    </row>
    <row r="1038" spans="1:149" x14ac:dyDescent="0.25">
      <c r="A1038" t="s">
        <v>3476</v>
      </c>
      <c r="B1038" t="s">
        <v>148</v>
      </c>
      <c r="C1038" s="1">
        <v>45895</v>
      </c>
      <c r="D1038" t="s">
        <v>222</v>
      </c>
      <c r="E1038" t="s">
        <v>223</v>
      </c>
      <c r="F1038" t="s">
        <v>429</v>
      </c>
      <c r="G1038" t="s">
        <v>430</v>
      </c>
      <c r="H1038">
        <v>1281</v>
      </c>
      <c r="I1038" t="s">
        <v>430</v>
      </c>
      <c r="J1038">
        <v>5254</v>
      </c>
      <c r="K1038" t="s">
        <v>5254</v>
      </c>
      <c r="L1038" t="s">
        <v>431</v>
      </c>
      <c r="M1038" t="s">
        <v>5289</v>
      </c>
      <c r="N1038" t="s">
        <v>4701</v>
      </c>
      <c r="O1038" t="s">
        <v>432</v>
      </c>
      <c r="Q1038" t="s">
        <v>6303</v>
      </c>
      <c r="R1038">
        <f>1</f>
        <v>1</v>
      </c>
      <c r="S1038">
        <f>17.5</f>
        <v>17.5</v>
      </c>
      <c r="T1038">
        <f>8.1</f>
        <v>8.1</v>
      </c>
      <c r="U1038">
        <f>326</f>
        <v>326</v>
      </c>
      <c r="V1038">
        <f>0.23</f>
        <v>0.23</v>
      </c>
      <c r="X1038">
        <f>1</f>
        <v>1</v>
      </c>
      <c r="Y1038">
        <f>0.09</f>
        <v>0.09</v>
      </c>
      <c r="Z1038">
        <f>0</f>
        <v>0</v>
      </c>
      <c r="AA1038">
        <f>0</f>
        <v>0</v>
      </c>
      <c r="AB1038">
        <f>2</f>
        <v>2</v>
      </c>
      <c r="AD1038">
        <f>0</f>
        <v>0</v>
      </c>
      <c r="AE1038">
        <f>0</f>
        <v>0</v>
      </c>
      <c r="AH1038" t="s">
        <v>166</v>
      </c>
      <c r="AI1038">
        <f>0.49</f>
        <v>0.49</v>
      </c>
      <c r="AL1038" t="s">
        <v>168</v>
      </c>
      <c r="AM1038" t="s">
        <v>164</v>
      </c>
      <c r="AN1038">
        <f>2.9</f>
        <v>2.9</v>
      </c>
      <c r="AO1038">
        <f>0.06</f>
        <v>0.06</v>
      </c>
      <c r="AP1038">
        <f>2.6</f>
        <v>2.6</v>
      </c>
      <c r="AQ1038">
        <f>1.1</f>
        <v>1.1000000000000001</v>
      </c>
      <c r="AR1038" t="s">
        <v>167</v>
      </c>
      <c r="AS1038">
        <f>0.89</f>
        <v>0.89</v>
      </c>
      <c r="AY1038" t="s">
        <v>157</v>
      </c>
      <c r="AZ1038" t="s">
        <v>208</v>
      </c>
      <c r="BA1038">
        <f>0.0016</f>
        <v>1.6000000000000001E-3</v>
      </c>
      <c r="BB1038">
        <f>2.8</f>
        <v>2.8</v>
      </c>
      <c r="BC1038" t="s">
        <v>209</v>
      </c>
      <c r="BD1038" t="s">
        <v>157</v>
      </c>
      <c r="BE1038">
        <f>0.0035</f>
        <v>3.5000000000000001E-3</v>
      </c>
      <c r="BF1038" t="s">
        <v>168</v>
      </c>
      <c r="BG1038" t="s">
        <v>237</v>
      </c>
      <c r="BH1038" t="s">
        <v>157</v>
      </c>
      <c r="BJ1038" t="s">
        <v>216</v>
      </c>
      <c r="BK1038">
        <f>0.11</f>
        <v>0.11</v>
      </c>
      <c r="EL1038" t="s">
        <v>238</v>
      </c>
      <c r="EM1038" t="s">
        <v>238</v>
      </c>
      <c r="EN1038" t="s">
        <v>238</v>
      </c>
      <c r="EO1038" t="s">
        <v>238</v>
      </c>
      <c r="ER1038" t="s">
        <v>238</v>
      </c>
    </row>
    <row r="1039" spans="1:149" x14ac:dyDescent="0.25">
      <c r="A1039" t="s">
        <v>3477</v>
      </c>
      <c r="B1039" t="s">
        <v>148</v>
      </c>
      <c r="C1039" s="1">
        <v>45772</v>
      </c>
      <c r="D1039" t="s">
        <v>317</v>
      </c>
      <c r="E1039" t="s">
        <v>318</v>
      </c>
      <c r="F1039" t="s">
        <v>319</v>
      </c>
      <c r="G1039" t="s">
        <v>320</v>
      </c>
      <c r="H1039">
        <v>821</v>
      </c>
      <c r="I1039" t="s">
        <v>321</v>
      </c>
      <c r="J1039">
        <v>9564</v>
      </c>
      <c r="K1039" t="s">
        <v>5254</v>
      </c>
      <c r="L1039" t="s">
        <v>180</v>
      </c>
      <c r="M1039" t="s">
        <v>515</v>
      </c>
      <c r="N1039" t="s">
        <v>516</v>
      </c>
      <c r="O1039" t="s">
        <v>517</v>
      </c>
      <c r="Q1039" t="s">
        <v>6301</v>
      </c>
      <c r="R1039">
        <f>1</f>
        <v>1</v>
      </c>
      <c r="S1039">
        <f>12.3</f>
        <v>12.3</v>
      </c>
      <c r="T1039">
        <f>7.9</f>
        <v>7.9</v>
      </c>
      <c r="U1039">
        <f>235</f>
        <v>235</v>
      </c>
      <c r="X1039">
        <f>0</f>
        <v>0</v>
      </c>
      <c r="Y1039" t="s">
        <v>157</v>
      </c>
      <c r="Z1039">
        <f>0</f>
        <v>0</v>
      </c>
      <c r="AA1039">
        <f>0</f>
        <v>0</v>
      </c>
      <c r="AB1039">
        <f>0</f>
        <v>0</v>
      </c>
      <c r="AD1039">
        <f>0</f>
        <v>0</v>
      </c>
      <c r="AE1039">
        <f>0</f>
        <v>0</v>
      </c>
      <c r="AH1039" t="s">
        <v>157</v>
      </c>
    </row>
    <row r="1040" spans="1:149" x14ac:dyDescent="0.25">
      <c r="A1040" t="s">
        <v>3478</v>
      </c>
      <c r="B1040" t="s">
        <v>148</v>
      </c>
      <c r="C1040" s="1">
        <v>45831</v>
      </c>
      <c r="D1040" t="s">
        <v>222</v>
      </c>
      <c r="E1040" t="s">
        <v>223</v>
      </c>
      <c r="F1040" t="s">
        <v>429</v>
      </c>
      <c r="G1040" t="s">
        <v>430</v>
      </c>
      <c r="H1040">
        <v>1281</v>
      </c>
      <c r="I1040" t="s">
        <v>430</v>
      </c>
      <c r="J1040">
        <v>5254</v>
      </c>
      <c r="K1040" t="s">
        <v>5254</v>
      </c>
      <c r="L1040" t="s">
        <v>431</v>
      </c>
      <c r="M1040" t="s">
        <v>3479</v>
      </c>
      <c r="N1040" t="s">
        <v>3480</v>
      </c>
      <c r="O1040" t="s">
        <v>3481</v>
      </c>
      <c r="Q1040" t="s">
        <v>6298</v>
      </c>
      <c r="R1040">
        <f>1</f>
        <v>1</v>
      </c>
      <c r="S1040">
        <f>18.8</f>
        <v>18.8</v>
      </c>
      <c r="T1040">
        <f>8.1</f>
        <v>8.1</v>
      </c>
      <c r="U1040">
        <f>352</f>
        <v>352</v>
      </c>
      <c r="X1040">
        <f>1</f>
        <v>1</v>
      </c>
      <c r="Y1040">
        <f>0.12</f>
        <v>0.12</v>
      </c>
      <c r="Z1040">
        <f>0</f>
        <v>0</v>
      </c>
      <c r="AA1040">
        <f>0</f>
        <v>0</v>
      </c>
      <c r="AB1040">
        <f>5</f>
        <v>5</v>
      </c>
      <c r="AD1040">
        <f>0</f>
        <v>0</v>
      </c>
      <c r="AE1040">
        <f>0</f>
        <v>0</v>
      </c>
      <c r="AH1040" t="s">
        <v>166</v>
      </c>
      <c r="AI1040">
        <f>0.58</f>
        <v>0.57999999999999996</v>
      </c>
      <c r="AL1040" t="s">
        <v>168</v>
      </c>
      <c r="AM1040" t="s">
        <v>164</v>
      </c>
      <c r="AN1040">
        <f>2.3</f>
        <v>2.2999999999999998</v>
      </c>
      <c r="AO1040">
        <f>0.05</f>
        <v>0.05</v>
      </c>
      <c r="AP1040">
        <f>2.7</f>
        <v>2.7</v>
      </c>
      <c r="AQ1040">
        <f>1.2</f>
        <v>1.2</v>
      </c>
      <c r="AR1040" t="s">
        <v>167</v>
      </c>
      <c r="AS1040">
        <f>1.6</f>
        <v>1.6</v>
      </c>
      <c r="AY1040" t="s">
        <v>157</v>
      </c>
      <c r="AZ1040" t="s">
        <v>208</v>
      </c>
      <c r="BA1040">
        <f>0.0095</f>
        <v>9.4999999999999998E-3</v>
      </c>
      <c r="BB1040">
        <f>3.6</f>
        <v>3.6</v>
      </c>
      <c r="BC1040">
        <f>0.051</f>
        <v>5.0999999999999997E-2</v>
      </c>
      <c r="BD1040" t="s">
        <v>157</v>
      </c>
      <c r="BE1040">
        <f>0.0047</f>
        <v>4.7000000000000002E-3</v>
      </c>
      <c r="BF1040" t="s">
        <v>168</v>
      </c>
      <c r="BG1040" t="s">
        <v>237</v>
      </c>
      <c r="BH1040">
        <f>0.1</f>
        <v>0.1</v>
      </c>
      <c r="BK1040">
        <f>0.27</f>
        <v>0.27</v>
      </c>
      <c r="EL1040">
        <f>1.7</f>
        <v>1.7</v>
      </c>
      <c r="EM1040" t="s">
        <v>238</v>
      </c>
      <c r="EN1040">
        <f>0.9</f>
        <v>0.9</v>
      </c>
      <c r="EO1040" t="s">
        <v>238</v>
      </c>
      <c r="ER1040">
        <f>2.6</f>
        <v>2.6</v>
      </c>
    </row>
    <row r="1041" spans="1:148" x14ac:dyDescent="0.25">
      <c r="A1041" t="s">
        <v>3482</v>
      </c>
      <c r="B1041" t="s">
        <v>148</v>
      </c>
      <c r="C1041" s="1">
        <v>45810</v>
      </c>
      <c r="D1041" t="s">
        <v>222</v>
      </c>
      <c r="E1041" t="s">
        <v>223</v>
      </c>
      <c r="F1041" t="s">
        <v>469</v>
      </c>
      <c r="G1041" t="s">
        <v>6814</v>
      </c>
      <c r="H1041">
        <v>368</v>
      </c>
      <c r="I1041" t="s">
        <v>6814</v>
      </c>
      <c r="J1041">
        <v>1929</v>
      </c>
      <c r="K1041" t="s">
        <v>5257</v>
      </c>
      <c r="L1041" t="s">
        <v>393</v>
      </c>
      <c r="M1041" t="s">
        <v>3483</v>
      </c>
      <c r="N1041" t="s">
        <v>3484</v>
      </c>
      <c r="O1041" t="s">
        <v>3485</v>
      </c>
      <c r="Q1041" t="s">
        <v>6298</v>
      </c>
      <c r="R1041">
        <f>1</f>
        <v>1</v>
      </c>
      <c r="S1041">
        <f>16</f>
        <v>16</v>
      </c>
      <c r="T1041">
        <f>7.8</f>
        <v>7.8</v>
      </c>
      <c r="U1041">
        <f>231</f>
        <v>231</v>
      </c>
      <c r="X1041">
        <f>1</f>
        <v>1</v>
      </c>
      <c r="Y1041">
        <f>0.12</f>
        <v>0.12</v>
      </c>
      <c r="Z1041">
        <f>0</f>
        <v>0</v>
      </c>
      <c r="AA1041">
        <f>0</f>
        <v>0</v>
      </c>
      <c r="AB1041">
        <f>0</f>
        <v>0</v>
      </c>
      <c r="AC1041">
        <f>0</f>
        <v>0</v>
      </c>
      <c r="AD1041">
        <f>0</f>
        <v>0</v>
      </c>
      <c r="AE1041">
        <f>0</f>
        <v>0</v>
      </c>
      <c r="AH1041" t="s">
        <v>166</v>
      </c>
    </row>
    <row r="1042" spans="1:148" x14ac:dyDescent="0.25">
      <c r="A1042" t="s">
        <v>3486</v>
      </c>
      <c r="B1042" t="s">
        <v>148</v>
      </c>
      <c r="C1042" s="1">
        <v>45783</v>
      </c>
      <c r="D1042" t="s">
        <v>175</v>
      </c>
      <c r="E1042" t="s">
        <v>176</v>
      </c>
      <c r="F1042" t="s">
        <v>556</v>
      </c>
      <c r="G1042" t="s">
        <v>557</v>
      </c>
      <c r="H1042">
        <v>1701</v>
      </c>
      <c r="I1042" t="s">
        <v>6554</v>
      </c>
      <c r="J1042">
        <v>138695</v>
      </c>
      <c r="K1042" t="s">
        <v>5254</v>
      </c>
      <c r="L1042" t="s">
        <v>180</v>
      </c>
      <c r="M1042" t="s">
        <v>6200</v>
      </c>
      <c r="N1042" t="s">
        <v>5237</v>
      </c>
      <c r="Q1042" t="s">
        <v>6311</v>
      </c>
      <c r="R1042">
        <f>1</f>
        <v>1</v>
      </c>
      <c r="S1042">
        <f>14.7</f>
        <v>14.7</v>
      </c>
      <c r="T1042">
        <f>7.5</f>
        <v>7.5</v>
      </c>
      <c r="U1042">
        <f>471</f>
        <v>471</v>
      </c>
      <c r="X1042">
        <f>0</f>
        <v>0</v>
      </c>
      <c r="Y1042" t="s">
        <v>157</v>
      </c>
      <c r="Z1042">
        <f>0</f>
        <v>0</v>
      </c>
      <c r="AA1042" t="s">
        <v>158</v>
      </c>
      <c r="AB1042" t="s">
        <v>158</v>
      </c>
      <c r="AD1042">
        <f>0</f>
        <v>0</v>
      </c>
      <c r="AE1042">
        <f>0</f>
        <v>0</v>
      </c>
      <c r="AH1042" t="s">
        <v>157</v>
      </c>
    </row>
    <row r="1043" spans="1:148" x14ac:dyDescent="0.25">
      <c r="A1043" t="s">
        <v>3487</v>
      </c>
      <c r="B1043" t="s">
        <v>148</v>
      </c>
      <c r="C1043" s="1">
        <v>45758</v>
      </c>
      <c r="D1043" t="s">
        <v>175</v>
      </c>
      <c r="E1043" t="s">
        <v>176</v>
      </c>
      <c r="F1043" t="s">
        <v>556</v>
      </c>
      <c r="G1043" t="s">
        <v>557</v>
      </c>
      <c r="H1043">
        <v>1701</v>
      </c>
      <c r="I1043" t="s">
        <v>6554</v>
      </c>
      <c r="J1043">
        <v>138695</v>
      </c>
      <c r="K1043" t="s">
        <v>5254</v>
      </c>
      <c r="L1043" t="s">
        <v>180</v>
      </c>
      <c r="M1043" t="s">
        <v>562</v>
      </c>
      <c r="N1043" t="s">
        <v>563</v>
      </c>
      <c r="O1043" t="s">
        <v>564</v>
      </c>
      <c r="Q1043" t="s">
        <v>6311</v>
      </c>
      <c r="R1043">
        <f>1</f>
        <v>1</v>
      </c>
      <c r="S1043">
        <f>13</f>
        <v>13</v>
      </c>
      <c r="T1043">
        <f>7.5</f>
        <v>7.5</v>
      </c>
      <c r="U1043">
        <f>468</f>
        <v>468</v>
      </c>
      <c r="X1043">
        <f>0</f>
        <v>0</v>
      </c>
      <c r="Y1043" t="s">
        <v>157</v>
      </c>
      <c r="Z1043">
        <f>0</f>
        <v>0</v>
      </c>
      <c r="AA1043" t="s">
        <v>158</v>
      </c>
      <c r="AB1043" t="s">
        <v>158</v>
      </c>
      <c r="AD1043">
        <f>0</f>
        <v>0</v>
      </c>
      <c r="AE1043">
        <f>0</f>
        <v>0</v>
      </c>
    </row>
    <row r="1044" spans="1:148" x14ac:dyDescent="0.25">
      <c r="A1044" t="s">
        <v>3488</v>
      </c>
      <c r="B1044" t="s">
        <v>148</v>
      </c>
      <c r="C1044" s="1">
        <v>45798</v>
      </c>
      <c r="D1044" t="s">
        <v>175</v>
      </c>
      <c r="E1044" t="s">
        <v>176</v>
      </c>
      <c r="F1044" t="s">
        <v>556</v>
      </c>
      <c r="G1044" t="s">
        <v>557</v>
      </c>
      <c r="H1044">
        <v>1701</v>
      </c>
      <c r="I1044" t="s">
        <v>6554</v>
      </c>
      <c r="J1044">
        <v>138695</v>
      </c>
      <c r="K1044" t="s">
        <v>5254</v>
      </c>
      <c r="L1044" t="s">
        <v>180</v>
      </c>
      <c r="M1044" t="s">
        <v>572</v>
      </c>
      <c r="N1044" t="s">
        <v>5829</v>
      </c>
      <c r="O1044" t="s">
        <v>573</v>
      </c>
      <c r="Q1044" t="s">
        <v>6448</v>
      </c>
      <c r="R1044">
        <f>1</f>
        <v>1</v>
      </c>
      <c r="S1044">
        <f>14.2</f>
        <v>14.2</v>
      </c>
      <c r="T1044">
        <f>7.4</f>
        <v>7.4</v>
      </c>
      <c r="U1044">
        <f>519</f>
        <v>519</v>
      </c>
      <c r="X1044">
        <f>0</f>
        <v>0</v>
      </c>
      <c r="Y1044" t="s">
        <v>157</v>
      </c>
      <c r="Z1044">
        <f>0</f>
        <v>0</v>
      </c>
      <c r="AA1044" t="s">
        <v>158</v>
      </c>
      <c r="AB1044" t="s">
        <v>158</v>
      </c>
      <c r="AD1044">
        <f>0</f>
        <v>0</v>
      </c>
      <c r="AE1044">
        <f>0</f>
        <v>0</v>
      </c>
      <c r="AH1044" t="s">
        <v>157</v>
      </c>
      <c r="AI1044" t="s">
        <v>238</v>
      </c>
      <c r="AL1044" t="s">
        <v>164</v>
      </c>
      <c r="AM1044" t="s">
        <v>165</v>
      </c>
      <c r="AN1044">
        <f>19</f>
        <v>19</v>
      </c>
      <c r="AO1044">
        <f>0.38</f>
        <v>0.38</v>
      </c>
      <c r="AP1044">
        <f>10</f>
        <v>10</v>
      </c>
      <c r="AQ1044">
        <f>11</f>
        <v>11</v>
      </c>
      <c r="AR1044" t="s">
        <v>157</v>
      </c>
    </row>
    <row r="1045" spans="1:148" x14ac:dyDescent="0.25">
      <c r="A1045" t="s">
        <v>3489</v>
      </c>
      <c r="B1045" t="s">
        <v>148</v>
      </c>
      <c r="C1045" s="1">
        <v>45824</v>
      </c>
      <c r="D1045" t="s">
        <v>175</v>
      </c>
      <c r="E1045" t="s">
        <v>176</v>
      </c>
      <c r="F1045" t="s">
        <v>556</v>
      </c>
      <c r="G1045" t="s">
        <v>557</v>
      </c>
      <c r="H1045">
        <v>1701</v>
      </c>
      <c r="I1045" t="s">
        <v>6554</v>
      </c>
      <c r="J1045">
        <v>138695</v>
      </c>
      <c r="K1045" t="s">
        <v>5254</v>
      </c>
      <c r="L1045" t="s">
        <v>180</v>
      </c>
      <c r="M1045" t="s">
        <v>5307</v>
      </c>
      <c r="N1045" t="s">
        <v>4709</v>
      </c>
      <c r="O1045" t="s">
        <v>575</v>
      </c>
      <c r="Q1045" t="s">
        <v>6311</v>
      </c>
      <c r="R1045">
        <f>1</f>
        <v>1</v>
      </c>
      <c r="S1045">
        <f>16.9</f>
        <v>16.899999999999999</v>
      </c>
      <c r="T1045">
        <f t="shared" ref="T1045:T1050" si="0">7.5</f>
        <v>7.5</v>
      </c>
      <c r="U1045">
        <f>447</f>
        <v>447</v>
      </c>
      <c r="X1045">
        <f>0</f>
        <v>0</v>
      </c>
      <c r="Y1045" t="s">
        <v>157</v>
      </c>
      <c r="Z1045">
        <f>0</f>
        <v>0</v>
      </c>
      <c r="AA1045" t="s">
        <v>158</v>
      </c>
      <c r="AB1045" t="s">
        <v>158</v>
      </c>
      <c r="AD1045">
        <f>0</f>
        <v>0</v>
      </c>
      <c r="AE1045">
        <f>0</f>
        <v>0</v>
      </c>
      <c r="AH1045" t="s">
        <v>157</v>
      </c>
    </row>
    <row r="1046" spans="1:148" x14ac:dyDescent="0.25">
      <c r="A1046" t="s">
        <v>3490</v>
      </c>
      <c r="B1046" t="s">
        <v>148</v>
      </c>
      <c r="C1046" s="1">
        <v>45824</v>
      </c>
      <c r="D1046" t="s">
        <v>175</v>
      </c>
      <c r="E1046" t="s">
        <v>176</v>
      </c>
      <c r="F1046" t="s">
        <v>556</v>
      </c>
      <c r="G1046" t="s">
        <v>557</v>
      </c>
      <c r="H1046">
        <v>1701</v>
      </c>
      <c r="I1046" t="s">
        <v>6554</v>
      </c>
      <c r="J1046">
        <v>138695</v>
      </c>
      <c r="K1046" t="s">
        <v>5254</v>
      </c>
      <c r="L1046" t="s">
        <v>180</v>
      </c>
      <c r="M1046" t="s">
        <v>6200</v>
      </c>
      <c r="N1046" t="s">
        <v>5237</v>
      </c>
      <c r="Q1046" t="s">
        <v>6311</v>
      </c>
      <c r="R1046">
        <f>1</f>
        <v>1</v>
      </c>
      <c r="S1046">
        <f>18.3</f>
        <v>18.3</v>
      </c>
      <c r="T1046">
        <f t="shared" si="0"/>
        <v>7.5</v>
      </c>
      <c r="U1046">
        <f>435</f>
        <v>435</v>
      </c>
      <c r="X1046">
        <f>0</f>
        <v>0</v>
      </c>
      <c r="Y1046" t="s">
        <v>157</v>
      </c>
      <c r="Z1046">
        <f>0</f>
        <v>0</v>
      </c>
      <c r="AA1046" t="s">
        <v>158</v>
      </c>
      <c r="AB1046" t="s">
        <v>158</v>
      </c>
      <c r="AD1046">
        <f>0</f>
        <v>0</v>
      </c>
      <c r="AE1046">
        <f>0</f>
        <v>0</v>
      </c>
      <c r="AH1046" t="s">
        <v>157</v>
      </c>
    </row>
    <row r="1047" spans="1:148" x14ac:dyDescent="0.25">
      <c r="A1047" t="s">
        <v>3491</v>
      </c>
      <c r="B1047" t="s">
        <v>148</v>
      </c>
      <c r="C1047" s="1">
        <v>45798</v>
      </c>
      <c r="D1047" t="s">
        <v>175</v>
      </c>
      <c r="E1047" t="s">
        <v>176</v>
      </c>
      <c r="F1047" t="s">
        <v>556</v>
      </c>
      <c r="G1047" t="s">
        <v>557</v>
      </c>
      <c r="H1047">
        <v>1701</v>
      </c>
      <c r="I1047" t="s">
        <v>6554</v>
      </c>
      <c r="J1047">
        <v>138695</v>
      </c>
      <c r="K1047" t="s">
        <v>5254</v>
      </c>
      <c r="L1047" t="s">
        <v>180</v>
      </c>
      <c r="M1047" t="s">
        <v>4712</v>
      </c>
      <c r="N1047" t="s">
        <v>4961</v>
      </c>
      <c r="O1047" t="s">
        <v>585</v>
      </c>
      <c r="Q1047" t="s">
        <v>6312</v>
      </c>
      <c r="R1047">
        <f>1</f>
        <v>1</v>
      </c>
      <c r="S1047">
        <f>14.8</f>
        <v>14.8</v>
      </c>
      <c r="T1047">
        <f t="shared" si="0"/>
        <v>7.5</v>
      </c>
      <c r="U1047">
        <f>428</f>
        <v>428</v>
      </c>
      <c r="X1047">
        <f>0</f>
        <v>0</v>
      </c>
      <c r="Y1047" t="s">
        <v>157</v>
      </c>
      <c r="Z1047">
        <f>0</f>
        <v>0</v>
      </c>
      <c r="AA1047" t="s">
        <v>158</v>
      </c>
      <c r="AB1047" t="s">
        <v>158</v>
      </c>
      <c r="AD1047">
        <f>0</f>
        <v>0</v>
      </c>
      <c r="AE1047">
        <f>0</f>
        <v>0</v>
      </c>
      <c r="AH1047" t="s">
        <v>157</v>
      </c>
    </row>
    <row r="1048" spans="1:148" x14ac:dyDescent="0.25">
      <c r="A1048" t="s">
        <v>3492</v>
      </c>
      <c r="B1048" t="s">
        <v>148</v>
      </c>
      <c r="C1048" s="1">
        <v>45785</v>
      </c>
      <c r="D1048" t="s">
        <v>618</v>
      </c>
      <c r="E1048" t="s">
        <v>619</v>
      </c>
      <c r="F1048" t="s">
        <v>620</v>
      </c>
      <c r="G1048" t="s">
        <v>6556</v>
      </c>
      <c r="H1048">
        <v>8</v>
      </c>
      <c r="I1048" t="s">
        <v>6556</v>
      </c>
      <c r="J1048">
        <v>4770</v>
      </c>
      <c r="K1048" t="s">
        <v>5257</v>
      </c>
      <c r="L1048" t="s">
        <v>387</v>
      </c>
      <c r="M1048" t="s">
        <v>621</v>
      </c>
      <c r="N1048" t="s">
        <v>622</v>
      </c>
      <c r="O1048" t="s">
        <v>623</v>
      </c>
      <c r="R1048">
        <f>1</f>
        <v>1</v>
      </c>
      <c r="S1048">
        <f>13</f>
        <v>13</v>
      </c>
      <c r="T1048">
        <f t="shared" si="0"/>
        <v>7.5</v>
      </c>
      <c r="U1048">
        <f>106</f>
        <v>106</v>
      </c>
      <c r="X1048">
        <f>0</f>
        <v>0</v>
      </c>
      <c r="Y1048">
        <f>0.1</f>
        <v>0.1</v>
      </c>
      <c r="Z1048">
        <f>0</f>
        <v>0</v>
      </c>
      <c r="AA1048" t="s">
        <v>158</v>
      </c>
      <c r="AB1048" t="s">
        <v>158</v>
      </c>
      <c r="AD1048">
        <f>0</f>
        <v>0</v>
      </c>
      <c r="AE1048">
        <f>0</f>
        <v>0</v>
      </c>
      <c r="AH1048" t="s">
        <v>157</v>
      </c>
      <c r="AI1048" t="s">
        <v>238</v>
      </c>
      <c r="AL1048" t="s">
        <v>164</v>
      </c>
      <c r="AM1048" t="s">
        <v>165</v>
      </c>
      <c r="AN1048">
        <f>3.1</f>
        <v>3.1</v>
      </c>
      <c r="AO1048">
        <f>0.06</f>
        <v>0.06</v>
      </c>
      <c r="AP1048">
        <f>10</f>
        <v>10</v>
      </c>
      <c r="AQ1048">
        <f>1</f>
        <v>1</v>
      </c>
      <c r="AR1048" t="s">
        <v>157</v>
      </c>
      <c r="AS1048">
        <f>2.2</f>
        <v>2.2000000000000002</v>
      </c>
      <c r="AY1048" t="s">
        <v>167</v>
      </c>
      <c r="AZ1048">
        <f>12</f>
        <v>12</v>
      </c>
      <c r="BA1048" t="s">
        <v>216</v>
      </c>
      <c r="BB1048" t="s">
        <v>158</v>
      </c>
      <c r="BC1048" t="s">
        <v>166</v>
      </c>
      <c r="BD1048" t="s">
        <v>167</v>
      </c>
      <c r="BE1048">
        <f>0.0013</f>
        <v>1.2999999999999999E-3</v>
      </c>
      <c r="BF1048" t="s">
        <v>168</v>
      </c>
      <c r="BG1048" t="s">
        <v>167</v>
      </c>
      <c r="BH1048" t="s">
        <v>167</v>
      </c>
      <c r="BK1048">
        <f>0.17</f>
        <v>0.17</v>
      </c>
      <c r="EL1048">
        <f>0.21</f>
        <v>0.21</v>
      </c>
      <c r="EM1048">
        <f>0.25</f>
        <v>0.25</v>
      </c>
      <c r="EN1048">
        <f>0.24</f>
        <v>0.24</v>
      </c>
      <c r="EO1048">
        <f>0.34</f>
        <v>0.34</v>
      </c>
      <c r="ER1048">
        <f>1</f>
        <v>1</v>
      </c>
    </row>
    <row r="1049" spans="1:148" x14ac:dyDescent="0.25">
      <c r="A1049" t="s">
        <v>3493</v>
      </c>
      <c r="B1049" t="s">
        <v>148</v>
      </c>
      <c r="C1049" s="1">
        <v>45790</v>
      </c>
      <c r="D1049" t="s">
        <v>175</v>
      </c>
      <c r="E1049" t="s">
        <v>176</v>
      </c>
      <c r="F1049" t="s">
        <v>1146</v>
      </c>
      <c r="G1049" t="s">
        <v>6593</v>
      </c>
      <c r="H1049">
        <v>12</v>
      </c>
      <c r="I1049" t="s">
        <v>6593</v>
      </c>
      <c r="J1049">
        <v>7170</v>
      </c>
      <c r="K1049" t="s">
        <v>5257</v>
      </c>
      <c r="L1049" t="s">
        <v>4940</v>
      </c>
      <c r="M1049" t="s">
        <v>4753</v>
      </c>
      <c r="N1049" t="s">
        <v>4754</v>
      </c>
      <c r="O1049" t="s">
        <v>1147</v>
      </c>
      <c r="Q1049" t="s">
        <v>6311</v>
      </c>
      <c r="R1049">
        <f>1</f>
        <v>1</v>
      </c>
      <c r="S1049">
        <f>15.5</f>
        <v>15.5</v>
      </c>
      <c r="T1049">
        <f t="shared" si="0"/>
        <v>7.5</v>
      </c>
      <c r="U1049">
        <f>380</f>
        <v>380</v>
      </c>
      <c r="V1049">
        <f>0.1</f>
        <v>0.1</v>
      </c>
      <c r="X1049">
        <f>0</f>
        <v>0</v>
      </c>
      <c r="Y1049" t="s">
        <v>157</v>
      </c>
      <c r="Z1049">
        <f>0</f>
        <v>0</v>
      </c>
      <c r="AA1049" t="s">
        <v>158</v>
      </c>
      <c r="AB1049" t="s">
        <v>158</v>
      </c>
      <c r="AC1049">
        <f>0</f>
        <v>0</v>
      </c>
      <c r="AD1049">
        <f>0</f>
        <v>0</v>
      </c>
      <c r="AE1049">
        <f>0</f>
        <v>0</v>
      </c>
      <c r="AH1049" t="s">
        <v>157</v>
      </c>
    </row>
    <row r="1050" spans="1:148" x14ac:dyDescent="0.25">
      <c r="A1050" t="s">
        <v>3494</v>
      </c>
      <c r="B1050" t="s">
        <v>148</v>
      </c>
      <c r="C1050" s="1">
        <v>45813</v>
      </c>
      <c r="D1050" t="s">
        <v>175</v>
      </c>
      <c r="E1050" t="s">
        <v>176</v>
      </c>
      <c r="F1050" t="s">
        <v>1146</v>
      </c>
      <c r="G1050" t="s">
        <v>6593</v>
      </c>
      <c r="H1050">
        <v>12</v>
      </c>
      <c r="I1050" t="s">
        <v>6593</v>
      </c>
      <c r="J1050">
        <v>7170</v>
      </c>
      <c r="K1050" t="s">
        <v>5257</v>
      </c>
      <c r="L1050" t="s">
        <v>4940</v>
      </c>
      <c r="M1050" t="s">
        <v>6201</v>
      </c>
      <c r="N1050" t="s">
        <v>3495</v>
      </c>
      <c r="O1050" t="s">
        <v>3496</v>
      </c>
      <c r="R1050">
        <f>1</f>
        <v>1</v>
      </c>
      <c r="S1050">
        <f>19.8</f>
        <v>19.8</v>
      </c>
      <c r="T1050">
        <f t="shared" si="0"/>
        <v>7.5</v>
      </c>
      <c r="U1050">
        <f>375</f>
        <v>375</v>
      </c>
      <c r="X1050">
        <f>0</f>
        <v>0</v>
      </c>
      <c r="Y1050" t="s">
        <v>157</v>
      </c>
      <c r="Z1050">
        <f>0</f>
        <v>0</v>
      </c>
      <c r="AA1050" t="s">
        <v>158</v>
      </c>
      <c r="AB1050" t="s">
        <v>158</v>
      </c>
      <c r="AC1050">
        <f>0</f>
        <v>0</v>
      </c>
      <c r="AD1050">
        <f>0</f>
        <v>0</v>
      </c>
      <c r="AE1050">
        <f>0</f>
        <v>0</v>
      </c>
      <c r="AG1050" t="s">
        <v>249</v>
      </c>
      <c r="AH1050" t="s">
        <v>157</v>
      </c>
      <c r="AI1050">
        <f>0.7</f>
        <v>0.7</v>
      </c>
      <c r="AL1050" t="s">
        <v>164</v>
      </c>
      <c r="AM1050" t="s">
        <v>165</v>
      </c>
      <c r="AN1050">
        <f>4.9</f>
        <v>4.9000000000000004</v>
      </c>
      <c r="AO1050">
        <f>0.1</f>
        <v>0.1</v>
      </c>
      <c r="AP1050">
        <f>2.8</f>
        <v>2.8</v>
      </c>
      <c r="AQ1050">
        <f>1.6</f>
        <v>1.6</v>
      </c>
      <c r="AR1050" t="s">
        <v>157</v>
      </c>
      <c r="AS1050">
        <f>1.1</f>
        <v>1.1000000000000001</v>
      </c>
      <c r="AT1050" t="s">
        <v>250</v>
      </c>
      <c r="AY1050" t="s">
        <v>167</v>
      </c>
      <c r="AZ1050" t="s">
        <v>158</v>
      </c>
      <c r="BA1050" t="s">
        <v>216</v>
      </c>
      <c r="BB1050">
        <f>23</f>
        <v>23</v>
      </c>
      <c r="BC1050" t="s">
        <v>166</v>
      </c>
      <c r="BD1050" t="s">
        <v>167</v>
      </c>
      <c r="BE1050">
        <f>0.0081</f>
        <v>8.0999999999999996E-3</v>
      </c>
      <c r="BF1050" t="s">
        <v>168</v>
      </c>
      <c r="BG1050" t="s">
        <v>167</v>
      </c>
      <c r="BH1050">
        <f>1.5</f>
        <v>1.5</v>
      </c>
      <c r="BK1050">
        <f>0.46</f>
        <v>0.46</v>
      </c>
      <c r="EL1050">
        <f>10</f>
        <v>10</v>
      </c>
      <c r="EM1050" t="s">
        <v>166</v>
      </c>
      <c r="EN1050">
        <f>2.1</f>
        <v>2.1</v>
      </c>
      <c r="EO1050">
        <f>0.24</f>
        <v>0.24</v>
      </c>
      <c r="ER1050">
        <f>12</f>
        <v>12</v>
      </c>
    </row>
    <row r="1051" spans="1:148" x14ac:dyDescent="0.25">
      <c r="A1051" t="s">
        <v>3497</v>
      </c>
      <c r="B1051" t="s">
        <v>148</v>
      </c>
      <c r="C1051" s="1">
        <v>45784</v>
      </c>
      <c r="D1051" t="s">
        <v>618</v>
      </c>
      <c r="E1051" t="s">
        <v>619</v>
      </c>
      <c r="F1051" t="s">
        <v>5317</v>
      </c>
      <c r="G1051" t="s">
        <v>639</v>
      </c>
      <c r="H1051">
        <v>25</v>
      </c>
      <c r="I1051" t="s">
        <v>640</v>
      </c>
      <c r="J1051">
        <v>4319</v>
      </c>
      <c r="K1051" t="s">
        <v>5254</v>
      </c>
      <c r="L1051" t="s">
        <v>387</v>
      </c>
      <c r="M1051" t="s">
        <v>641</v>
      </c>
      <c r="N1051" t="s">
        <v>642</v>
      </c>
      <c r="O1051" t="s">
        <v>643</v>
      </c>
      <c r="R1051">
        <f>1</f>
        <v>1</v>
      </c>
      <c r="S1051">
        <f>13.1</f>
        <v>13.1</v>
      </c>
      <c r="T1051">
        <f>7.9</f>
        <v>7.9</v>
      </c>
      <c r="U1051">
        <f>340</f>
        <v>340</v>
      </c>
      <c r="X1051">
        <f>0</f>
        <v>0</v>
      </c>
      <c r="Y1051">
        <f>0.1</f>
        <v>0.1</v>
      </c>
      <c r="Z1051">
        <f>0</f>
        <v>0</v>
      </c>
      <c r="AA1051" t="s">
        <v>158</v>
      </c>
      <c r="AB1051" t="s">
        <v>158</v>
      </c>
      <c r="AD1051">
        <f>0</f>
        <v>0</v>
      </c>
      <c r="AE1051">
        <f>0</f>
        <v>0</v>
      </c>
      <c r="AH1051" t="s">
        <v>157</v>
      </c>
      <c r="AI1051">
        <f>0.6</f>
        <v>0.6</v>
      </c>
      <c r="AL1051" t="s">
        <v>164</v>
      </c>
      <c r="AM1051" t="s">
        <v>165</v>
      </c>
      <c r="AN1051">
        <f>3.4</f>
        <v>3.4</v>
      </c>
      <c r="AO1051">
        <f>0.07</f>
        <v>7.0000000000000007E-2</v>
      </c>
      <c r="AP1051">
        <f>6.3</f>
        <v>6.3</v>
      </c>
      <c r="AQ1051">
        <f>0.9</f>
        <v>0.9</v>
      </c>
      <c r="AR1051" t="s">
        <v>157</v>
      </c>
      <c r="AS1051" t="s">
        <v>3498</v>
      </c>
      <c r="AY1051" t="s">
        <v>167</v>
      </c>
      <c r="AZ1051" t="s">
        <v>158</v>
      </c>
      <c r="BA1051" t="s">
        <v>216</v>
      </c>
      <c r="BB1051" t="s">
        <v>158</v>
      </c>
      <c r="BC1051" t="s">
        <v>166</v>
      </c>
      <c r="BD1051" t="s">
        <v>167</v>
      </c>
      <c r="BE1051">
        <f>0.27</f>
        <v>0.27</v>
      </c>
      <c r="BF1051">
        <f>0.029</f>
        <v>2.9000000000000001E-2</v>
      </c>
      <c r="BG1051" t="s">
        <v>167</v>
      </c>
      <c r="BH1051" t="s">
        <v>167</v>
      </c>
      <c r="BK1051">
        <f>0.52</f>
        <v>0.52</v>
      </c>
      <c r="EL1051">
        <f>0.86</f>
        <v>0.86</v>
      </c>
      <c r="EM1051" t="s">
        <v>166</v>
      </c>
      <c r="EN1051">
        <f>0.33</f>
        <v>0.33</v>
      </c>
      <c r="EO1051" t="s">
        <v>166</v>
      </c>
      <c r="ER1051">
        <f>1.2</f>
        <v>1.2</v>
      </c>
    </row>
    <row r="1052" spans="1:148" x14ac:dyDescent="0.25">
      <c r="A1052" t="s">
        <v>3499</v>
      </c>
      <c r="B1052" t="s">
        <v>148</v>
      </c>
      <c r="C1052" s="1">
        <v>45835</v>
      </c>
      <c r="D1052" t="s">
        <v>175</v>
      </c>
      <c r="E1052" t="s">
        <v>649</v>
      </c>
      <c r="F1052" t="s">
        <v>650</v>
      </c>
      <c r="G1052" t="s">
        <v>5838</v>
      </c>
      <c r="H1052">
        <v>35</v>
      </c>
      <c r="I1052" t="s">
        <v>5838</v>
      </c>
      <c r="J1052">
        <v>7224</v>
      </c>
      <c r="K1052" t="s">
        <v>5257</v>
      </c>
      <c r="L1052" t="s">
        <v>154</v>
      </c>
      <c r="M1052" t="s">
        <v>5839</v>
      </c>
      <c r="N1052" t="s">
        <v>5840</v>
      </c>
      <c r="O1052" t="s">
        <v>651</v>
      </c>
      <c r="R1052">
        <f>1</f>
        <v>1</v>
      </c>
      <c r="S1052">
        <f>15.9</f>
        <v>15.9</v>
      </c>
      <c r="T1052">
        <f>7.7</f>
        <v>7.7</v>
      </c>
      <c r="U1052">
        <f>405</f>
        <v>405</v>
      </c>
      <c r="V1052">
        <f>0.19</f>
        <v>0.19</v>
      </c>
      <c r="X1052">
        <f>0</f>
        <v>0</v>
      </c>
      <c r="Y1052" t="s">
        <v>157</v>
      </c>
      <c r="Z1052">
        <f>0</f>
        <v>0</v>
      </c>
      <c r="AA1052" t="s">
        <v>158</v>
      </c>
      <c r="AB1052" t="s">
        <v>158</v>
      </c>
      <c r="AC1052">
        <f>0</f>
        <v>0</v>
      </c>
      <c r="AD1052">
        <f>0</f>
        <v>0</v>
      </c>
      <c r="AE1052">
        <f>0</f>
        <v>0</v>
      </c>
      <c r="AH1052" t="s">
        <v>157</v>
      </c>
      <c r="AI1052" t="s">
        <v>238</v>
      </c>
      <c r="AL1052" t="s">
        <v>164</v>
      </c>
      <c r="AM1052" t="s">
        <v>165</v>
      </c>
      <c r="AN1052">
        <f>6.2</f>
        <v>6.2</v>
      </c>
      <c r="AO1052">
        <f>0.12</f>
        <v>0.12</v>
      </c>
      <c r="AP1052">
        <f>15</f>
        <v>15</v>
      </c>
      <c r="AQ1052">
        <f>1.6</f>
        <v>1.6</v>
      </c>
      <c r="AR1052" t="s">
        <v>157</v>
      </c>
      <c r="AS1052">
        <f>0.69</f>
        <v>0.69</v>
      </c>
      <c r="AY1052" t="s">
        <v>167</v>
      </c>
      <c r="AZ1052" t="s">
        <v>158</v>
      </c>
      <c r="BA1052" t="s">
        <v>216</v>
      </c>
      <c r="BB1052" t="s">
        <v>158</v>
      </c>
      <c r="BC1052" t="s">
        <v>166</v>
      </c>
      <c r="BD1052" t="s">
        <v>167</v>
      </c>
      <c r="BE1052">
        <f>0.0044</f>
        <v>4.4000000000000003E-3</v>
      </c>
      <c r="BF1052" t="s">
        <v>168</v>
      </c>
      <c r="BG1052" t="s">
        <v>167</v>
      </c>
      <c r="BH1052">
        <f>1.1</f>
        <v>1.1000000000000001</v>
      </c>
      <c r="BK1052">
        <f>0.34</f>
        <v>0.34</v>
      </c>
      <c r="EL1052">
        <f>0.22</f>
        <v>0.22</v>
      </c>
      <c r="EM1052" t="s">
        <v>166</v>
      </c>
      <c r="EN1052">
        <f>0.43</f>
        <v>0.43</v>
      </c>
      <c r="EO1052">
        <f>0.46</f>
        <v>0.46</v>
      </c>
      <c r="ER1052">
        <f>1.1</f>
        <v>1.1000000000000001</v>
      </c>
    </row>
    <row r="1053" spans="1:148" x14ac:dyDescent="0.25">
      <c r="A1053" t="s">
        <v>3500</v>
      </c>
      <c r="B1053" t="s">
        <v>268</v>
      </c>
      <c r="C1053" s="1">
        <v>45785</v>
      </c>
      <c r="D1053" t="s">
        <v>149</v>
      </c>
      <c r="E1053" t="s">
        <v>150</v>
      </c>
      <c r="F1053" t="s">
        <v>625</v>
      </c>
      <c r="G1053" t="s">
        <v>626</v>
      </c>
      <c r="H1053">
        <v>32</v>
      </c>
      <c r="I1053" t="s">
        <v>6595</v>
      </c>
      <c r="J1053">
        <v>3240</v>
      </c>
      <c r="K1053" t="s">
        <v>5254</v>
      </c>
      <c r="L1053" t="s">
        <v>431</v>
      </c>
      <c r="M1053" t="s">
        <v>1165</v>
      </c>
      <c r="N1053" t="s">
        <v>5383</v>
      </c>
      <c r="O1053" t="s">
        <v>1166</v>
      </c>
      <c r="Q1053" t="s">
        <v>6449</v>
      </c>
      <c r="R1053">
        <f>1</f>
        <v>1</v>
      </c>
      <c r="S1053">
        <f>14</f>
        <v>14</v>
      </c>
      <c r="T1053">
        <f>6.8</f>
        <v>6.8</v>
      </c>
      <c r="U1053">
        <f>353</f>
        <v>353</v>
      </c>
      <c r="V1053" t="s">
        <v>209</v>
      </c>
      <c r="X1053">
        <f>0</f>
        <v>0</v>
      </c>
      <c r="Y1053">
        <f>0.1</f>
        <v>0.1</v>
      </c>
      <c r="Z1053">
        <f>0</f>
        <v>0</v>
      </c>
      <c r="AA1053" t="s">
        <v>158</v>
      </c>
      <c r="AB1053" t="s">
        <v>158</v>
      </c>
      <c r="AD1053">
        <f>0</f>
        <v>0</v>
      </c>
      <c r="AE1053">
        <f>0</f>
        <v>0</v>
      </c>
      <c r="AH1053" t="s">
        <v>157</v>
      </c>
      <c r="BL1053" t="s">
        <v>168</v>
      </c>
      <c r="BM1053" t="s">
        <v>168</v>
      </c>
      <c r="BN1053" t="s">
        <v>168</v>
      </c>
      <c r="BO1053" t="s">
        <v>168</v>
      </c>
      <c r="BP1053" t="s">
        <v>168</v>
      </c>
      <c r="BQ1053" t="s">
        <v>168</v>
      </c>
      <c r="BR1053" t="s">
        <v>168</v>
      </c>
      <c r="BS1053" t="s">
        <v>168</v>
      </c>
      <c r="BT1053" t="s">
        <v>209</v>
      </c>
      <c r="BU1053" t="s">
        <v>168</v>
      </c>
      <c r="BV1053" t="s">
        <v>209</v>
      </c>
      <c r="BW1053" t="s">
        <v>209</v>
      </c>
      <c r="BX1053" t="s">
        <v>209</v>
      </c>
      <c r="BY1053" t="s">
        <v>209</v>
      </c>
      <c r="BZ1053" t="s">
        <v>216</v>
      </c>
      <c r="CA1053" t="s">
        <v>216</v>
      </c>
      <c r="CB1053" t="s">
        <v>168</v>
      </c>
      <c r="CC1053" t="s">
        <v>168</v>
      </c>
      <c r="CD1053" t="s">
        <v>216</v>
      </c>
      <c r="CE1053" t="s">
        <v>209</v>
      </c>
      <c r="CF1053">
        <f>0.11</f>
        <v>0.11</v>
      </c>
      <c r="CG1053" t="s">
        <v>168</v>
      </c>
      <c r="CH1053" t="s">
        <v>165</v>
      </c>
      <c r="CI1053" t="s">
        <v>216</v>
      </c>
      <c r="CJ1053" t="s">
        <v>216</v>
      </c>
      <c r="CK1053" t="s">
        <v>216</v>
      </c>
      <c r="CL1053" t="s">
        <v>216</v>
      </c>
      <c r="CM1053" t="s">
        <v>216</v>
      </c>
      <c r="CN1053" t="s">
        <v>216</v>
      </c>
      <c r="CO1053" t="s">
        <v>216</v>
      </c>
      <c r="CP1053" t="s">
        <v>216</v>
      </c>
      <c r="CQ1053" t="s">
        <v>216</v>
      </c>
      <c r="CR1053" t="s">
        <v>216</v>
      </c>
      <c r="CS1053" t="s">
        <v>216</v>
      </c>
      <c r="CT1053" t="s">
        <v>216</v>
      </c>
      <c r="CU1053" t="s">
        <v>216</v>
      </c>
      <c r="CV1053" t="s">
        <v>216</v>
      </c>
      <c r="CW1053" t="s">
        <v>216</v>
      </c>
      <c r="CX1053" t="s">
        <v>216</v>
      </c>
      <c r="CY1053" t="s">
        <v>216</v>
      </c>
      <c r="CZ1053" t="s">
        <v>216</v>
      </c>
      <c r="DA1053" t="s">
        <v>168</v>
      </c>
      <c r="DB1053" t="s">
        <v>216</v>
      </c>
      <c r="DC1053" t="s">
        <v>216</v>
      </c>
      <c r="DD1053" t="s">
        <v>216</v>
      </c>
      <c r="DE1053" t="s">
        <v>168</v>
      </c>
      <c r="DF1053" t="s">
        <v>168</v>
      </c>
      <c r="DG1053" t="s">
        <v>216</v>
      </c>
      <c r="DH1053" t="s">
        <v>216</v>
      </c>
      <c r="DI1053" t="s">
        <v>216</v>
      </c>
      <c r="DJ1053" t="s">
        <v>216</v>
      </c>
      <c r="DK1053" t="s">
        <v>168</v>
      </c>
      <c r="DL1053" t="s">
        <v>216</v>
      </c>
      <c r="DM1053" t="s">
        <v>216</v>
      </c>
      <c r="DN1053" t="s">
        <v>216</v>
      </c>
      <c r="DO1053" t="s">
        <v>216</v>
      </c>
      <c r="DP1053" t="s">
        <v>168</v>
      </c>
      <c r="DQ1053" t="s">
        <v>216</v>
      </c>
      <c r="DR1053" t="s">
        <v>168</v>
      </c>
      <c r="DS1053" t="s">
        <v>168</v>
      </c>
      <c r="DT1053" t="s">
        <v>168</v>
      </c>
      <c r="DU1053" t="s">
        <v>168</v>
      </c>
      <c r="DV1053" t="s">
        <v>168</v>
      </c>
      <c r="DW1053" t="s">
        <v>168</v>
      </c>
      <c r="DX1053" t="s">
        <v>168</v>
      </c>
      <c r="DY1053" t="s">
        <v>168</v>
      </c>
      <c r="DZ1053" t="s">
        <v>209</v>
      </c>
      <c r="EA1053" t="s">
        <v>216</v>
      </c>
      <c r="EB1053" t="s">
        <v>168</v>
      </c>
      <c r="ED1053" t="s">
        <v>209</v>
      </c>
      <c r="EE1053" t="s">
        <v>168</v>
      </c>
    </row>
    <row r="1054" spans="1:148" x14ac:dyDescent="0.25">
      <c r="A1054" t="s">
        <v>3501</v>
      </c>
      <c r="B1054" t="s">
        <v>148</v>
      </c>
      <c r="C1054" s="1">
        <v>45785</v>
      </c>
      <c r="D1054" t="s">
        <v>149</v>
      </c>
      <c r="E1054" t="s">
        <v>150</v>
      </c>
      <c r="F1054" t="s">
        <v>151</v>
      </c>
      <c r="G1054" t="s">
        <v>5318</v>
      </c>
      <c r="H1054">
        <v>131</v>
      </c>
      <c r="I1054" t="s">
        <v>6558</v>
      </c>
      <c r="J1054">
        <v>7204</v>
      </c>
      <c r="K1054" t="s">
        <v>5254</v>
      </c>
      <c r="L1054" t="s">
        <v>154</v>
      </c>
      <c r="M1054" t="s">
        <v>653</v>
      </c>
      <c r="N1054" t="s">
        <v>654</v>
      </c>
      <c r="O1054" t="s">
        <v>655</v>
      </c>
      <c r="Q1054" t="s">
        <v>6450</v>
      </c>
      <c r="R1054">
        <f>1</f>
        <v>1</v>
      </c>
      <c r="S1054">
        <f>14.9</f>
        <v>14.9</v>
      </c>
      <c r="T1054">
        <f>6.7</f>
        <v>6.7</v>
      </c>
      <c r="U1054">
        <f>367</f>
        <v>367</v>
      </c>
      <c r="X1054">
        <f>0</f>
        <v>0</v>
      </c>
      <c r="Y1054">
        <f>0.1</f>
        <v>0.1</v>
      </c>
      <c r="Z1054">
        <f>0</f>
        <v>0</v>
      </c>
      <c r="AA1054" t="s">
        <v>158</v>
      </c>
      <c r="AB1054" t="s">
        <v>158</v>
      </c>
      <c r="AD1054">
        <f>0</f>
        <v>0</v>
      </c>
      <c r="AE1054">
        <f>0</f>
        <v>0</v>
      </c>
      <c r="AH1054" t="s">
        <v>157</v>
      </c>
    </row>
    <row r="1055" spans="1:148" x14ac:dyDescent="0.25">
      <c r="A1055" t="s">
        <v>3502</v>
      </c>
      <c r="B1055" t="s">
        <v>148</v>
      </c>
      <c r="C1055" s="1">
        <v>45785</v>
      </c>
      <c r="D1055" t="s">
        <v>149</v>
      </c>
      <c r="E1055" t="s">
        <v>150</v>
      </c>
      <c r="F1055" t="s">
        <v>151</v>
      </c>
      <c r="G1055" t="s">
        <v>5318</v>
      </c>
      <c r="H1055">
        <v>131</v>
      </c>
      <c r="I1055" t="s">
        <v>6558</v>
      </c>
      <c r="J1055">
        <v>7204</v>
      </c>
      <c r="K1055" t="s">
        <v>5254</v>
      </c>
      <c r="L1055" t="s">
        <v>154</v>
      </c>
      <c r="M1055" t="s">
        <v>657</v>
      </c>
      <c r="N1055" t="s">
        <v>658</v>
      </c>
      <c r="O1055" t="s">
        <v>659</v>
      </c>
      <c r="Q1055" t="s">
        <v>6451</v>
      </c>
      <c r="R1055">
        <f>1</f>
        <v>1</v>
      </c>
      <c r="S1055">
        <f>16.5</f>
        <v>16.5</v>
      </c>
      <c r="T1055">
        <f>6.9</f>
        <v>6.9</v>
      </c>
      <c r="U1055">
        <f>389</f>
        <v>389</v>
      </c>
      <c r="V1055" t="s">
        <v>209</v>
      </c>
      <c r="X1055">
        <f>0</f>
        <v>0</v>
      </c>
      <c r="Y1055">
        <f>0.1</f>
        <v>0.1</v>
      </c>
      <c r="Z1055">
        <f>0</f>
        <v>0</v>
      </c>
      <c r="AA1055" t="s">
        <v>158</v>
      </c>
      <c r="AB1055" t="s">
        <v>158</v>
      </c>
      <c r="AD1055">
        <f>0</f>
        <v>0</v>
      </c>
      <c r="AE1055">
        <f>0</f>
        <v>0</v>
      </c>
      <c r="AH1055" t="s">
        <v>157</v>
      </c>
    </row>
    <row r="1056" spans="1:148" x14ac:dyDescent="0.25">
      <c r="A1056" t="s">
        <v>3503</v>
      </c>
      <c r="B1056" t="s">
        <v>148</v>
      </c>
      <c r="C1056" s="1">
        <v>45721</v>
      </c>
      <c r="D1056" t="s">
        <v>175</v>
      </c>
      <c r="E1056" t="s">
        <v>284</v>
      </c>
      <c r="F1056" t="s">
        <v>678</v>
      </c>
      <c r="G1056" t="s">
        <v>679</v>
      </c>
      <c r="H1056">
        <v>642</v>
      </c>
      <c r="I1056" t="s">
        <v>680</v>
      </c>
      <c r="J1056">
        <v>9359</v>
      </c>
      <c r="K1056" t="s">
        <v>5257</v>
      </c>
      <c r="L1056" t="s">
        <v>681</v>
      </c>
      <c r="M1056" t="s">
        <v>5843</v>
      </c>
      <c r="N1056" t="s">
        <v>682</v>
      </c>
      <c r="O1056" t="s">
        <v>683</v>
      </c>
      <c r="R1056">
        <f>1</f>
        <v>1</v>
      </c>
      <c r="S1056">
        <f>7.7</f>
        <v>7.7</v>
      </c>
      <c r="T1056">
        <f>7.5</f>
        <v>7.5</v>
      </c>
      <c r="U1056">
        <f>471</f>
        <v>471</v>
      </c>
      <c r="W1056">
        <f>0.06</f>
        <v>0.06</v>
      </c>
      <c r="X1056">
        <f>0</f>
        <v>0</v>
      </c>
      <c r="Y1056" t="s">
        <v>157</v>
      </c>
      <c r="Z1056">
        <f>0</f>
        <v>0</v>
      </c>
      <c r="AA1056" t="s">
        <v>158</v>
      </c>
      <c r="AB1056" t="s">
        <v>158</v>
      </c>
      <c r="AC1056">
        <f>0</f>
        <v>0</v>
      </c>
      <c r="AD1056">
        <f>0</f>
        <v>0</v>
      </c>
      <c r="AE1056">
        <f>0</f>
        <v>0</v>
      </c>
    </row>
    <row r="1057" spans="1:148" x14ac:dyDescent="0.25">
      <c r="A1057" t="s">
        <v>3504</v>
      </c>
      <c r="B1057" t="s">
        <v>148</v>
      </c>
      <c r="C1057" s="1">
        <v>45722</v>
      </c>
      <c r="D1057" t="s">
        <v>175</v>
      </c>
      <c r="E1057" t="s">
        <v>649</v>
      </c>
      <c r="F1057" t="s">
        <v>685</v>
      </c>
      <c r="G1057" t="s">
        <v>6559</v>
      </c>
      <c r="H1057">
        <v>1022</v>
      </c>
      <c r="I1057" t="s">
        <v>6559</v>
      </c>
      <c r="J1057">
        <v>8960</v>
      </c>
      <c r="K1057" t="s">
        <v>5257</v>
      </c>
      <c r="L1057" t="s">
        <v>154</v>
      </c>
      <c r="M1057" t="s">
        <v>686</v>
      </c>
      <c r="N1057" t="s">
        <v>687</v>
      </c>
      <c r="O1057" t="s">
        <v>688</v>
      </c>
      <c r="R1057">
        <f>1</f>
        <v>1</v>
      </c>
      <c r="S1057">
        <f>9.9</f>
        <v>9.9</v>
      </c>
      <c r="T1057">
        <f>7.6</f>
        <v>7.6</v>
      </c>
      <c r="U1057">
        <f>520</f>
        <v>520</v>
      </c>
      <c r="V1057">
        <f>0.21</f>
        <v>0.21</v>
      </c>
      <c r="X1057">
        <f>1</f>
        <v>1</v>
      </c>
      <c r="Y1057" t="s">
        <v>157</v>
      </c>
      <c r="Z1057">
        <f>0</f>
        <v>0</v>
      </c>
      <c r="AA1057" t="s">
        <v>158</v>
      </c>
      <c r="AB1057" t="s">
        <v>158</v>
      </c>
      <c r="AC1057">
        <f>0</f>
        <v>0</v>
      </c>
      <c r="AD1057">
        <f>0</f>
        <v>0</v>
      </c>
      <c r="AE1057">
        <f>0</f>
        <v>0</v>
      </c>
    </row>
    <row r="1058" spans="1:148" x14ac:dyDescent="0.25">
      <c r="A1058" t="s">
        <v>3505</v>
      </c>
      <c r="B1058" t="s">
        <v>148</v>
      </c>
      <c r="C1058" s="1">
        <v>45737</v>
      </c>
      <c r="D1058" t="s">
        <v>175</v>
      </c>
      <c r="E1058" t="s">
        <v>176</v>
      </c>
      <c r="F1058" t="s">
        <v>630</v>
      </c>
      <c r="G1058" t="s">
        <v>1184</v>
      </c>
      <c r="H1058">
        <v>711</v>
      </c>
      <c r="I1058" t="s">
        <v>1184</v>
      </c>
      <c r="J1058">
        <v>3705</v>
      </c>
      <c r="K1058" t="s">
        <v>5254</v>
      </c>
      <c r="L1058" t="s">
        <v>154</v>
      </c>
      <c r="M1058" t="s">
        <v>5906</v>
      </c>
      <c r="N1058" t="s">
        <v>1185</v>
      </c>
      <c r="O1058" t="s">
        <v>1186</v>
      </c>
      <c r="R1058">
        <f>1</f>
        <v>1</v>
      </c>
      <c r="S1058">
        <f>6.7</f>
        <v>6.7</v>
      </c>
      <c r="T1058">
        <f>7.6</f>
        <v>7.6</v>
      </c>
      <c r="U1058">
        <f>518</f>
        <v>518</v>
      </c>
      <c r="V1058">
        <f>0.21</f>
        <v>0.21</v>
      </c>
      <c r="X1058">
        <f>0</f>
        <v>0</v>
      </c>
      <c r="Y1058">
        <f>0.2</f>
        <v>0.2</v>
      </c>
      <c r="Z1058">
        <f>0</f>
        <v>0</v>
      </c>
      <c r="AA1058" t="s">
        <v>158</v>
      </c>
      <c r="AB1058" t="s">
        <v>158</v>
      </c>
      <c r="AD1058">
        <f>0</f>
        <v>0</v>
      </c>
      <c r="AE1058">
        <f>0</f>
        <v>0</v>
      </c>
    </row>
    <row r="1059" spans="1:148" x14ac:dyDescent="0.25">
      <c r="A1059" t="s">
        <v>3506</v>
      </c>
      <c r="B1059" t="s">
        <v>148</v>
      </c>
      <c r="C1059" s="1">
        <v>45741</v>
      </c>
      <c r="D1059" t="s">
        <v>175</v>
      </c>
      <c r="E1059" t="s">
        <v>649</v>
      </c>
      <c r="F1059" t="s">
        <v>1191</v>
      </c>
      <c r="G1059" t="s">
        <v>1192</v>
      </c>
      <c r="H1059">
        <v>714</v>
      </c>
      <c r="I1059" t="s">
        <v>1192</v>
      </c>
      <c r="J1059">
        <v>1211</v>
      </c>
      <c r="K1059" t="s">
        <v>5254</v>
      </c>
      <c r="L1059" t="s">
        <v>431</v>
      </c>
      <c r="M1059" t="s">
        <v>5908</v>
      </c>
      <c r="N1059" t="s">
        <v>1193</v>
      </c>
      <c r="O1059" t="s">
        <v>1194</v>
      </c>
      <c r="R1059">
        <f>1</f>
        <v>1</v>
      </c>
      <c r="S1059">
        <f>13</f>
        <v>13</v>
      </c>
      <c r="T1059">
        <f>8</f>
        <v>8</v>
      </c>
      <c r="U1059">
        <f>381</f>
        <v>381</v>
      </c>
      <c r="V1059">
        <f>0.05</f>
        <v>0.05</v>
      </c>
      <c r="X1059">
        <f>0</f>
        <v>0</v>
      </c>
      <c r="Y1059">
        <f>1.16</f>
        <v>1.1599999999999999</v>
      </c>
      <c r="Z1059">
        <f>0</f>
        <v>0</v>
      </c>
      <c r="AA1059">
        <f>68</f>
        <v>68</v>
      </c>
      <c r="AB1059">
        <f>47</f>
        <v>47</v>
      </c>
      <c r="AD1059">
        <f>0</f>
        <v>0</v>
      </c>
      <c r="AE1059">
        <f>0</f>
        <v>0</v>
      </c>
      <c r="AH1059" t="s">
        <v>157</v>
      </c>
    </row>
    <row r="1060" spans="1:148" x14ac:dyDescent="0.25">
      <c r="A1060" t="s">
        <v>3507</v>
      </c>
      <c r="B1060" t="s">
        <v>148</v>
      </c>
      <c r="C1060" s="1">
        <v>45793</v>
      </c>
      <c r="D1060" t="s">
        <v>175</v>
      </c>
      <c r="E1060" t="s">
        <v>176</v>
      </c>
      <c r="F1060" t="s">
        <v>630</v>
      </c>
      <c r="G1060" t="s">
        <v>5909</v>
      </c>
      <c r="H1060">
        <v>738</v>
      </c>
      <c r="I1060" t="s">
        <v>5909</v>
      </c>
      <c r="J1060">
        <v>2808</v>
      </c>
      <c r="K1060" t="s">
        <v>5254</v>
      </c>
      <c r="L1060" t="s">
        <v>154</v>
      </c>
      <c r="M1060" t="s">
        <v>1201</v>
      </c>
      <c r="N1060" t="s">
        <v>5910</v>
      </c>
      <c r="O1060" t="s">
        <v>1202</v>
      </c>
      <c r="Q1060" t="s">
        <v>6311</v>
      </c>
      <c r="R1060">
        <f>1</f>
        <v>1</v>
      </c>
      <c r="S1060">
        <f>16.4</f>
        <v>16.399999999999999</v>
      </c>
      <c r="T1060">
        <f>7.5</f>
        <v>7.5</v>
      </c>
      <c r="U1060">
        <f>538</f>
        <v>538</v>
      </c>
      <c r="X1060">
        <f>0</f>
        <v>0</v>
      </c>
      <c r="Y1060">
        <f>0.1</f>
        <v>0.1</v>
      </c>
      <c r="Z1060">
        <f>0</f>
        <v>0</v>
      </c>
      <c r="AA1060" t="s">
        <v>158</v>
      </c>
      <c r="AB1060" t="s">
        <v>158</v>
      </c>
      <c r="AD1060">
        <f>0</f>
        <v>0</v>
      </c>
      <c r="AE1060">
        <f>0</f>
        <v>0</v>
      </c>
      <c r="AH1060" t="s">
        <v>157</v>
      </c>
    </row>
    <row r="1061" spans="1:148" x14ac:dyDescent="0.25">
      <c r="A1061" t="s">
        <v>3508</v>
      </c>
      <c r="B1061" t="s">
        <v>148</v>
      </c>
      <c r="C1061" s="1">
        <v>45821</v>
      </c>
      <c r="D1061" t="s">
        <v>269</v>
      </c>
      <c r="E1061" t="s">
        <v>270</v>
      </c>
      <c r="F1061" t="s">
        <v>271</v>
      </c>
      <c r="G1061" t="s">
        <v>6560</v>
      </c>
      <c r="H1061">
        <v>1474</v>
      </c>
      <c r="I1061" t="s">
        <v>6560</v>
      </c>
      <c r="J1061">
        <v>2443</v>
      </c>
      <c r="K1061" t="s">
        <v>5257</v>
      </c>
      <c r="L1061" t="s">
        <v>387</v>
      </c>
      <c r="M1061" t="s">
        <v>5844</v>
      </c>
      <c r="N1061" t="s">
        <v>4718</v>
      </c>
      <c r="O1061" t="s">
        <v>697</v>
      </c>
      <c r="R1061">
        <f>1</f>
        <v>1</v>
      </c>
      <c r="S1061">
        <f>17</f>
        <v>17</v>
      </c>
      <c r="T1061">
        <f>7.9</f>
        <v>7.9</v>
      </c>
      <c r="U1061">
        <f>381</f>
        <v>381</v>
      </c>
      <c r="X1061">
        <f>0</f>
        <v>0</v>
      </c>
      <c r="Y1061">
        <f>0.38</f>
        <v>0.38</v>
      </c>
      <c r="Z1061">
        <f>0</f>
        <v>0</v>
      </c>
      <c r="AA1061" t="s">
        <v>158</v>
      </c>
      <c r="AB1061" t="s">
        <v>158</v>
      </c>
      <c r="AC1061">
        <f>0</f>
        <v>0</v>
      </c>
      <c r="AD1061">
        <f>0</f>
        <v>0</v>
      </c>
      <c r="AE1061">
        <f>0</f>
        <v>0</v>
      </c>
      <c r="AH1061" t="s">
        <v>166</v>
      </c>
      <c r="AI1061" t="s">
        <v>300</v>
      </c>
      <c r="AL1061" t="s">
        <v>216</v>
      </c>
      <c r="AM1061" t="s">
        <v>266</v>
      </c>
      <c r="AN1061">
        <f>0.88</f>
        <v>0.88</v>
      </c>
      <c r="AO1061">
        <f>0.018</f>
        <v>1.7999999999999999E-2</v>
      </c>
      <c r="AP1061">
        <f>1.68</f>
        <v>1.68</v>
      </c>
      <c r="AQ1061">
        <f>1.09</f>
        <v>1.0900000000000001</v>
      </c>
      <c r="AR1061">
        <f>0.05</f>
        <v>0.05</v>
      </c>
      <c r="AS1061">
        <f>0.7</f>
        <v>0.7</v>
      </c>
      <c r="AY1061" t="s">
        <v>157</v>
      </c>
      <c r="AZ1061" t="s">
        <v>208</v>
      </c>
      <c r="BA1061">
        <f>0.0017</f>
        <v>1.6999999999999999E-3</v>
      </c>
      <c r="BB1061">
        <f>15</f>
        <v>15</v>
      </c>
      <c r="BC1061" t="s">
        <v>209</v>
      </c>
      <c r="BD1061" t="s">
        <v>157</v>
      </c>
      <c r="BE1061">
        <f>0.001</f>
        <v>1E-3</v>
      </c>
      <c r="BF1061" t="s">
        <v>168</v>
      </c>
      <c r="BG1061">
        <f>0.41</f>
        <v>0.41</v>
      </c>
      <c r="BH1061" t="s">
        <v>157</v>
      </c>
      <c r="BK1061">
        <f>0.46</f>
        <v>0.46</v>
      </c>
    </row>
    <row r="1062" spans="1:148" x14ac:dyDescent="0.25">
      <c r="A1062" t="s">
        <v>3509</v>
      </c>
      <c r="B1062" t="s">
        <v>148</v>
      </c>
      <c r="C1062" s="1">
        <v>45810</v>
      </c>
      <c r="D1062" t="s">
        <v>269</v>
      </c>
      <c r="E1062" t="s">
        <v>270</v>
      </c>
      <c r="F1062" t="s">
        <v>271</v>
      </c>
      <c r="G1062" t="s">
        <v>701</v>
      </c>
      <c r="H1062">
        <v>151</v>
      </c>
      <c r="I1062" t="s">
        <v>701</v>
      </c>
      <c r="J1062">
        <v>3340</v>
      </c>
      <c r="K1062" t="s">
        <v>5257</v>
      </c>
      <c r="L1062" t="s">
        <v>4940</v>
      </c>
      <c r="M1062" t="s">
        <v>702</v>
      </c>
      <c r="N1062" t="s">
        <v>703</v>
      </c>
      <c r="O1062" t="s">
        <v>704</v>
      </c>
      <c r="Q1062" t="s">
        <v>6452</v>
      </c>
      <c r="R1062">
        <f>1</f>
        <v>1</v>
      </c>
      <c r="S1062">
        <f>18.7</f>
        <v>18.7</v>
      </c>
      <c r="T1062">
        <f>7.9</f>
        <v>7.9</v>
      </c>
      <c r="U1062">
        <f>486</f>
        <v>486</v>
      </c>
      <c r="X1062">
        <f>0</f>
        <v>0</v>
      </c>
      <c r="Y1062" t="s">
        <v>207</v>
      </c>
      <c r="Z1062">
        <f>0</f>
        <v>0</v>
      </c>
      <c r="AA1062" t="s">
        <v>158</v>
      </c>
      <c r="AB1062" t="s">
        <v>158</v>
      </c>
      <c r="AC1062">
        <f>0</f>
        <v>0</v>
      </c>
      <c r="AD1062">
        <f>0</f>
        <v>0</v>
      </c>
      <c r="AE1062">
        <f>0</f>
        <v>0</v>
      </c>
      <c r="AH1062" t="s">
        <v>166</v>
      </c>
    </row>
    <row r="1063" spans="1:148" x14ac:dyDescent="0.25">
      <c r="A1063" t="s">
        <v>3510</v>
      </c>
      <c r="B1063" t="s">
        <v>148</v>
      </c>
      <c r="C1063" s="1">
        <v>45853</v>
      </c>
      <c r="D1063" t="s">
        <v>175</v>
      </c>
      <c r="E1063" t="s">
        <v>176</v>
      </c>
      <c r="F1063" t="s">
        <v>1209</v>
      </c>
      <c r="G1063" t="s">
        <v>1210</v>
      </c>
      <c r="H1063">
        <v>175</v>
      </c>
      <c r="I1063" t="s">
        <v>1210</v>
      </c>
      <c r="J1063">
        <v>4798</v>
      </c>
      <c r="K1063" t="s">
        <v>5254</v>
      </c>
      <c r="L1063" t="s">
        <v>431</v>
      </c>
      <c r="M1063" t="s">
        <v>1211</v>
      </c>
      <c r="N1063" t="s">
        <v>1212</v>
      </c>
      <c r="O1063" t="s">
        <v>1213</v>
      </c>
      <c r="Q1063" t="s">
        <v>6301</v>
      </c>
      <c r="R1063">
        <f>1</f>
        <v>1</v>
      </c>
      <c r="S1063">
        <f>17.4</f>
        <v>17.399999999999999</v>
      </c>
      <c r="T1063">
        <f>7.9</f>
        <v>7.9</v>
      </c>
      <c r="U1063">
        <f>280</f>
        <v>280</v>
      </c>
      <c r="V1063" t="s">
        <v>209</v>
      </c>
      <c r="X1063">
        <f>0</f>
        <v>0</v>
      </c>
      <c r="Y1063" t="s">
        <v>157</v>
      </c>
      <c r="Z1063">
        <f>0</f>
        <v>0</v>
      </c>
      <c r="AA1063">
        <f>9</f>
        <v>9</v>
      </c>
      <c r="AB1063">
        <f>8</f>
        <v>8</v>
      </c>
      <c r="AD1063">
        <f>0</f>
        <v>0</v>
      </c>
      <c r="AE1063">
        <f>0</f>
        <v>0</v>
      </c>
      <c r="AH1063" t="s">
        <v>157</v>
      </c>
    </row>
    <row r="1064" spans="1:148" x14ac:dyDescent="0.25">
      <c r="A1064" t="s">
        <v>3511</v>
      </c>
      <c r="B1064" t="s">
        <v>148</v>
      </c>
      <c r="C1064" s="1">
        <v>45771</v>
      </c>
      <c r="D1064" t="s">
        <v>175</v>
      </c>
      <c r="E1064" t="s">
        <v>176</v>
      </c>
      <c r="F1064" t="s">
        <v>4773</v>
      </c>
      <c r="G1064" t="s">
        <v>3512</v>
      </c>
      <c r="H1064">
        <v>179</v>
      </c>
      <c r="I1064" t="s">
        <v>3512</v>
      </c>
      <c r="J1064">
        <v>1558</v>
      </c>
      <c r="K1064" t="s">
        <v>5257</v>
      </c>
      <c r="L1064" t="s">
        <v>431</v>
      </c>
      <c r="M1064" t="s">
        <v>6202</v>
      </c>
      <c r="N1064" t="s">
        <v>3513</v>
      </c>
      <c r="O1064" t="s">
        <v>3514</v>
      </c>
      <c r="R1064">
        <f>1</f>
        <v>1</v>
      </c>
      <c r="S1064">
        <f>12.7</f>
        <v>12.7</v>
      </c>
      <c r="T1064">
        <f>7.8</f>
        <v>7.8</v>
      </c>
      <c r="U1064">
        <f>415</f>
        <v>415</v>
      </c>
      <c r="V1064">
        <f>0.09</f>
        <v>0.09</v>
      </c>
      <c r="X1064">
        <f>1</f>
        <v>1</v>
      </c>
      <c r="Y1064" t="s">
        <v>157</v>
      </c>
      <c r="Z1064">
        <f>0</f>
        <v>0</v>
      </c>
      <c r="AA1064" t="s">
        <v>158</v>
      </c>
      <c r="AB1064" t="s">
        <v>158</v>
      </c>
      <c r="AC1064">
        <f>0</f>
        <v>0</v>
      </c>
      <c r="AD1064">
        <f>0</f>
        <v>0</v>
      </c>
      <c r="AE1064">
        <f>0</f>
        <v>0</v>
      </c>
    </row>
    <row r="1065" spans="1:148" x14ac:dyDescent="0.25">
      <c r="A1065" t="s">
        <v>3515</v>
      </c>
      <c r="B1065" t="s">
        <v>148</v>
      </c>
      <c r="C1065" s="1">
        <v>45824</v>
      </c>
      <c r="D1065" t="s">
        <v>269</v>
      </c>
      <c r="E1065" t="s">
        <v>270</v>
      </c>
      <c r="F1065" t="s">
        <v>271</v>
      </c>
      <c r="G1065" t="s">
        <v>707</v>
      </c>
      <c r="H1065">
        <v>171</v>
      </c>
      <c r="I1065" t="s">
        <v>708</v>
      </c>
      <c r="J1065">
        <v>2135</v>
      </c>
      <c r="K1065" t="s">
        <v>5257</v>
      </c>
      <c r="L1065" t="s">
        <v>431</v>
      </c>
      <c r="M1065" t="s">
        <v>5847</v>
      </c>
      <c r="N1065" t="s">
        <v>5848</v>
      </c>
      <c r="O1065" t="s">
        <v>709</v>
      </c>
      <c r="R1065">
        <f>1</f>
        <v>1</v>
      </c>
      <c r="S1065">
        <f>14.2</f>
        <v>14.2</v>
      </c>
      <c r="T1065">
        <f>7.4</f>
        <v>7.4</v>
      </c>
      <c r="U1065">
        <f>574</f>
        <v>574</v>
      </c>
      <c r="X1065">
        <f>0</f>
        <v>0</v>
      </c>
      <c r="Y1065">
        <f>0.55</f>
        <v>0.55000000000000004</v>
      </c>
      <c r="Z1065">
        <f>0</f>
        <v>0</v>
      </c>
      <c r="AA1065" t="s">
        <v>158</v>
      </c>
      <c r="AB1065" t="s">
        <v>158</v>
      </c>
      <c r="AC1065">
        <f>0</f>
        <v>0</v>
      </c>
      <c r="AD1065">
        <f>0</f>
        <v>0</v>
      </c>
      <c r="AE1065">
        <f>0</f>
        <v>0</v>
      </c>
      <c r="AH1065" t="s">
        <v>166</v>
      </c>
      <c r="AI1065">
        <f>0.67</f>
        <v>0.67</v>
      </c>
      <c r="AL1065" t="s">
        <v>216</v>
      </c>
      <c r="AM1065" t="s">
        <v>266</v>
      </c>
      <c r="AN1065">
        <f>4.32</f>
        <v>4.32</v>
      </c>
      <c r="AO1065">
        <f>0.086</f>
        <v>8.5999999999999993E-2</v>
      </c>
      <c r="AP1065">
        <f>5.03</f>
        <v>5.03</v>
      </c>
      <c r="AQ1065">
        <f>1.02</f>
        <v>1.02</v>
      </c>
      <c r="AR1065" t="s">
        <v>209</v>
      </c>
      <c r="AS1065">
        <f>0.88</f>
        <v>0.88</v>
      </c>
      <c r="AY1065" t="s">
        <v>157</v>
      </c>
      <c r="AZ1065" t="s">
        <v>208</v>
      </c>
      <c r="BA1065" t="s">
        <v>473</v>
      </c>
      <c r="BB1065" t="s">
        <v>1417</v>
      </c>
      <c r="BC1065" t="s">
        <v>209</v>
      </c>
      <c r="BD1065" t="s">
        <v>157</v>
      </c>
      <c r="BE1065">
        <f>0.0036</f>
        <v>3.5999999999999999E-3</v>
      </c>
      <c r="BF1065">
        <f>0.034</f>
        <v>3.4000000000000002E-2</v>
      </c>
      <c r="BG1065" t="s">
        <v>237</v>
      </c>
      <c r="BH1065" t="s">
        <v>157</v>
      </c>
      <c r="BK1065">
        <f>0.31</f>
        <v>0.31</v>
      </c>
      <c r="EL1065">
        <f>0.8</f>
        <v>0.8</v>
      </c>
      <c r="EM1065" t="s">
        <v>238</v>
      </c>
      <c r="EN1065">
        <f>0.4</f>
        <v>0.4</v>
      </c>
      <c r="EO1065" t="s">
        <v>300</v>
      </c>
      <c r="ER1065">
        <f>1.2</f>
        <v>1.2</v>
      </c>
    </row>
    <row r="1066" spans="1:148" x14ac:dyDescent="0.25">
      <c r="A1066" t="s">
        <v>3516</v>
      </c>
      <c r="B1066" t="s">
        <v>148</v>
      </c>
      <c r="C1066" s="1">
        <v>45840</v>
      </c>
      <c r="D1066" t="s">
        <v>189</v>
      </c>
      <c r="E1066" t="s">
        <v>284</v>
      </c>
      <c r="F1066" t="s">
        <v>285</v>
      </c>
      <c r="G1066" t="s">
        <v>286</v>
      </c>
      <c r="H1066">
        <v>196</v>
      </c>
      <c r="I1066" t="s">
        <v>5916</v>
      </c>
      <c r="J1066">
        <v>1917</v>
      </c>
      <c r="K1066" t="s">
        <v>5257</v>
      </c>
      <c r="L1066" t="s">
        <v>4979</v>
      </c>
      <c r="M1066" t="s">
        <v>5917</v>
      </c>
      <c r="N1066" t="s">
        <v>5918</v>
      </c>
      <c r="O1066" t="s">
        <v>1237</v>
      </c>
      <c r="R1066">
        <f>1</f>
        <v>1</v>
      </c>
      <c r="S1066">
        <f>20.8</f>
        <v>20.8</v>
      </c>
      <c r="T1066">
        <f>7.7</f>
        <v>7.7</v>
      </c>
      <c r="U1066">
        <f>323</f>
        <v>323</v>
      </c>
      <c r="X1066">
        <f>0</f>
        <v>0</v>
      </c>
      <c r="Y1066" t="s">
        <v>207</v>
      </c>
      <c r="Z1066">
        <f>0</f>
        <v>0</v>
      </c>
      <c r="AA1066" t="s">
        <v>158</v>
      </c>
      <c r="AB1066" t="s">
        <v>158</v>
      </c>
      <c r="AC1066">
        <f>0</f>
        <v>0</v>
      </c>
      <c r="AD1066">
        <f>0</f>
        <v>0</v>
      </c>
      <c r="AE1066">
        <f>0</f>
        <v>0</v>
      </c>
      <c r="AH1066" t="s">
        <v>166</v>
      </c>
      <c r="AI1066">
        <f>0.58</f>
        <v>0.57999999999999996</v>
      </c>
      <c r="AL1066" t="s">
        <v>216</v>
      </c>
      <c r="AM1066" t="s">
        <v>266</v>
      </c>
      <c r="AN1066">
        <f>3.17</f>
        <v>3.17</v>
      </c>
      <c r="AO1066">
        <f>0.063</f>
        <v>6.3E-2</v>
      </c>
      <c r="AP1066">
        <f>3.38</f>
        <v>3.38</v>
      </c>
      <c r="AQ1066">
        <f>2.23</f>
        <v>2.23</v>
      </c>
      <c r="AR1066" t="s">
        <v>209</v>
      </c>
      <c r="AS1066">
        <f>1.9</f>
        <v>1.9</v>
      </c>
      <c r="AY1066" t="s">
        <v>157</v>
      </c>
      <c r="AZ1066" t="s">
        <v>208</v>
      </c>
      <c r="BA1066">
        <f>0.0024</f>
        <v>2.3999999999999998E-3</v>
      </c>
      <c r="BB1066">
        <f>3.5</f>
        <v>3.5</v>
      </c>
      <c r="BC1066" t="s">
        <v>209</v>
      </c>
      <c r="BD1066" t="s">
        <v>157</v>
      </c>
      <c r="BE1066">
        <f>0.0021</f>
        <v>2.0999999999999999E-3</v>
      </c>
      <c r="BF1066" t="s">
        <v>168</v>
      </c>
      <c r="BG1066">
        <f>0.41</f>
        <v>0.41</v>
      </c>
      <c r="BH1066">
        <f>0.11</f>
        <v>0.11</v>
      </c>
      <c r="BK1066">
        <f>0.56</f>
        <v>0.56000000000000005</v>
      </c>
      <c r="EL1066">
        <f>3</f>
        <v>3</v>
      </c>
      <c r="EM1066" t="s">
        <v>238</v>
      </c>
      <c r="EN1066">
        <f>1.7</f>
        <v>1.7</v>
      </c>
      <c r="EO1066">
        <f>0.6</f>
        <v>0.6</v>
      </c>
      <c r="ER1066">
        <f>5.3</f>
        <v>5.3</v>
      </c>
    </row>
    <row r="1067" spans="1:148" x14ac:dyDescent="0.25">
      <c r="A1067" t="s">
        <v>3517</v>
      </c>
      <c r="B1067" t="s">
        <v>148</v>
      </c>
      <c r="C1067" s="1">
        <v>45824</v>
      </c>
      <c r="D1067" t="s">
        <v>269</v>
      </c>
      <c r="E1067" t="s">
        <v>270</v>
      </c>
      <c r="F1067" t="s">
        <v>6531</v>
      </c>
      <c r="G1067" t="s">
        <v>6532</v>
      </c>
      <c r="H1067">
        <v>797</v>
      </c>
      <c r="I1067" t="s">
        <v>6563</v>
      </c>
      <c r="J1067">
        <v>2912</v>
      </c>
      <c r="K1067" t="s">
        <v>5257</v>
      </c>
      <c r="L1067" t="s">
        <v>722</v>
      </c>
      <c r="M1067" t="s">
        <v>4720</v>
      </c>
      <c r="N1067" t="s">
        <v>5851</v>
      </c>
      <c r="O1067" t="s">
        <v>723</v>
      </c>
      <c r="R1067">
        <f>1</f>
        <v>1</v>
      </c>
      <c r="S1067">
        <f>19.2</f>
        <v>19.2</v>
      </c>
      <c r="T1067">
        <f>7.5</f>
        <v>7.5</v>
      </c>
      <c r="U1067">
        <f>496</f>
        <v>496</v>
      </c>
      <c r="V1067">
        <f>0.2</f>
        <v>0.2</v>
      </c>
      <c r="W1067" t="s">
        <v>207</v>
      </c>
      <c r="X1067">
        <f>0</f>
        <v>0</v>
      </c>
      <c r="Y1067">
        <f>0.11</f>
        <v>0.11</v>
      </c>
      <c r="Z1067">
        <f>0</f>
        <v>0</v>
      </c>
      <c r="AA1067" t="s">
        <v>158</v>
      </c>
      <c r="AB1067" t="s">
        <v>158</v>
      </c>
      <c r="AC1067">
        <f>0</f>
        <v>0</v>
      </c>
      <c r="AD1067">
        <f>0</f>
        <v>0</v>
      </c>
      <c r="AE1067">
        <f>0</f>
        <v>0</v>
      </c>
      <c r="AH1067" t="s">
        <v>166</v>
      </c>
      <c r="AI1067" t="s">
        <v>300</v>
      </c>
      <c r="AL1067" t="s">
        <v>216</v>
      </c>
      <c r="AM1067" t="s">
        <v>266</v>
      </c>
      <c r="AN1067">
        <f>1.91</f>
        <v>1.91</v>
      </c>
      <c r="AO1067">
        <f>0.038</f>
        <v>3.7999999999999999E-2</v>
      </c>
      <c r="AP1067">
        <f>6.11</f>
        <v>6.11</v>
      </c>
      <c r="AQ1067">
        <f>0.85</f>
        <v>0.85</v>
      </c>
      <c r="AR1067">
        <f>0.77</f>
        <v>0.77</v>
      </c>
      <c r="AS1067">
        <f>0.93</f>
        <v>0.93</v>
      </c>
      <c r="AY1067" t="s">
        <v>157</v>
      </c>
      <c r="AZ1067" t="s">
        <v>208</v>
      </c>
      <c r="BA1067">
        <f>0.0022</f>
        <v>2.2000000000000001E-3</v>
      </c>
      <c r="BB1067">
        <f>3.8</f>
        <v>3.8</v>
      </c>
      <c r="BC1067" t="s">
        <v>209</v>
      </c>
      <c r="BD1067">
        <f>0.11</f>
        <v>0.11</v>
      </c>
      <c r="BE1067">
        <f>0.004</f>
        <v>4.0000000000000001E-3</v>
      </c>
      <c r="BF1067" t="s">
        <v>168</v>
      </c>
      <c r="BG1067" t="s">
        <v>237</v>
      </c>
      <c r="BH1067">
        <f>0.11</f>
        <v>0.11</v>
      </c>
      <c r="BK1067">
        <f>0.67</f>
        <v>0.67</v>
      </c>
      <c r="EL1067">
        <f>0.8</f>
        <v>0.8</v>
      </c>
      <c r="EM1067" t="s">
        <v>238</v>
      </c>
      <c r="EN1067">
        <f>0.6</f>
        <v>0.6</v>
      </c>
      <c r="EO1067">
        <f>0.4</f>
        <v>0.4</v>
      </c>
      <c r="ER1067">
        <f>1.8</f>
        <v>1.8</v>
      </c>
    </row>
    <row r="1068" spans="1:148" x14ac:dyDescent="0.25">
      <c r="A1068" t="s">
        <v>3518</v>
      </c>
      <c r="B1068" t="s">
        <v>148</v>
      </c>
      <c r="C1068" s="1">
        <v>45719</v>
      </c>
      <c r="D1068" t="s">
        <v>618</v>
      </c>
      <c r="E1068" t="s">
        <v>619</v>
      </c>
      <c r="F1068" t="s">
        <v>730</v>
      </c>
      <c r="G1068" t="s">
        <v>731</v>
      </c>
      <c r="H1068">
        <v>818</v>
      </c>
      <c r="I1068" t="s">
        <v>731</v>
      </c>
      <c r="J1068">
        <v>7500</v>
      </c>
      <c r="K1068" t="s">
        <v>5254</v>
      </c>
      <c r="L1068" t="s">
        <v>387</v>
      </c>
      <c r="M1068" t="s">
        <v>5852</v>
      </c>
      <c r="N1068" t="s">
        <v>732</v>
      </c>
      <c r="O1068" t="s">
        <v>733</v>
      </c>
      <c r="R1068">
        <f>1</f>
        <v>1</v>
      </c>
      <c r="S1068">
        <f>13.4</f>
        <v>13.4</v>
      </c>
      <c r="T1068">
        <f>7.7</f>
        <v>7.7</v>
      </c>
      <c r="U1068">
        <f>339</f>
        <v>339</v>
      </c>
      <c r="V1068">
        <f>0.12</f>
        <v>0.12</v>
      </c>
      <c r="X1068">
        <f>0</f>
        <v>0</v>
      </c>
      <c r="Y1068">
        <f>0.1</f>
        <v>0.1</v>
      </c>
      <c r="Z1068">
        <f>0</f>
        <v>0</v>
      </c>
      <c r="AA1068" t="s">
        <v>158</v>
      </c>
      <c r="AB1068" t="s">
        <v>158</v>
      </c>
      <c r="AD1068">
        <f>0</f>
        <v>0</v>
      </c>
      <c r="AE1068">
        <f>0</f>
        <v>0</v>
      </c>
      <c r="AH1068" t="s">
        <v>157</v>
      </c>
    </row>
    <row r="1069" spans="1:148" x14ac:dyDescent="0.25">
      <c r="A1069" t="s">
        <v>3519</v>
      </c>
      <c r="B1069" t="s">
        <v>148</v>
      </c>
      <c r="C1069" s="1">
        <v>45772</v>
      </c>
      <c r="D1069" t="s">
        <v>317</v>
      </c>
      <c r="E1069" t="s">
        <v>318</v>
      </c>
      <c r="F1069" t="s">
        <v>6564</v>
      </c>
      <c r="G1069" t="s">
        <v>3520</v>
      </c>
      <c r="H1069">
        <v>94</v>
      </c>
      <c r="I1069" t="s">
        <v>3521</v>
      </c>
      <c r="J1069">
        <v>1868</v>
      </c>
      <c r="K1069" t="s">
        <v>5257</v>
      </c>
      <c r="L1069" t="s">
        <v>180</v>
      </c>
      <c r="M1069" t="s">
        <v>5711</v>
      </c>
      <c r="N1069" t="s">
        <v>3522</v>
      </c>
      <c r="O1069" t="s">
        <v>3523</v>
      </c>
      <c r="Q1069" t="s">
        <v>329</v>
      </c>
      <c r="R1069">
        <f>1</f>
        <v>1</v>
      </c>
      <c r="S1069">
        <f>10.1</f>
        <v>10.1</v>
      </c>
      <c r="T1069">
        <f>8.1</f>
        <v>8.1</v>
      </c>
      <c r="U1069">
        <f>161</f>
        <v>161</v>
      </c>
      <c r="X1069">
        <f>0</f>
        <v>0</v>
      </c>
      <c r="Y1069">
        <f>0.22</f>
        <v>0.22</v>
      </c>
      <c r="Z1069">
        <f>0</f>
        <v>0</v>
      </c>
      <c r="AA1069">
        <f>5</f>
        <v>5</v>
      </c>
      <c r="AB1069">
        <f>2</f>
        <v>2</v>
      </c>
      <c r="AC1069">
        <f>0</f>
        <v>0</v>
      </c>
      <c r="AD1069">
        <f>0</f>
        <v>0</v>
      </c>
      <c r="AE1069">
        <f>0</f>
        <v>0</v>
      </c>
      <c r="AH1069" t="s">
        <v>157</v>
      </c>
    </row>
    <row r="1070" spans="1:148" x14ac:dyDescent="0.25">
      <c r="A1070" t="s">
        <v>3524</v>
      </c>
      <c r="B1070" t="s">
        <v>148</v>
      </c>
      <c r="C1070" s="1">
        <v>45719</v>
      </c>
      <c r="D1070" t="s">
        <v>242</v>
      </c>
      <c r="E1070" t="s">
        <v>295</v>
      </c>
      <c r="F1070" t="s">
        <v>4944</v>
      </c>
      <c r="G1070" t="s">
        <v>738</v>
      </c>
      <c r="H1070">
        <v>835</v>
      </c>
      <c r="I1070" t="s">
        <v>738</v>
      </c>
      <c r="J1070">
        <v>1857</v>
      </c>
      <c r="K1070" t="s">
        <v>5254</v>
      </c>
      <c r="L1070" t="s">
        <v>387</v>
      </c>
      <c r="M1070" t="s">
        <v>5853</v>
      </c>
      <c r="N1070" t="s">
        <v>739</v>
      </c>
      <c r="O1070" t="s">
        <v>740</v>
      </c>
      <c r="R1070">
        <f>1</f>
        <v>1</v>
      </c>
      <c r="S1070">
        <f>13.5</f>
        <v>13.5</v>
      </c>
      <c r="T1070">
        <f>7.7</f>
        <v>7.7</v>
      </c>
      <c r="U1070">
        <f>510</f>
        <v>510</v>
      </c>
      <c r="V1070">
        <f>0.24</f>
        <v>0.24</v>
      </c>
      <c r="X1070">
        <f>0</f>
        <v>0</v>
      </c>
      <c r="Y1070" t="s">
        <v>207</v>
      </c>
      <c r="Z1070">
        <f>0</f>
        <v>0</v>
      </c>
      <c r="AA1070" t="s">
        <v>158</v>
      </c>
      <c r="AB1070" t="s">
        <v>158</v>
      </c>
      <c r="AD1070">
        <f>0</f>
        <v>0</v>
      </c>
      <c r="AE1070">
        <f>0</f>
        <v>0</v>
      </c>
    </row>
    <row r="1071" spans="1:148" x14ac:dyDescent="0.25">
      <c r="A1071" t="s">
        <v>3525</v>
      </c>
      <c r="B1071" t="s">
        <v>148</v>
      </c>
      <c r="C1071" s="1">
        <v>45719</v>
      </c>
      <c r="D1071" t="s">
        <v>269</v>
      </c>
      <c r="E1071" t="s">
        <v>295</v>
      </c>
      <c r="F1071" t="s">
        <v>331</v>
      </c>
      <c r="G1071" t="s">
        <v>742</v>
      </c>
      <c r="H1071">
        <v>225</v>
      </c>
      <c r="I1071" t="s">
        <v>743</v>
      </c>
      <c r="J1071">
        <v>2476</v>
      </c>
      <c r="K1071" t="s">
        <v>5254</v>
      </c>
      <c r="L1071" t="s">
        <v>154</v>
      </c>
      <c r="M1071" t="s">
        <v>5104</v>
      </c>
      <c r="N1071" t="s">
        <v>5321</v>
      </c>
      <c r="O1071" t="s">
        <v>744</v>
      </c>
      <c r="Q1071" t="s">
        <v>3526</v>
      </c>
      <c r="R1071">
        <f>1</f>
        <v>1</v>
      </c>
      <c r="S1071">
        <f>8.6</f>
        <v>8.6</v>
      </c>
      <c r="T1071">
        <f>7.8</f>
        <v>7.8</v>
      </c>
      <c r="U1071">
        <f>369</f>
        <v>369</v>
      </c>
      <c r="V1071">
        <f>0.14</f>
        <v>0.14000000000000001</v>
      </c>
      <c r="X1071">
        <f>0</f>
        <v>0</v>
      </c>
      <c r="Y1071">
        <f>0.66</f>
        <v>0.66</v>
      </c>
      <c r="Z1071">
        <f>0</f>
        <v>0</v>
      </c>
      <c r="AA1071" t="s">
        <v>158</v>
      </c>
      <c r="AB1071" t="s">
        <v>158</v>
      </c>
      <c r="AD1071">
        <f>0</f>
        <v>0</v>
      </c>
      <c r="AE1071">
        <f>0</f>
        <v>0</v>
      </c>
    </row>
    <row r="1072" spans="1:148" x14ac:dyDescent="0.25">
      <c r="A1072" t="s">
        <v>3527</v>
      </c>
      <c r="B1072" t="s">
        <v>148</v>
      </c>
      <c r="C1072" s="1">
        <v>45810</v>
      </c>
      <c r="D1072" t="s">
        <v>269</v>
      </c>
      <c r="E1072" t="s">
        <v>270</v>
      </c>
      <c r="F1072" t="s">
        <v>746</v>
      </c>
      <c r="G1072" t="s">
        <v>747</v>
      </c>
      <c r="H1072">
        <v>142</v>
      </c>
      <c r="I1072" t="s">
        <v>747</v>
      </c>
      <c r="J1072">
        <v>5884</v>
      </c>
      <c r="K1072" t="s">
        <v>5257</v>
      </c>
      <c r="L1072" t="s">
        <v>4940</v>
      </c>
      <c r="M1072" t="s">
        <v>748</v>
      </c>
      <c r="N1072" t="s">
        <v>5854</v>
      </c>
      <c r="O1072" t="s">
        <v>749</v>
      </c>
      <c r="R1072">
        <f>1</f>
        <v>1</v>
      </c>
      <c r="S1072">
        <f>17.2</f>
        <v>17.2</v>
      </c>
      <c r="T1072">
        <f>7.6</f>
        <v>7.6</v>
      </c>
      <c r="U1072">
        <f>412</f>
        <v>412</v>
      </c>
      <c r="V1072">
        <f>0.14</f>
        <v>0.14000000000000001</v>
      </c>
      <c r="X1072">
        <f>0</f>
        <v>0</v>
      </c>
      <c r="Y1072">
        <f>0.38</f>
        <v>0.38</v>
      </c>
      <c r="Z1072">
        <f>0</f>
        <v>0</v>
      </c>
      <c r="AA1072" t="s">
        <v>158</v>
      </c>
      <c r="AB1072" t="s">
        <v>158</v>
      </c>
      <c r="AC1072">
        <f>0</f>
        <v>0</v>
      </c>
      <c r="AD1072">
        <f>0</f>
        <v>0</v>
      </c>
      <c r="AE1072">
        <f>0</f>
        <v>0</v>
      </c>
      <c r="AH1072" t="s">
        <v>166</v>
      </c>
    </row>
    <row r="1073" spans="1:149" x14ac:dyDescent="0.25">
      <c r="A1073" t="s">
        <v>3528</v>
      </c>
      <c r="B1073" t="s">
        <v>148</v>
      </c>
      <c r="C1073" s="1">
        <v>45722</v>
      </c>
      <c r="D1073" t="s">
        <v>269</v>
      </c>
      <c r="E1073" t="s">
        <v>270</v>
      </c>
      <c r="F1073" t="s">
        <v>746</v>
      </c>
      <c r="G1073" t="s">
        <v>747</v>
      </c>
      <c r="H1073">
        <v>142</v>
      </c>
      <c r="I1073" t="s">
        <v>747</v>
      </c>
      <c r="J1073">
        <v>5884</v>
      </c>
      <c r="K1073" t="s">
        <v>5257</v>
      </c>
      <c r="L1073" t="s">
        <v>4940</v>
      </c>
      <c r="M1073" t="s">
        <v>4722</v>
      </c>
      <c r="N1073" t="s">
        <v>751</v>
      </c>
      <c r="O1073" t="s">
        <v>752</v>
      </c>
      <c r="R1073">
        <f>1</f>
        <v>1</v>
      </c>
      <c r="S1073">
        <f>9.4</f>
        <v>9.4</v>
      </c>
      <c r="T1073">
        <f>7.8</f>
        <v>7.8</v>
      </c>
      <c r="U1073">
        <f>402</f>
        <v>402</v>
      </c>
      <c r="V1073">
        <f>0.23</f>
        <v>0.23</v>
      </c>
      <c r="X1073">
        <f>0</f>
        <v>0</v>
      </c>
      <c r="Y1073">
        <f>0.45</f>
        <v>0.45</v>
      </c>
      <c r="Z1073">
        <f>0</f>
        <v>0</v>
      </c>
      <c r="AA1073" t="s">
        <v>158</v>
      </c>
      <c r="AB1073" t="s">
        <v>158</v>
      </c>
      <c r="AC1073">
        <f>0</f>
        <v>0</v>
      </c>
      <c r="AD1073">
        <f>0</f>
        <v>0</v>
      </c>
      <c r="AE1073">
        <f>0</f>
        <v>0</v>
      </c>
    </row>
    <row r="1074" spans="1:149" x14ac:dyDescent="0.25">
      <c r="A1074" t="s">
        <v>3529</v>
      </c>
      <c r="B1074" t="s">
        <v>148</v>
      </c>
      <c r="C1074" s="1">
        <v>45723</v>
      </c>
      <c r="D1074" t="s">
        <v>269</v>
      </c>
      <c r="E1074" t="s">
        <v>270</v>
      </c>
      <c r="F1074" t="s">
        <v>760</v>
      </c>
      <c r="G1074" t="s">
        <v>761</v>
      </c>
      <c r="H1074">
        <v>694</v>
      </c>
      <c r="I1074" t="s">
        <v>761</v>
      </c>
      <c r="J1074">
        <v>2401</v>
      </c>
      <c r="K1074" t="s">
        <v>5257</v>
      </c>
      <c r="L1074" t="s">
        <v>302</v>
      </c>
      <c r="M1074" t="s">
        <v>5855</v>
      </c>
      <c r="N1074" t="s">
        <v>4964</v>
      </c>
      <c r="O1074" t="s">
        <v>762</v>
      </c>
      <c r="R1074">
        <f>1</f>
        <v>1</v>
      </c>
      <c r="S1074">
        <f>11.7</f>
        <v>11.7</v>
      </c>
      <c r="T1074">
        <f>7.6</f>
        <v>7.6</v>
      </c>
      <c r="U1074">
        <f>8</f>
        <v>8</v>
      </c>
      <c r="W1074">
        <f>0.14</f>
        <v>0.14000000000000001</v>
      </c>
      <c r="X1074">
        <f>0</f>
        <v>0</v>
      </c>
      <c r="Y1074">
        <f>0.23</f>
        <v>0.23</v>
      </c>
      <c r="Z1074">
        <f>0</f>
        <v>0</v>
      </c>
      <c r="AA1074">
        <f>10</f>
        <v>10</v>
      </c>
      <c r="AB1074">
        <f>16</f>
        <v>16</v>
      </c>
      <c r="AC1074">
        <f>0</f>
        <v>0</v>
      </c>
      <c r="AD1074">
        <f>0</f>
        <v>0</v>
      </c>
      <c r="AE1074">
        <f>0</f>
        <v>0</v>
      </c>
    </row>
    <row r="1075" spans="1:149" x14ac:dyDescent="0.25">
      <c r="A1075" t="s">
        <v>3530</v>
      </c>
      <c r="B1075" t="s">
        <v>148</v>
      </c>
      <c r="C1075" s="1">
        <v>45817</v>
      </c>
      <c r="D1075" t="s">
        <v>242</v>
      </c>
      <c r="E1075" t="s">
        <v>295</v>
      </c>
      <c r="F1075" t="s">
        <v>764</v>
      </c>
      <c r="G1075" t="s">
        <v>765</v>
      </c>
      <c r="H1075">
        <v>890</v>
      </c>
      <c r="I1075" t="s">
        <v>765</v>
      </c>
      <c r="J1075">
        <v>1195</v>
      </c>
      <c r="K1075" t="s">
        <v>5254</v>
      </c>
      <c r="L1075" t="s">
        <v>393</v>
      </c>
      <c r="M1075" t="s">
        <v>5322</v>
      </c>
      <c r="N1075" t="s">
        <v>766</v>
      </c>
      <c r="O1075" t="s">
        <v>767</v>
      </c>
      <c r="R1075">
        <f>1</f>
        <v>1</v>
      </c>
      <c r="S1075">
        <f>19.1</f>
        <v>19.100000000000001</v>
      </c>
      <c r="T1075">
        <f>7.7</f>
        <v>7.7</v>
      </c>
      <c r="U1075">
        <f>395</f>
        <v>395</v>
      </c>
      <c r="V1075">
        <f>0.23</f>
        <v>0.23</v>
      </c>
      <c r="X1075">
        <f>1</f>
        <v>1</v>
      </c>
      <c r="Y1075">
        <f>0.36</f>
        <v>0.36</v>
      </c>
      <c r="Z1075">
        <f>0</f>
        <v>0</v>
      </c>
      <c r="AA1075" t="s">
        <v>158</v>
      </c>
      <c r="AB1075" t="s">
        <v>158</v>
      </c>
      <c r="AD1075">
        <f>0</f>
        <v>0</v>
      </c>
      <c r="AE1075">
        <f>0</f>
        <v>0</v>
      </c>
      <c r="AH1075" t="s">
        <v>157</v>
      </c>
      <c r="AI1075" t="s">
        <v>238</v>
      </c>
      <c r="AL1075" t="s">
        <v>164</v>
      </c>
      <c r="AM1075" t="s">
        <v>165</v>
      </c>
      <c r="AN1075">
        <f>2.7</f>
        <v>2.7</v>
      </c>
      <c r="AO1075">
        <f>0.05</f>
        <v>0.05</v>
      </c>
      <c r="AP1075">
        <f>12</f>
        <v>12</v>
      </c>
      <c r="AQ1075">
        <f>4.9</f>
        <v>4.9000000000000004</v>
      </c>
      <c r="AR1075" t="s">
        <v>157</v>
      </c>
      <c r="AS1075">
        <f>7.6</f>
        <v>7.6</v>
      </c>
      <c r="AY1075" t="s">
        <v>167</v>
      </c>
      <c r="AZ1075" t="s">
        <v>158</v>
      </c>
      <c r="BA1075" t="s">
        <v>216</v>
      </c>
      <c r="BB1075" t="s">
        <v>158</v>
      </c>
      <c r="BC1075" t="s">
        <v>166</v>
      </c>
      <c r="BD1075" t="s">
        <v>167</v>
      </c>
      <c r="BE1075">
        <f>0.008</f>
        <v>8.0000000000000002E-3</v>
      </c>
      <c r="BF1075" t="s">
        <v>168</v>
      </c>
      <c r="BG1075" t="s">
        <v>167</v>
      </c>
      <c r="BH1075" t="s">
        <v>167</v>
      </c>
      <c r="BK1075">
        <f>0.41</f>
        <v>0.41</v>
      </c>
      <c r="EL1075">
        <f>0.71</f>
        <v>0.71</v>
      </c>
      <c r="EM1075" t="s">
        <v>166</v>
      </c>
      <c r="EN1075">
        <f>0.77</f>
        <v>0.77</v>
      </c>
      <c r="EO1075">
        <f>0.48</f>
        <v>0.48</v>
      </c>
      <c r="ER1075">
        <f>2</f>
        <v>2</v>
      </c>
    </row>
    <row r="1076" spans="1:149" x14ac:dyDescent="0.25">
      <c r="A1076" t="s">
        <v>3531</v>
      </c>
      <c r="B1076" t="s">
        <v>148</v>
      </c>
      <c r="C1076" s="1">
        <v>45841</v>
      </c>
      <c r="D1076" t="s">
        <v>242</v>
      </c>
      <c r="E1076" t="s">
        <v>243</v>
      </c>
      <c r="F1076" t="s">
        <v>884</v>
      </c>
      <c r="G1076" t="s">
        <v>6579</v>
      </c>
      <c r="H1076">
        <v>1810</v>
      </c>
      <c r="I1076" t="s">
        <v>3532</v>
      </c>
      <c r="J1076">
        <v>1263</v>
      </c>
      <c r="K1076" t="s">
        <v>5254</v>
      </c>
      <c r="L1076" t="s">
        <v>393</v>
      </c>
      <c r="M1076" t="s">
        <v>3533</v>
      </c>
      <c r="N1076" t="s">
        <v>3534</v>
      </c>
      <c r="O1076" t="s">
        <v>3535</v>
      </c>
      <c r="R1076">
        <f>1</f>
        <v>1</v>
      </c>
      <c r="S1076">
        <f>22.7</f>
        <v>22.7</v>
      </c>
      <c r="T1076">
        <f>8</f>
        <v>8</v>
      </c>
      <c r="U1076">
        <f>246</f>
        <v>246</v>
      </c>
      <c r="X1076">
        <f>0</f>
        <v>0</v>
      </c>
      <c r="Y1076">
        <f>0.38</f>
        <v>0.38</v>
      </c>
      <c r="Z1076">
        <f>0</f>
        <v>0</v>
      </c>
      <c r="AA1076" t="s">
        <v>158</v>
      </c>
      <c r="AB1076" t="s">
        <v>158</v>
      </c>
      <c r="AD1076">
        <f>0</f>
        <v>0</v>
      </c>
      <c r="AE1076">
        <f>0</f>
        <v>0</v>
      </c>
      <c r="AH1076" t="s">
        <v>157</v>
      </c>
    </row>
    <row r="1077" spans="1:149" x14ac:dyDescent="0.25">
      <c r="A1077" t="s">
        <v>3536</v>
      </c>
      <c r="B1077" t="s">
        <v>148</v>
      </c>
      <c r="C1077" s="1">
        <v>45784</v>
      </c>
      <c r="D1077" t="s">
        <v>618</v>
      </c>
      <c r="E1077" t="s">
        <v>619</v>
      </c>
      <c r="F1077" t="s">
        <v>5317</v>
      </c>
      <c r="G1077" t="s">
        <v>5859</v>
      </c>
      <c r="H1077">
        <v>22</v>
      </c>
      <c r="I1077" t="s">
        <v>3537</v>
      </c>
      <c r="J1077">
        <v>4399</v>
      </c>
      <c r="K1077" t="s">
        <v>5254</v>
      </c>
      <c r="L1077" t="s">
        <v>387</v>
      </c>
      <c r="M1077" t="s">
        <v>6815</v>
      </c>
      <c r="N1077" t="s">
        <v>3538</v>
      </c>
      <c r="O1077" t="s">
        <v>3539</v>
      </c>
      <c r="R1077">
        <f>1</f>
        <v>1</v>
      </c>
      <c r="S1077">
        <f>12.4</f>
        <v>12.4</v>
      </c>
      <c r="T1077">
        <f>8</f>
        <v>8</v>
      </c>
      <c r="U1077">
        <f>202</f>
        <v>202</v>
      </c>
      <c r="X1077">
        <f>0</f>
        <v>0</v>
      </c>
      <c r="Y1077">
        <f>0.1</f>
        <v>0.1</v>
      </c>
      <c r="Z1077">
        <f>0</f>
        <v>0</v>
      </c>
      <c r="AA1077" t="s">
        <v>158</v>
      </c>
      <c r="AB1077" t="s">
        <v>158</v>
      </c>
      <c r="AD1077">
        <f>0</f>
        <v>0</v>
      </c>
      <c r="AE1077">
        <f>0</f>
        <v>0</v>
      </c>
      <c r="AH1077" t="s">
        <v>157</v>
      </c>
    </row>
    <row r="1078" spans="1:149" x14ac:dyDescent="0.25">
      <c r="A1078" t="s">
        <v>3540</v>
      </c>
      <c r="B1078" t="s">
        <v>148</v>
      </c>
      <c r="C1078" s="1">
        <v>45818</v>
      </c>
      <c r="D1078" t="s">
        <v>175</v>
      </c>
      <c r="E1078" t="s">
        <v>270</v>
      </c>
      <c r="F1078" t="s">
        <v>354</v>
      </c>
      <c r="G1078" t="s">
        <v>6540</v>
      </c>
      <c r="H1078">
        <v>692</v>
      </c>
      <c r="I1078" t="s">
        <v>779</v>
      </c>
      <c r="J1078">
        <v>9259</v>
      </c>
      <c r="K1078" t="s">
        <v>5257</v>
      </c>
      <c r="L1078" t="s">
        <v>355</v>
      </c>
      <c r="M1078" t="s">
        <v>780</v>
      </c>
      <c r="N1078" t="s">
        <v>781</v>
      </c>
      <c r="O1078" t="s">
        <v>782</v>
      </c>
      <c r="R1078">
        <f>1</f>
        <v>1</v>
      </c>
      <c r="S1078">
        <f>15.2</f>
        <v>15.2</v>
      </c>
      <c r="T1078">
        <f>7.5</f>
        <v>7.5</v>
      </c>
      <c r="U1078">
        <f>470</f>
        <v>470</v>
      </c>
      <c r="V1078">
        <f>0.19</f>
        <v>0.19</v>
      </c>
      <c r="X1078">
        <f>0</f>
        <v>0</v>
      </c>
      <c r="Y1078" t="s">
        <v>207</v>
      </c>
      <c r="Z1078">
        <f>0</f>
        <v>0</v>
      </c>
      <c r="AA1078" t="s">
        <v>158</v>
      </c>
      <c r="AB1078" t="s">
        <v>158</v>
      </c>
      <c r="AC1078">
        <f>0</f>
        <v>0</v>
      </c>
      <c r="AD1078">
        <f>0</f>
        <v>0</v>
      </c>
      <c r="AE1078">
        <f>0</f>
        <v>0</v>
      </c>
      <c r="AH1078" t="s">
        <v>166</v>
      </c>
      <c r="AI1078">
        <f>0.54</f>
        <v>0.54</v>
      </c>
      <c r="AL1078">
        <f>0.081</f>
        <v>8.1000000000000003E-2</v>
      </c>
      <c r="AM1078" t="s">
        <v>266</v>
      </c>
      <c r="AN1078">
        <f>3.06</f>
        <v>3.06</v>
      </c>
      <c r="AO1078">
        <f>0.061</f>
        <v>6.0999999999999999E-2</v>
      </c>
      <c r="AP1078">
        <f>7.2</f>
        <v>7.2</v>
      </c>
      <c r="AQ1078">
        <f>4.88</f>
        <v>4.88</v>
      </c>
      <c r="AR1078" t="s">
        <v>209</v>
      </c>
      <c r="AS1078">
        <f>3.3</f>
        <v>3.3</v>
      </c>
      <c r="AY1078" t="s">
        <v>157</v>
      </c>
      <c r="AZ1078" t="s">
        <v>208</v>
      </c>
      <c r="BA1078">
        <f>0.0035</f>
        <v>3.5000000000000001E-3</v>
      </c>
      <c r="BB1078">
        <f>4.1</f>
        <v>4.0999999999999996</v>
      </c>
      <c r="BC1078">
        <f>0.063</f>
        <v>6.3E-2</v>
      </c>
      <c r="BD1078">
        <f>0.21</f>
        <v>0.21</v>
      </c>
      <c r="BE1078">
        <f>0.0056</f>
        <v>5.5999999999999999E-3</v>
      </c>
      <c r="BF1078" t="s">
        <v>168</v>
      </c>
      <c r="BG1078" t="s">
        <v>237</v>
      </c>
      <c r="BH1078">
        <f>0.16</f>
        <v>0.16</v>
      </c>
      <c r="BK1078">
        <f>0.94</f>
        <v>0.94</v>
      </c>
      <c r="EL1078">
        <f>3.9</f>
        <v>3.9</v>
      </c>
      <c r="EM1078" t="s">
        <v>238</v>
      </c>
      <c r="EN1078">
        <f>1.3</f>
        <v>1.3</v>
      </c>
      <c r="EO1078">
        <f>0.4</f>
        <v>0.4</v>
      </c>
      <c r="ER1078">
        <f>5.6</f>
        <v>5.6</v>
      </c>
    </row>
    <row r="1079" spans="1:149" x14ac:dyDescent="0.25">
      <c r="A1079" t="s">
        <v>3541</v>
      </c>
      <c r="B1079" t="s">
        <v>148</v>
      </c>
      <c r="C1079" s="1">
        <v>45727</v>
      </c>
      <c r="D1079" t="s">
        <v>175</v>
      </c>
      <c r="E1079" t="s">
        <v>270</v>
      </c>
      <c r="F1079" t="s">
        <v>354</v>
      </c>
      <c r="G1079" t="s">
        <v>6540</v>
      </c>
      <c r="H1079">
        <v>693</v>
      </c>
      <c r="I1079" t="s">
        <v>5133</v>
      </c>
      <c r="J1079">
        <v>2414</v>
      </c>
      <c r="K1079" t="s">
        <v>5257</v>
      </c>
      <c r="L1079" t="s">
        <v>355</v>
      </c>
      <c r="M1079" t="s">
        <v>5134</v>
      </c>
      <c r="N1079" t="s">
        <v>4980</v>
      </c>
      <c r="O1079" t="s">
        <v>1293</v>
      </c>
      <c r="R1079">
        <f>1</f>
        <v>1</v>
      </c>
      <c r="S1079">
        <f>8.9</f>
        <v>8.9</v>
      </c>
      <c r="T1079">
        <f>8</f>
        <v>8</v>
      </c>
      <c r="U1079">
        <f>401</f>
        <v>401</v>
      </c>
      <c r="V1079">
        <f>0.17</f>
        <v>0.17</v>
      </c>
      <c r="X1079">
        <f>0</f>
        <v>0</v>
      </c>
      <c r="Y1079" t="s">
        <v>207</v>
      </c>
      <c r="Z1079">
        <f>0</f>
        <v>0</v>
      </c>
      <c r="AA1079" t="s">
        <v>158</v>
      </c>
      <c r="AB1079" t="s">
        <v>158</v>
      </c>
      <c r="AC1079">
        <f>0</f>
        <v>0</v>
      </c>
      <c r="AD1079">
        <f>0</f>
        <v>0</v>
      </c>
      <c r="AE1079">
        <f>0</f>
        <v>0</v>
      </c>
    </row>
    <row r="1080" spans="1:149" x14ac:dyDescent="0.25">
      <c r="A1080" t="s">
        <v>3542</v>
      </c>
      <c r="B1080" t="s">
        <v>148</v>
      </c>
      <c r="C1080" s="1">
        <v>45824</v>
      </c>
      <c r="D1080" t="s">
        <v>317</v>
      </c>
      <c r="E1080" t="s">
        <v>318</v>
      </c>
      <c r="F1080" t="s">
        <v>6566</v>
      </c>
      <c r="G1080" t="s">
        <v>5105</v>
      </c>
      <c r="H1080">
        <v>621</v>
      </c>
      <c r="I1080" t="s">
        <v>5105</v>
      </c>
      <c r="J1080">
        <v>3602</v>
      </c>
      <c r="K1080" t="s">
        <v>5254</v>
      </c>
      <c r="L1080" t="s">
        <v>4948</v>
      </c>
      <c r="M1080" t="s">
        <v>5324</v>
      </c>
      <c r="N1080" t="s">
        <v>5325</v>
      </c>
      <c r="O1080" t="s">
        <v>784</v>
      </c>
      <c r="Q1080" t="s">
        <v>6322</v>
      </c>
      <c r="R1080">
        <f>1</f>
        <v>1</v>
      </c>
      <c r="S1080">
        <f>16.7</f>
        <v>16.7</v>
      </c>
      <c r="T1080">
        <f>7.8</f>
        <v>7.8</v>
      </c>
      <c r="U1080">
        <f>220</f>
        <v>220</v>
      </c>
      <c r="X1080">
        <f>0</f>
        <v>0</v>
      </c>
      <c r="Y1080">
        <f>0.17</f>
        <v>0.17</v>
      </c>
      <c r="Z1080">
        <f>0</f>
        <v>0</v>
      </c>
      <c r="AA1080">
        <f>0</f>
        <v>0</v>
      </c>
      <c r="AB1080">
        <f>0</f>
        <v>0</v>
      </c>
      <c r="AD1080">
        <f>0</f>
        <v>0</v>
      </c>
      <c r="AE1080">
        <f>0</f>
        <v>0</v>
      </c>
      <c r="AH1080" t="s">
        <v>157</v>
      </c>
    </row>
    <row r="1081" spans="1:149" x14ac:dyDescent="0.25">
      <c r="A1081" t="s">
        <v>3543</v>
      </c>
      <c r="B1081" t="s">
        <v>148</v>
      </c>
      <c r="C1081" s="1">
        <v>45803</v>
      </c>
      <c r="D1081" t="s">
        <v>222</v>
      </c>
      <c r="E1081" t="s">
        <v>223</v>
      </c>
      <c r="F1081" t="s">
        <v>224</v>
      </c>
      <c r="G1081" t="s">
        <v>786</v>
      </c>
      <c r="H1081">
        <v>375</v>
      </c>
      <c r="I1081" t="s">
        <v>786</v>
      </c>
      <c r="J1081">
        <v>2053</v>
      </c>
      <c r="K1081" t="s">
        <v>5254</v>
      </c>
      <c r="L1081" t="s">
        <v>393</v>
      </c>
      <c r="M1081" t="s">
        <v>5856</v>
      </c>
      <c r="N1081" t="s">
        <v>5857</v>
      </c>
      <c r="O1081" t="s">
        <v>787</v>
      </c>
      <c r="Q1081" t="s">
        <v>5326</v>
      </c>
      <c r="R1081">
        <f>1</f>
        <v>1</v>
      </c>
      <c r="S1081">
        <f>1</f>
        <v>1</v>
      </c>
      <c r="T1081">
        <f>8</f>
        <v>8</v>
      </c>
      <c r="U1081">
        <f>229</f>
        <v>229</v>
      </c>
      <c r="X1081">
        <f>1</f>
        <v>1</v>
      </c>
      <c r="Y1081">
        <f>0.12</f>
        <v>0.12</v>
      </c>
      <c r="Z1081">
        <f>0</f>
        <v>0</v>
      </c>
      <c r="AA1081">
        <f>0</f>
        <v>0</v>
      </c>
      <c r="AB1081">
        <f>0</f>
        <v>0</v>
      </c>
      <c r="AD1081">
        <f>0</f>
        <v>0</v>
      </c>
      <c r="AE1081">
        <f>0</f>
        <v>0</v>
      </c>
      <c r="AH1081" t="s">
        <v>166</v>
      </c>
    </row>
    <row r="1082" spans="1:149" x14ac:dyDescent="0.25">
      <c r="A1082" t="s">
        <v>3544</v>
      </c>
      <c r="B1082" t="s">
        <v>148</v>
      </c>
      <c r="C1082" s="1">
        <v>45784</v>
      </c>
      <c r="D1082" t="s">
        <v>317</v>
      </c>
      <c r="E1082" t="s">
        <v>318</v>
      </c>
      <c r="F1082" t="s">
        <v>4965</v>
      </c>
      <c r="G1082" t="s">
        <v>5106</v>
      </c>
      <c r="H1082">
        <v>62</v>
      </c>
      <c r="I1082" t="s">
        <v>5107</v>
      </c>
      <c r="J1082">
        <v>4645</v>
      </c>
      <c r="K1082" t="s">
        <v>5254</v>
      </c>
      <c r="L1082" t="s">
        <v>794</v>
      </c>
      <c r="M1082" t="s">
        <v>5327</v>
      </c>
      <c r="N1082" t="s">
        <v>5328</v>
      </c>
      <c r="O1082" t="s">
        <v>795</v>
      </c>
      <c r="Q1082" t="s">
        <v>329</v>
      </c>
      <c r="R1082">
        <f>1</f>
        <v>1</v>
      </c>
      <c r="S1082">
        <f>13</f>
        <v>13</v>
      </c>
      <c r="T1082">
        <f>8</f>
        <v>8</v>
      </c>
      <c r="U1082">
        <f>280</f>
        <v>280</v>
      </c>
      <c r="X1082">
        <f>0</f>
        <v>0</v>
      </c>
      <c r="Y1082" t="s">
        <v>157</v>
      </c>
      <c r="Z1082">
        <f>0</f>
        <v>0</v>
      </c>
      <c r="AA1082">
        <f>0</f>
        <v>0</v>
      </c>
      <c r="AB1082">
        <f>0</f>
        <v>0</v>
      </c>
      <c r="AD1082">
        <f>0</f>
        <v>0</v>
      </c>
      <c r="AE1082">
        <f>0</f>
        <v>0</v>
      </c>
      <c r="AH1082" t="s">
        <v>157</v>
      </c>
    </row>
    <row r="1083" spans="1:149" x14ac:dyDescent="0.25">
      <c r="A1083" t="s">
        <v>3545</v>
      </c>
      <c r="B1083" t="s">
        <v>148</v>
      </c>
      <c r="C1083" s="1">
        <v>45729</v>
      </c>
      <c r="D1083" t="s">
        <v>317</v>
      </c>
      <c r="E1083" t="s">
        <v>318</v>
      </c>
      <c r="F1083" t="s">
        <v>4965</v>
      </c>
      <c r="G1083" t="s">
        <v>6567</v>
      </c>
      <c r="H1083">
        <v>66</v>
      </c>
      <c r="I1083" t="s">
        <v>6568</v>
      </c>
      <c r="J1083">
        <v>2133</v>
      </c>
      <c r="K1083" t="s">
        <v>5254</v>
      </c>
      <c r="L1083" t="s">
        <v>4966</v>
      </c>
      <c r="M1083" t="s">
        <v>5329</v>
      </c>
      <c r="N1083" t="s">
        <v>5858</v>
      </c>
      <c r="O1083" t="s">
        <v>797</v>
      </c>
      <c r="Q1083" t="s">
        <v>845</v>
      </c>
      <c r="R1083">
        <f>1</f>
        <v>1</v>
      </c>
      <c r="S1083">
        <f>9.1</f>
        <v>9.1</v>
      </c>
      <c r="T1083">
        <f>7.5</f>
        <v>7.5</v>
      </c>
      <c r="U1083">
        <f>501</f>
        <v>501</v>
      </c>
      <c r="X1083">
        <f>0</f>
        <v>0</v>
      </c>
      <c r="Y1083" t="s">
        <v>157</v>
      </c>
      <c r="Z1083">
        <f>0</f>
        <v>0</v>
      </c>
      <c r="AA1083">
        <f>0</f>
        <v>0</v>
      </c>
      <c r="AB1083">
        <f>0</f>
        <v>0</v>
      </c>
      <c r="AD1083">
        <f>0</f>
        <v>0</v>
      </c>
      <c r="AE1083">
        <f>0</f>
        <v>0</v>
      </c>
      <c r="AH1083" t="s">
        <v>157</v>
      </c>
    </row>
    <row r="1084" spans="1:149" x14ac:dyDescent="0.25">
      <c r="A1084" t="s">
        <v>3546</v>
      </c>
      <c r="B1084" t="s">
        <v>148</v>
      </c>
      <c r="C1084" s="1">
        <v>45784</v>
      </c>
      <c r="D1084" t="s">
        <v>317</v>
      </c>
      <c r="E1084" t="s">
        <v>318</v>
      </c>
      <c r="F1084" t="s">
        <v>4965</v>
      </c>
      <c r="G1084" t="s">
        <v>6569</v>
      </c>
      <c r="H1084">
        <v>63</v>
      </c>
      <c r="I1084" t="s">
        <v>6569</v>
      </c>
      <c r="J1084">
        <v>4312</v>
      </c>
      <c r="K1084" t="s">
        <v>5254</v>
      </c>
      <c r="L1084" t="s">
        <v>180</v>
      </c>
      <c r="M1084" t="s">
        <v>6570</v>
      </c>
      <c r="N1084" t="s">
        <v>5330</v>
      </c>
      <c r="O1084" t="s">
        <v>799</v>
      </c>
      <c r="Q1084" t="s">
        <v>329</v>
      </c>
      <c r="R1084">
        <f>1</f>
        <v>1</v>
      </c>
      <c r="S1084">
        <f>13.9</f>
        <v>13.9</v>
      </c>
      <c r="T1084">
        <f>8</f>
        <v>8</v>
      </c>
      <c r="U1084">
        <f>281</f>
        <v>281</v>
      </c>
      <c r="X1084">
        <f>0</f>
        <v>0</v>
      </c>
      <c r="Y1084" t="s">
        <v>157</v>
      </c>
      <c r="Z1084">
        <f>0</f>
        <v>0</v>
      </c>
      <c r="AA1084">
        <f>1</f>
        <v>1</v>
      </c>
      <c r="AB1084">
        <f>0</f>
        <v>0</v>
      </c>
      <c r="AD1084">
        <f>0</f>
        <v>0</v>
      </c>
      <c r="AE1084">
        <f>0</f>
        <v>0</v>
      </c>
      <c r="AH1084" t="s">
        <v>157</v>
      </c>
    </row>
    <row r="1085" spans="1:149" x14ac:dyDescent="0.25">
      <c r="A1085" t="s">
        <v>3547</v>
      </c>
      <c r="B1085" t="s">
        <v>148</v>
      </c>
      <c r="C1085" s="1">
        <v>45818</v>
      </c>
      <c r="D1085" t="s">
        <v>175</v>
      </c>
      <c r="E1085" t="s">
        <v>270</v>
      </c>
      <c r="F1085" t="s">
        <v>354</v>
      </c>
      <c r="G1085" t="s">
        <v>5932</v>
      </c>
      <c r="H1085">
        <v>681</v>
      </c>
      <c r="I1085" t="s">
        <v>5932</v>
      </c>
      <c r="J1085">
        <v>1805</v>
      </c>
      <c r="K1085" t="s">
        <v>5257</v>
      </c>
      <c r="L1085" t="s">
        <v>355</v>
      </c>
      <c r="M1085" t="s">
        <v>5933</v>
      </c>
      <c r="N1085" t="s">
        <v>5402</v>
      </c>
      <c r="O1085" t="s">
        <v>1301</v>
      </c>
      <c r="R1085">
        <f>1</f>
        <v>1</v>
      </c>
      <c r="S1085">
        <f>18.6</f>
        <v>18.600000000000001</v>
      </c>
      <c r="T1085">
        <f>7.8</f>
        <v>7.8</v>
      </c>
      <c r="U1085">
        <f>347</f>
        <v>347</v>
      </c>
      <c r="V1085">
        <f>0.24</f>
        <v>0.24</v>
      </c>
      <c r="X1085">
        <f>0</f>
        <v>0</v>
      </c>
      <c r="Y1085" t="s">
        <v>207</v>
      </c>
      <c r="Z1085">
        <f>0</f>
        <v>0</v>
      </c>
      <c r="AA1085" t="s">
        <v>158</v>
      </c>
      <c r="AB1085" t="s">
        <v>158</v>
      </c>
      <c r="AC1085">
        <f>0</f>
        <v>0</v>
      </c>
      <c r="AD1085">
        <f>0</f>
        <v>0</v>
      </c>
      <c r="AE1085">
        <f>0</f>
        <v>0</v>
      </c>
      <c r="AH1085" t="s">
        <v>166</v>
      </c>
      <c r="AI1085" t="s">
        <v>300</v>
      </c>
      <c r="AL1085" t="s">
        <v>216</v>
      </c>
      <c r="AM1085" t="s">
        <v>266</v>
      </c>
      <c r="AN1085">
        <f>3.8</f>
        <v>3.8</v>
      </c>
      <c r="AO1085">
        <f>0.076</f>
        <v>7.5999999999999998E-2</v>
      </c>
      <c r="AP1085">
        <f>0.99</f>
        <v>0.99</v>
      </c>
      <c r="AQ1085">
        <f>1.11</f>
        <v>1.1100000000000001</v>
      </c>
      <c r="AR1085" t="s">
        <v>209</v>
      </c>
      <c r="AS1085">
        <f>0.88</f>
        <v>0.88</v>
      </c>
      <c r="AY1085" t="s">
        <v>157</v>
      </c>
      <c r="AZ1085" t="s">
        <v>208</v>
      </c>
      <c r="BA1085">
        <f>0.0019</f>
        <v>1.9E-3</v>
      </c>
      <c r="BB1085">
        <f>5.9</f>
        <v>5.9</v>
      </c>
      <c r="BC1085" t="s">
        <v>209</v>
      </c>
      <c r="BD1085">
        <f>0.1</f>
        <v>0.1</v>
      </c>
      <c r="BE1085">
        <f>0.0023</f>
        <v>2.3E-3</v>
      </c>
      <c r="BF1085" t="s">
        <v>168</v>
      </c>
      <c r="BG1085" t="s">
        <v>237</v>
      </c>
      <c r="BH1085" t="s">
        <v>157</v>
      </c>
      <c r="BK1085">
        <f>0.69</f>
        <v>0.69</v>
      </c>
    </row>
    <row r="1086" spans="1:149" x14ac:dyDescent="0.25">
      <c r="A1086" t="s">
        <v>3548</v>
      </c>
      <c r="B1086" t="s">
        <v>148</v>
      </c>
      <c r="C1086" s="1">
        <v>45785</v>
      </c>
      <c r="D1086" t="s">
        <v>317</v>
      </c>
      <c r="E1086" t="s">
        <v>318</v>
      </c>
      <c r="F1086" t="s">
        <v>360</v>
      </c>
      <c r="G1086" t="s">
        <v>801</v>
      </c>
      <c r="H1086">
        <v>339</v>
      </c>
      <c r="I1086" t="s">
        <v>801</v>
      </c>
      <c r="J1086">
        <v>6803</v>
      </c>
      <c r="K1086" t="s">
        <v>5331</v>
      </c>
      <c r="L1086" t="s">
        <v>350</v>
      </c>
      <c r="M1086" t="s">
        <v>5332</v>
      </c>
      <c r="N1086" t="s">
        <v>5333</v>
      </c>
      <c r="O1086" t="s">
        <v>802</v>
      </c>
      <c r="Q1086" t="s">
        <v>329</v>
      </c>
      <c r="R1086">
        <f>1</f>
        <v>1</v>
      </c>
      <c r="S1086">
        <f>12</f>
        <v>12</v>
      </c>
      <c r="T1086">
        <f>7.7</f>
        <v>7.7</v>
      </c>
      <c r="U1086">
        <f>273</f>
        <v>273</v>
      </c>
      <c r="X1086">
        <f>0</f>
        <v>0</v>
      </c>
      <c r="Y1086" t="s">
        <v>157</v>
      </c>
      <c r="Z1086">
        <f>0</f>
        <v>0</v>
      </c>
      <c r="AA1086">
        <f>0</f>
        <v>0</v>
      </c>
      <c r="AB1086">
        <f>0</f>
        <v>0</v>
      </c>
      <c r="AC1086">
        <f>0</f>
        <v>0</v>
      </c>
      <c r="AD1086">
        <f>0</f>
        <v>0</v>
      </c>
      <c r="AE1086">
        <f>0</f>
        <v>0</v>
      </c>
      <c r="AH1086" t="s">
        <v>157</v>
      </c>
      <c r="AI1086" t="s">
        <v>167</v>
      </c>
      <c r="AL1086" t="s">
        <v>168</v>
      </c>
      <c r="AM1086" t="s">
        <v>216</v>
      </c>
      <c r="AN1086">
        <f>4.5</f>
        <v>4.5</v>
      </c>
      <c r="AO1086">
        <f>0.09</f>
        <v>0.09</v>
      </c>
      <c r="AP1086">
        <f>3.6</f>
        <v>3.6</v>
      </c>
      <c r="AQ1086">
        <f>4.8</f>
        <v>4.8</v>
      </c>
      <c r="AR1086" t="s">
        <v>167</v>
      </c>
      <c r="AS1086">
        <f>2.1</f>
        <v>2.1</v>
      </c>
      <c r="AY1086" t="s">
        <v>158</v>
      </c>
      <c r="AZ1086" t="s">
        <v>158</v>
      </c>
      <c r="BA1086" t="s">
        <v>216</v>
      </c>
      <c r="BB1086" t="s">
        <v>158</v>
      </c>
      <c r="BC1086" t="s">
        <v>167</v>
      </c>
      <c r="BD1086" t="s">
        <v>167</v>
      </c>
      <c r="BE1086" t="s">
        <v>216</v>
      </c>
      <c r="BF1086" t="s">
        <v>167</v>
      </c>
      <c r="BG1086" t="s">
        <v>158</v>
      </c>
      <c r="BH1086" t="s">
        <v>167</v>
      </c>
      <c r="BK1086" t="s">
        <v>158</v>
      </c>
      <c r="EL1086" t="s">
        <v>251</v>
      </c>
      <c r="EM1086" t="s">
        <v>251</v>
      </c>
      <c r="EN1086" t="s">
        <v>251</v>
      </c>
      <c r="EO1086" t="s">
        <v>251</v>
      </c>
      <c r="EP1086" t="s">
        <v>251</v>
      </c>
      <c r="EQ1086" t="s">
        <v>251</v>
      </c>
      <c r="ER1086" t="s">
        <v>251</v>
      </c>
      <c r="ES1086" t="s">
        <v>251</v>
      </c>
    </row>
    <row r="1087" spans="1:149" x14ac:dyDescent="0.25">
      <c r="A1087" t="s">
        <v>3549</v>
      </c>
      <c r="B1087" t="s">
        <v>148</v>
      </c>
      <c r="C1087" s="1">
        <v>45826</v>
      </c>
      <c r="D1087" t="s">
        <v>317</v>
      </c>
      <c r="E1087" t="s">
        <v>318</v>
      </c>
      <c r="F1087" t="s">
        <v>360</v>
      </c>
      <c r="G1087" t="s">
        <v>812</v>
      </c>
      <c r="H1087">
        <v>340</v>
      </c>
      <c r="I1087" t="s">
        <v>812</v>
      </c>
      <c r="J1087">
        <v>3270</v>
      </c>
      <c r="K1087" t="s">
        <v>5254</v>
      </c>
      <c r="L1087" t="s">
        <v>180</v>
      </c>
      <c r="M1087" t="s">
        <v>5335</v>
      </c>
      <c r="N1087" t="s">
        <v>813</v>
      </c>
      <c r="O1087" t="s">
        <v>814</v>
      </c>
      <c r="Q1087" t="s">
        <v>845</v>
      </c>
      <c r="R1087">
        <f>1</f>
        <v>1</v>
      </c>
      <c r="S1087">
        <f>13.5</f>
        <v>13.5</v>
      </c>
      <c r="T1087">
        <f>7.7</f>
        <v>7.7</v>
      </c>
      <c r="U1087">
        <f>347</f>
        <v>347</v>
      </c>
      <c r="X1087">
        <f>0</f>
        <v>0</v>
      </c>
      <c r="Y1087">
        <f>0.13</f>
        <v>0.13</v>
      </c>
      <c r="Z1087">
        <f>0</f>
        <v>0</v>
      </c>
      <c r="AA1087">
        <f>3</f>
        <v>3</v>
      </c>
      <c r="AB1087">
        <f>1</f>
        <v>1</v>
      </c>
      <c r="AD1087">
        <f>0</f>
        <v>0</v>
      </c>
      <c r="AE1087">
        <f>0</f>
        <v>0</v>
      </c>
      <c r="AH1087" t="s">
        <v>157</v>
      </c>
    </row>
    <row r="1088" spans="1:149" x14ac:dyDescent="0.25">
      <c r="A1088" t="s">
        <v>3550</v>
      </c>
      <c r="B1088" t="s">
        <v>148</v>
      </c>
      <c r="C1088" s="1">
        <v>45793</v>
      </c>
      <c r="D1088" t="s">
        <v>175</v>
      </c>
      <c r="E1088" t="s">
        <v>176</v>
      </c>
      <c r="F1088" t="s">
        <v>343</v>
      </c>
      <c r="G1088" t="s">
        <v>344</v>
      </c>
      <c r="H1088">
        <v>1700</v>
      </c>
      <c r="I1088" t="s">
        <v>1311</v>
      </c>
      <c r="J1088">
        <v>6419</v>
      </c>
      <c r="K1088" t="s">
        <v>5331</v>
      </c>
      <c r="L1088" t="s">
        <v>180</v>
      </c>
      <c r="M1088" t="s">
        <v>5404</v>
      </c>
      <c r="N1088" t="s">
        <v>1312</v>
      </c>
      <c r="O1088" t="s">
        <v>1313</v>
      </c>
      <c r="Q1088" t="s">
        <v>347</v>
      </c>
      <c r="R1088">
        <f>1</f>
        <v>1</v>
      </c>
      <c r="S1088">
        <f>13.7</f>
        <v>13.7</v>
      </c>
      <c r="T1088">
        <f>8</f>
        <v>8</v>
      </c>
      <c r="U1088">
        <f>217</f>
        <v>217</v>
      </c>
      <c r="X1088">
        <f>0</f>
        <v>0</v>
      </c>
      <c r="Y1088">
        <f>0.11</f>
        <v>0.11</v>
      </c>
      <c r="Z1088">
        <f>0</f>
        <v>0</v>
      </c>
      <c r="AA1088">
        <f>0</f>
        <v>0</v>
      </c>
      <c r="AB1088">
        <f>0</f>
        <v>0</v>
      </c>
      <c r="AD1088">
        <f>0</f>
        <v>0</v>
      </c>
      <c r="AE1088">
        <f>0</f>
        <v>0</v>
      </c>
      <c r="AH1088" t="s">
        <v>157</v>
      </c>
      <c r="AI1088" t="s">
        <v>167</v>
      </c>
      <c r="AL1088" t="s">
        <v>168</v>
      </c>
      <c r="AM1088" t="s">
        <v>216</v>
      </c>
      <c r="AN1088">
        <f>3.2</f>
        <v>3.2</v>
      </c>
      <c r="AO1088">
        <f>0.064</f>
        <v>6.4000000000000001E-2</v>
      </c>
      <c r="AP1088">
        <f>3.3</f>
        <v>3.3</v>
      </c>
      <c r="AQ1088">
        <f>1.3</f>
        <v>1.3</v>
      </c>
      <c r="AR1088" t="s">
        <v>167</v>
      </c>
      <c r="AS1088">
        <f>1</f>
        <v>1</v>
      </c>
      <c r="AY1088" t="s">
        <v>158</v>
      </c>
      <c r="AZ1088" t="s">
        <v>158</v>
      </c>
      <c r="BA1088" t="s">
        <v>216</v>
      </c>
      <c r="BB1088">
        <f>10</f>
        <v>10</v>
      </c>
      <c r="BC1088" t="s">
        <v>167</v>
      </c>
      <c r="BD1088" t="s">
        <v>167</v>
      </c>
      <c r="BE1088" t="s">
        <v>216</v>
      </c>
      <c r="BF1088" t="s">
        <v>167</v>
      </c>
      <c r="BG1088" t="s">
        <v>158</v>
      </c>
      <c r="BH1088" t="s">
        <v>167</v>
      </c>
      <c r="BK1088" t="s">
        <v>158</v>
      </c>
    </row>
    <row r="1089" spans="1:148" x14ac:dyDescent="0.25">
      <c r="A1089" t="s">
        <v>3551</v>
      </c>
      <c r="B1089" t="s">
        <v>148</v>
      </c>
      <c r="C1089" s="1">
        <v>45719</v>
      </c>
      <c r="D1089" t="s">
        <v>175</v>
      </c>
      <c r="E1089" t="s">
        <v>176</v>
      </c>
      <c r="F1089" t="s">
        <v>370</v>
      </c>
      <c r="G1089" t="s">
        <v>1315</v>
      </c>
      <c r="H1089">
        <v>335</v>
      </c>
      <c r="I1089" t="s">
        <v>6611</v>
      </c>
      <c r="J1089">
        <v>4339</v>
      </c>
      <c r="K1089" t="s">
        <v>5254</v>
      </c>
      <c r="L1089" t="s">
        <v>431</v>
      </c>
      <c r="M1089" t="s">
        <v>5405</v>
      </c>
      <c r="N1089" t="s">
        <v>4761</v>
      </c>
      <c r="O1089" t="s">
        <v>1316</v>
      </c>
      <c r="Q1089" t="s">
        <v>329</v>
      </c>
      <c r="R1089">
        <f>1</f>
        <v>1</v>
      </c>
      <c r="S1089">
        <f>12</f>
        <v>12</v>
      </c>
      <c r="T1089">
        <f>7.5</f>
        <v>7.5</v>
      </c>
      <c r="U1089">
        <f>534</f>
        <v>534</v>
      </c>
      <c r="V1089">
        <f>0.12</f>
        <v>0.12</v>
      </c>
      <c r="X1089">
        <f>0</f>
        <v>0</v>
      </c>
      <c r="Y1089">
        <f>0.14</f>
        <v>0.14000000000000001</v>
      </c>
      <c r="Z1089">
        <f>0</f>
        <v>0</v>
      </c>
      <c r="AA1089">
        <f>1</f>
        <v>1</v>
      </c>
      <c r="AB1089">
        <f>0</f>
        <v>0</v>
      </c>
      <c r="AD1089">
        <f>0</f>
        <v>0</v>
      </c>
      <c r="AE1089">
        <f>0</f>
        <v>0</v>
      </c>
      <c r="AH1089" t="s">
        <v>157</v>
      </c>
    </row>
    <row r="1090" spans="1:148" x14ac:dyDescent="0.25">
      <c r="A1090" t="s">
        <v>3552</v>
      </c>
      <c r="B1090" t="s">
        <v>148</v>
      </c>
      <c r="C1090" s="1">
        <v>45783</v>
      </c>
      <c r="D1090" t="s">
        <v>175</v>
      </c>
      <c r="E1090" t="s">
        <v>176</v>
      </c>
      <c r="F1090" t="s">
        <v>370</v>
      </c>
      <c r="G1090" t="s">
        <v>6571</v>
      </c>
      <c r="H1090">
        <v>336</v>
      </c>
      <c r="I1090" t="s">
        <v>6572</v>
      </c>
      <c r="J1090">
        <v>7857</v>
      </c>
      <c r="K1090" t="s">
        <v>5254</v>
      </c>
      <c r="L1090" t="s">
        <v>4966</v>
      </c>
      <c r="M1090" t="s">
        <v>5336</v>
      </c>
      <c r="N1090" t="s">
        <v>816</v>
      </c>
      <c r="O1090" t="s">
        <v>817</v>
      </c>
      <c r="Q1090" t="s">
        <v>329</v>
      </c>
      <c r="R1090">
        <f>1</f>
        <v>1</v>
      </c>
      <c r="S1090">
        <f>14.8</f>
        <v>14.8</v>
      </c>
      <c r="T1090">
        <f>7.5</f>
        <v>7.5</v>
      </c>
      <c r="U1090">
        <f>471</f>
        <v>471</v>
      </c>
      <c r="X1090">
        <f>0</f>
        <v>0</v>
      </c>
      <c r="Y1090" t="s">
        <v>157</v>
      </c>
      <c r="Z1090">
        <f>0</f>
        <v>0</v>
      </c>
      <c r="AA1090">
        <f>1</f>
        <v>1</v>
      </c>
      <c r="AB1090">
        <f>0</f>
        <v>0</v>
      </c>
      <c r="AD1090">
        <f>0</f>
        <v>0</v>
      </c>
      <c r="AE1090">
        <f>0</f>
        <v>0</v>
      </c>
      <c r="AH1090" t="s">
        <v>157</v>
      </c>
    </row>
    <row r="1091" spans="1:148" x14ac:dyDescent="0.25">
      <c r="A1091" t="s">
        <v>3553</v>
      </c>
      <c r="B1091" t="s">
        <v>148</v>
      </c>
      <c r="C1091" s="1">
        <v>45820</v>
      </c>
      <c r="D1091" t="s">
        <v>175</v>
      </c>
      <c r="E1091" t="s">
        <v>176</v>
      </c>
      <c r="F1091" t="s">
        <v>370</v>
      </c>
      <c r="G1091" t="s">
        <v>1318</v>
      </c>
      <c r="H1091">
        <v>935</v>
      </c>
      <c r="I1091" t="s">
        <v>1318</v>
      </c>
      <c r="J1091">
        <v>7014</v>
      </c>
      <c r="K1091" t="s">
        <v>5254</v>
      </c>
      <c r="L1091" t="s">
        <v>4981</v>
      </c>
      <c r="M1091" t="s">
        <v>1319</v>
      </c>
      <c r="N1091" t="s">
        <v>5406</v>
      </c>
      <c r="O1091" t="s">
        <v>1320</v>
      </c>
      <c r="Q1091" t="s">
        <v>6342</v>
      </c>
      <c r="R1091">
        <f>1</f>
        <v>1</v>
      </c>
      <c r="S1091">
        <f>16.3</f>
        <v>16.3</v>
      </c>
      <c r="T1091">
        <f>7.4</f>
        <v>7.4</v>
      </c>
      <c r="U1091">
        <f>374</f>
        <v>374</v>
      </c>
      <c r="X1091">
        <f>0</f>
        <v>0</v>
      </c>
      <c r="Y1091">
        <f>0.12</f>
        <v>0.12</v>
      </c>
      <c r="Z1091">
        <f>0</f>
        <v>0</v>
      </c>
      <c r="AA1091">
        <f>0</f>
        <v>0</v>
      </c>
      <c r="AB1091">
        <f>0</f>
        <v>0</v>
      </c>
      <c r="AD1091">
        <f>0</f>
        <v>0</v>
      </c>
      <c r="AE1091">
        <f>0</f>
        <v>0</v>
      </c>
      <c r="AH1091" t="s">
        <v>157</v>
      </c>
    </row>
    <row r="1092" spans="1:148" x14ac:dyDescent="0.25">
      <c r="A1092" t="s">
        <v>3554</v>
      </c>
      <c r="B1092" t="s">
        <v>148</v>
      </c>
      <c r="C1092" s="1">
        <v>45722</v>
      </c>
      <c r="D1092" t="s">
        <v>175</v>
      </c>
      <c r="E1092" t="s">
        <v>176</v>
      </c>
      <c r="F1092" t="s">
        <v>370</v>
      </c>
      <c r="G1092" t="s">
        <v>1318</v>
      </c>
      <c r="H1092">
        <v>935</v>
      </c>
      <c r="I1092" t="s">
        <v>1318</v>
      </c>
      <c r="J1092">
        <v>7014</v>
      </c>
      <c r="K1092" t="s">
        <v>5254</v>
      </c>
      <c r="L1092" t="s">
        <v>4981</v>
      </c>
      <c r="M1092" t="s">
        <v>5407</v>
      </c>
      <c r="N1092" t="s">
        <v>4982</v>
      </c>
      <c r="O1092" t="s">
        <v>1322</v>
      </c>
      <c r="Q1092" t="s">
        <v>329</v>
      </c>
      <c r="R1092">
        <f>1</f>
        <v>1</v>
      </c>
      <c r="S1092">
        <f>10.6</f>
        <v>10.6</v>
      </c>
      <c r="T1092">
        <f>7.5</f>
        <v>7.5</v>
      </c>
      <c r="U1092">
        <f>372</f>
        <v>372</v>
      </c>
      <c r="X1092">
        <f>0</f>
        <v>0</v>
      </c>
      <c r="Y1092">
        <f>0.14</f>
        <v>0.14000000000000001</v>
      </c>
      <c r="Z1092">
        <f>0</f>
        <v>0</v>
      </c>
      <c r="AA1092">
        <f>1</f>
        <v>1</v>
      </c>
      <c r="AB1092">
        <f>1</f>
        <v>1</v>
      </c>
      <c r="AD1092">
        <f>0</f>
        <v>0</v>
      </c>
      <c r="AE1092">
        <f>0</f>
        <v>0</v>
      </c>
      <c r="AH1092" t="s">
        <v>157</v>
      </c>
    </row>
    <row r="1093" spans="1:148" x14ac:dyDescent="0.25">
      <c r="A1093" t="s">
        <v>3555</v>
      </c>
      <c r="B1093" t="s">
        <v>148</v>
      </c>
      <c r="C1093" s="1">
        <v>45735</v>
      </c>
      <c r="D1093" t="s">
        <v>317</v>
      </c>
      <c r="E1093" t="s">
        <v>318</v>
      </c>
      <c r="F1093" t="s">
        <v>5108</v>
      </c>
      <c r="G1093" t="s">
        <v>5109</v>
      </c>
      <c r="H1093">
        <v>106</v>
      </c>
      <c r="I1093" t="s">
        <v>5109</v>
      </c>
      <c r="J1093">
        <v>3216</v>
      </c>
      <c r="K1093" t="s">
        <v>5254</v>
      </c>
      <c r="L1093" t="s">
        <v>4966</v>
      </c>
      <c r="M1093" t="s">
        <v>5338</v>
      </c>
      <c r="N1093" t="s">
        <v>5110</v>
      </c>
      <c r="O1093" t="s">
        <v>822</v>
      </c>
      <c r="Q1093" t="s">
        <v>845</v>
      </c>
      <c r="R1093">
        <f>1</f>
        <v>1</v>
      </c>
      <c r="S1093">
        <f>11</f>
        <v>11</v>
      </c>
      <c r="T1093">
        <f>7.9</f>
        <v>7.9</v>
      </c>
      <c r="U1093">
        <f>295</f>
        <v>295</v>
      </c>
      <c r="X1093">
        <f>0</f>
        <v>0</v>
      </c>
      <c r="Y1093" t="s">
        <v>157</v>
      </c>
      <c r="Z1093">
        <f>0</f>
        <v>0</v>
      </c>
      <c r="AA1093">
        <f>1</f>
        <v>1</v>
      </c>
      <c r="AB1093">
        <f>0</f>
        <v>0</v>
      </c>
      <c r="AD1093">
        <f>0</f>
        <v>0</v>
      </c>
      <c r="AE1093">
        <f>0</f>
        <v>0</v>
      </c>
      <c r="AH1093" t="s">
        <v>157</v>
      </c>
    </row>
    <row r="1094" spans="1:148" x14ac:dyDescent="0.25">
      <c r="A1094" t="s">
        <v>3556</v>
      </c>
      <c r="B1094" t="s">
        <v>148</v>
      </c>
      <c r="C1094" s="1">
        <v>45784</v>
      </c>
      <c r="D1094" t="s">
        <v>618</v>
      </c>
      <c r="E1094" t="s">
        <v>619</v>
      </c>
      <c r="F1094" t="s">
        <v>5317</v>
      </c>
      <c r="G1094" t="s">
        <v>5859</v>
      </c>
      <c r="H1094">
        <v>23</v>
      </c>
      <c r="I1094" t="s">
        <v>824</v>
      </c>
      <c r="J1094">
        <v>4553</v>
      </c>
      <c r="K1094" t="s">
        <v>5254</v>
      </c>
      <c r="L1094" t="s">
        <v>387</v>
      </c>
      <c r="M1094" t="s">
        <v>825</v>
      </c>
      <c r="N1094" t="s">
        <v>5339</v>
      </c>
      <c r="O1094" t="s">
        <v>826</v>
      </c>
      <c r="R1094">
        <f>1</f>
        <v>1</v>
      </c>
      <c r="S1094">
        <f>11.5</f>
        <v>11.5</v>
      </c>
      <c r="T1094">
        <f>8</f>
        <v>8</v>
      </c>
      <c r="U1094">
        <f>202</f>
        <v>202</v>
      </c>
      <c r="X1094">
        <f>0</f>
        <v>0</v>
      </c>
      <c r="Y1094">
        <f>0.1</f>
        <v>0.1</v>
      </c>
      <c r="Z1094">
        <f>0</f>
        <v>0</v>
      </c>
      <c r="AA1094" t="s">
        <v>158</v>
      </c>
      <c r="AB1094" t="s">
        <v>158</v>
      </c>
      <c r="AD1094">
        <f>0</f>
        <v>0</v>
      </c>
      <c r="AE1094">
        <f>0</f>
        <v>0</v>
      </c>
      <c r="AH1094" t="s">
        <v>157</v>
      </c>
      <c r="AI1094" t="s">
        <v>238</v>
      </c>
      <c r="AL1094" t="s">
        <v>164</v>
      </c>
      <c r="AM1094" t="s">
        <v>165</v>
      </c>
      <c r="AN1094">
        <f>3.1</f>
        <v>3.1</v>
      </c>
      <c r="AO1094">
        <f>0.06</f>
        <v>0.06</v>
      </c>
      <c r="AP1094">
        <f>3.1</f>
        <v>3.1</v>
      </c>
      <c r="AQ1094" t="s">
        <v>238</v>
      </c>
      <c r="AR1094" t="s">
        <v>157</v>
      </c>
      <c r="AS1094" t="s">
        <v>3498</v>
      </c>
      <c r="AY1094" t="s">
        <v>167</v>
      </c>
      <c r="AZ1094">
        <f>10</f>
        <v>10</v>
      </c>
      <c r="BA1094" t="s">
        <v>216</v>
      </c>
      <c r="BB1094" t="s">
        <v>158</v>
      </c>
      <c r="BC1094" t="s">
        <v>166</v>
      </c>
      <c r="BD1094" t="s">
        <v>167</v>
      </c>
      <c r="BE1094">
        <f>0.0013</f>
        <v>1.2999999999999999E-3</v>
      </c>
      <c r="BF1094" t="s">
        <v>168</v>
      </c>
      <c r="BG1094" t="s">
        <v>167</v>
      </c>
      <c r="BH1094" t="s">
        <v>167</v>
      </c>
      <c r="BK1094">
        <f>0.29</f>
        <v>0.28999999999999998</v>
      </c>
      <c r="EL1094">
        <f>0.25</f>
        <v>0.25</v>
      </c>
      <c r="EM1094" t="s">
        <v>166</v>
      </c>
      <c r="EN1094" t="s">
        <v>166</v>
      </c>
      <c r="EO1094" t="s">
        <v>166</v>
      </c>
      <c r="ER1094">
        <f>0.25</f>
        <v>0.25</v>
      </c>
    </row>
    <row r="1095" spans="1:148" x14ac:dyDescent="0.25">
      <c r="A1095" t="s">
        <v>3557</v>
      </c>
      <c r="B1095" t="s">
        <v>148</v>
      </c>
      <c r="C1095" s="1">
        <v>45845</v>
      </c>
      <c r="D1095" t="s">
        <v>618</v>
      </c>
      <c r="E1095" t="s">
        <v>619</v>
      </c>
      <c r="F1095" t="s">
        <v>730</v>
      </c>
      <c r="G1095" t="s">
        <v>731</v>
      </c>
      <c r="H1095">
        <v>818</v>
      </c>
      <c r="I1095" t="s">
        <v>731</v>
      </c>
      <c r="J1095">
        <v>7500</v>
      </c>
      <c r="K1095" t="s">
        <v>5254</v>
      </c>
      <c r="L1095" t="s">
        <v>387</v>
      </c>
      <c r="M1095" t="s">
        <v>825</v>
      </c>
      <c r="N1095" t="s">
        <v>828</v>
      </c>
      <c r="O1095" t="s">
        <v>829</v>
      </c>
      <c r="R1095">
        <f>1</f>
        <v>1</v>
      </c>
      <c r="S1095">
        <f>19.2</f>
        <v>19.2</v>
      </c>
      <c r="T1095">
        <f>7.6</f>
        <v>7.6</v>
      </c>
      <c r="U1095">
        <f>354</f>
        <v>354</v>
      </c>
      <c r="V1095">
        <f>0.06</f>
        <v>0.06</v>
      </c>
      <c r="X1095">
        <f>0</f>
        <v>0</v>
      </c>
      <c r="Y1095">
        <f>0.1</f>
        <v>0.1</v>
      </c>
      <c r="Z1095">
        <f>0</f>
        <v>0</v>
      </c>
      <c r="AA1095" t="s">
        <v>158</v>
      </c>
      <c r="AB1095" t="s">
        <v>158</v>
      </c>
      <c r="AD1095">
        <f>0</f>
        <v>0</v>
      </c>
      <c r="AE1095">
        <f>0</f>
        <v>0</v>
      </c>
      <c r="AH1095" t="s">
        <v>157</v>
      </c>
    </row>
    <row r="1096" spans="1:148" x14ac:dyDescent="0.25">
      <c r="A1096" t="s">
        <v>3558</v>
      </c>
      <c r="B1096" t="s">
        <v>148</v>
      </c>
      <c r="C1096" s="1">
        <v>45761</v>
      </c>
      <c r="D1096" t="s">
        <v>222</v>
      </c>
      <c r="E1096" t="s">
        <v>223</v>
      </c>
      <c r="F1096" t="s">
        <v>469</v>
      </c>
      <c r="G1096" t="s">
        <v>6575</v>
      </c>
      <c r="H1096">
        <v>437</v>
      </c>
      <c r="I1096" t="s">
        <v>6575</v>
      </c>
      <c r="J1096">
        <v>589</v>
      </c>
      <c r="K1096" t="s">
        <v>5257</v>
      </c>
      <c r="L1096" t="s">
        <v>4724</v>
      </c>
      <c r="M1096" t="s">
        <v>5340</v>
      </c>
      <c r="N1096" t="s">
        <v>4725</v>
      </c>
      <c r="O1096" t="s">
        <v>833</v>
      </c>
      <c r="Q1096" t="s">
        <v>6324</v>
      </c>
      <c r="R1096">
        <f>1</f>
        <v>1</v>
      </c>
      <c r="S1096">
        <f>13.5</f>
        <v>13.5</v>
      </c>
      <c r="T1096">
        <f>8</f>
        <v>8</v>
      </c>
      <c r="U1096">
        <f>218</f>
        <v>218</v>
      </c>
      <c r="V1096">
        <f>0.08</f>
        <v>0.08</v>
      </c>
      <c r="X1096">
        <f>1</f>
        <v>1</v>
      </c>
      <c r="Y1096">
        <f>0.09</f>
        <v>0.09</v>
      </c>
      <c r="Z1096">
        <f>0</f>
        <v>0</v>
      </c>
      <c r="AA1096">
        <f>0</f>
        <v>0</v>
      </c>
      <c r="AB1096">
        <f>0</f>
        <v>0</v>
      </c>
      <c r="AC1096">
        <f>0</f>
        <v>0</v>
      </c>
      <c r="AD1096">
        <f>0</f>
        <v>0</v>
      </c>
      <c r="AE1096">
        <f>0</f>
        <v>0</v>
      </c>
      <c r="AH1096" t="s">
        <v>166</v>
      </c>
      <c r="AI1096" t="s">
        <v>300</v>
      </c>
      <c r="AL1096" t="s">
        <v>168</v>
      </c>
      <c r="AM1096" t="s">
        <v>164</v>
      </c>
      <c r="AN1096">
        <f>3.4</f>
        <v>3.4</v>
      </c>
      <c r="AO1096">
        <f>0.07</f>
        <v>7.0000000000000007E-2</v>
      </c>
      <c r="AP1096">
        <f>4.1</f>
        <v>4.0999999999999996</v>
      </c>
      <c r="AQ1096">
        <f>1.1</f>
        <v>1.1000000000000001</v>
      </c>
      <c r="AR1096" t="s">
        <v>167</v>
      </c>
      <c r="AS1096">
        <f>1.5</f>
        <v>1.5</v>
      </c>
      <c r="AY1096">
        <f>0.19</f>
        <v>0.19</v>
      </c>
      <c r="AZ1096" t="s">
        <v>208</v>
      </c>
      <c r="BA1096">
        <f>0.0031</f>
        <v>3.0999999999999999E-3</v>
      </c>
      <c r="BB1096">
        <f>8.5</f>
        <v>8.5</v>
      </c>
      <c r="BC1096" t="s">
        <v>209</v>
      </c>
      <c r="BD1096" t="s">
        <v>157</v>
      </c>
      <c r="BE1096">
        <f>0.0017</f>
        <v>1.6999999999999999E-3</v>
      </c>
      <c r="BF1096" t="s">
        <v>168</v>
      </c>
      <c r="BG1096" t="s">
        <v>237</v>
      </c>
      <c r="BH1096">
        <f>0.12</f>
        <v>0.12</v>
      </c>
      <c r="BK1096" t="s">
        <v>157</v>
      </c>
      <c r="EL1096">
        <f>0.5</f>
        <v>0.5</v>
      </c>
      <c r="EM1096" t="s">
        <v>238</v>
      </c>
      <c r="EN1096">
        <f>0.5</f>
        <v>0.5</v>
      </c>
      <c r="EO1096" t="s">
        <v>238</v>
      </c>
      <c r="ER1096">
        <f>1</f>
        <v>1</v>
      </c>
    </row>
    <row r="1097" spans="1:148" x14ac:dyDescent="0.25">
      <c r="A1097" t="s">
        <v>3559</v>
      </c>
      <c r="B1097" t="s">
        <v>148</v>
      </c>
      <c r="C1097" s="1">
        <v>45821</v>
      </c>
      <c r="D1097" t="s">
        <v>175</v>
      </c>
      <c r="E1097" t="s">
        <v>176</v>
      </c>
      <c r="F1097" t="s">
        <v>1332</v>
      </c>
      <c r="G1097" t="s">
        <v>1333</v>
      </c>
      <c r="H1097">
        <v>566</v>
      </c>
      <c r="I1097" t="s">
        <v>1333</v>
      </c>
      <c r="J1097">
        <v>2807</v>
      </c>
      <c r="K1097" t="s">
        <v>5257</v>
      </c>
      <c r="L1097" t="s">
        <v>431</v>
      </c>
      <c r="M1097" t="s">
        <v>5410</v>
      </c>
      <c r="N1097" t="s">
        <v>1334</v>
      </c>
      <c r="O1097" t="s">
        <v>1335</v>
      </c>
      <c r="R1097">
        <f>1</f>
        <v>1</v>
      </c>
      <c r="S1097">
        <f>23</f>
        <v>23</v>
      </c>
      <c r="T1097">
        <f>7.8</f>
        <v>7.8</v>
      </c>
      <c r="U1097">
        <f>345</f>
        <v>345</v>
      </c>
      <c r="V1097">
        <f>0.07</f>
        <v>7.0000000000000007E-2</v>
      </c>
      <c r="X1097">
        <f>1</f>
        <v>1</v>
      </c>
      <c r="Y1097" t="s">
        <v>157</v>
      </c>
      <c r="Z1097">
        <f>0</f>
        <v>0</v>
      </c>
      <c r="AA1097" t="s">
        <v>158</v>
      </c>
      <c r="AB1097">
        <f>32</f>
        <v>32</v>
      </c>
      <c r="AC1097">
        <f>0</f>
        <v>0</v>
      </c>
      <c r="AD1097">
        <f>0</f>
        <v>0</v>
      </c>
      <c r="AE1097">
        <f>0</f>
        <v>0</v>
      </c>
      <c r="AH1097" t="s">
        <v>157</v>
      </c>
      <c r="AI1097" t="s">
        <v>238</v>
      </c>
      <c r="AL1097" t="s">
        <v>164</v>
      </c>
      <c r="AM1097" t="s">
        <v>165</v>
      </c>
      <c r="AN1097">
        <f>4</f>
        <v>4</v>
      </c>
      <c r="AO1097">
        <f>0.08</f>
        <v>0.08</v>
      </c>
      <c r="AP1097">
        <f>7.4</f>
        <v>7.4</v>
      </c>
      <c r="AQ1097">
        <f>3.6</f>
        <v>3.6</v>
      </c>
      <c r="AR1097" t="s">
        <v>157</v>
      </c>
      <c r="AS1097">
        <f>3.6</f>
        <v>3.6</v>
      </c>
      <c r="AY1097" t="s">
        <v>167</v>
      </c>
      <c r="AZ1097" t="s">
        <v>158</v>
      </c>
      <c r="BA1097">
        <f>0.017</f>
        <v>1.7000000000000001E-2</v>
      </c>
      <c r="BB1097" t="s">
        <v>158</v>
      </c>
      <c r="BC1097" t="s">
        <v>166</v>
      </c>
      <c r="BD1097" t="s">
        <v>167</v>
      </c>
      <c r="BE1097">
        <f>0.0021</f>
        <v>2.0999999999999999E-3</v>
      </c>
      <c r="BF1097" t="s">
        <v>168</v>
      </c>
      <c r="BG1097" t="s">
        <v>167</v>
      </c>
      <c r="BH1097" t="s">
        <v>167</v>
      </c>
      <c r="BK1097">
        <f>0.35</f>
        <v>0.35</v>
      </c>
      <c r="EL1097">
        <f>0.45</f>
        <v>0.45</v>
      </c>
      <c r="EM1097" t="s">
        <v>166</v>
      </c>
      <c r="EN1097">
        <f>0.72</f>
        <v>0.72</v>
      </c>
      <c r="EO1097">
        <f>0.58</f>
        <v>0.57999999999999996</v>
      </c>
      <c r="ER1097">
        <f>1.8</f>
        <v>1.8</v>
      </c>
    </row>
    <row r="1098" spans="1:148" x14ac:dyDescent="0.25">
      <c r="A1098" t="s">
        <v>3560</v>
      </c>
      <c r="B1098" t="s">
        <v>148</v>
      </c>
      <c r="C1098" s="1">
        <v>45790</v>
      </c>
      <c r="D1098" t="s">
        <v>175</v>
      </c>
      <c r="E1098" t="s">
        <v>176</v>
      </c>
      <c r="F1098" t="s">
        <v>6615</v>
      </c>
      <c r="G1098" t="s">
        <v>1341</v>
      </c>
      <c r="H1098">
        <v>583</v>
      </c>
      <c r="I1098" t="s">
        <v>1342</v>
      </c>
      <c r="J1098">
        <v>1496</v>
      </c>
      <c r="K1098" t="s">
        <v>5254</v>
      </c>
      <c r="L1098" t="s">
        <v>431</v>
      </c>
      <c r="M1098" t="s">
        <v>5412</v>
      </c>
      <c r="N1098" t="s">
        <v>5935</v>
      </c>
      <c r="O1098" t="s">
        <v>1343</v>
      </c>
      <c r="Q1098" t="s">
        <v>6311</v>
      </c>
      <c r="R1098">
        <f>1</f>
        <v>1</v>
      </c>
      <c r="S1098">
        <f>13.6</f>
        <v>13.6</v>
      </c>
      <c r="T1098">
        <f>7.6</f>
        <v>7.6</v>
      </c>
      <c r="U1098">
        <f>476</f>
        <v>476</v>
      </c>
      <c r="V1098">
        <f>0.09</f>
        <v>0.09</v>
      </c>
      <c r="X1098">
        <f>0</f>
        <v>0</v>
      </c>
      <c r="Y1098" t="s">
        <v>157</v>
      </c>
      <c r="Z1098">
        <f>0</f>
        <v>0</v>
      </c>
      <c r="AA1098" t="s">
        <v>158</v>
      </c>
      <c r="AB1098" t="s">
        <v>158</v>
      </c>
      <c r="AD1098">
        <f>0</f>
        <v>0</v>
      </c>
      <c r="AE1098">
        <f>0</f>
        <v>0</v>
      </c>
      <c r="AH1098" t="s">
        <v>157</v>
      </c>
    </row>
    <row r="1099" spans="1:148" x14ac:dyDescent="0.25">
      <c r="A1099" t="s">
        <v>3561</v>
      </c>
      <c r="B1099" t="s">
        <v>148</v>
      </c>
      <c r="C1099" s="1">
        <v>45840</v>
      </c>
      <c r="D1099" t="s">
        <v>618</v>
      </c>
      <c r="E1099" t="s">
        <v>619</v>
      </c>
      <c r="F1099" t="s">
        <v>620</v>
      </c>
      <c r="G1099" t="s">
        <v>6556</v>
      </c>
      <c r="H1099">
        <v>8</v>
      </c>
      <c r="I1099" t="s">
        <v>6556</v>
      </c>
      <c r="J1099">
        <v>4770</v>
      </c>
      <c r="K1099" t="s">
        <v>5257</v>
      </c>
      <c r="L1099" t="s">
        <v>387</v>
      </c>
      <c r="M1099" t="s">
        <v>6203</v>
      </c>
      <c r="N1099" t="s">
        <v>6204</v>
      </c>
      <c r="O1099" t="s">
        <v>3562</v>
      </c>
      <c r="R1099">
        <f>1</f>
        <v>1</v>
      </c>
      <c r="S1099">
        <f>18.4</f>
        <v>18.399999999999999</v>
      </c>
      <c r="T1099">
        <f>8.1</f>
        <v>8.1</v>
      </c>
      <c r="U1099">
        <f>653</f>
        <v>653</v>
      </c>
      <c r="V1099">
        <f>0.09</f>
        <v>0.09</v>
      </c>
      <c r="X1099">
        <f>0</f>
        <v>0</v>
      </c>
      <c r="Y1099">
        <f>0.1</f>
        <v>0.1</v>
      </c>
      <c r="Z1099">
        <f>0</f>
        <v>0</v>
      </c>
      <c r="AA1099" t="s">
        <v>158</v>
      </c>
      <c r="AB1099" t="s">
        <v>158</v>
      </c>
      <c r="AC1099">
        <f>0</f>
        <v>0</v>
      </c>
      <c r="AD1099">
        <f>0</f>
        <v>0</v>
      </c>
      <c r="AE1099">
        <f>0</f>
        <v>0</v>
      </c>
      <c r="AH1099" t="s">
        <v>157</v>
      </c>
    </row>
    <row r="1100" spans="1:148" x14ac:dyDescent="0.25">
      <c r="A1100" t="s">
        <v>3563</v>
      </c>
      <c r="B1100" t="s">
        <v>148</v>
      </c>
      <c r="C1100" s="1">
        <v>45713</v>
      </c>
      <c r="D1100" t="s">
        <v>222</v>
      </c>
      <c r="E1100" t="s">
        <v>223</v>
      </c>
      <c r="F1100" t="s">
        <v>224</v>
      </c>
      <c r="G1100" t="s">
        <v>838</v>
      </c>
      <c r="H1100">
        <v>374</v>
      </c>
      <c r="I1100" t="s">
        <v>838</v>
      </c>
      <c r="J1100">
        <v>899</v>
      </c>
      <c r="K1100" t="s">
        <v>5257</v>
      </c>
      <c r="L1100" t="s">
        <v>387</v>
      </c>
      <c r="M1100" t="s">
        <v>3564</v>
      </c>
      <c r="N1100" t="s">
        <v>3565</v>
      </c>
      <c r="O1100" t="s">
        <v>3566</v>
      </c>
      <c r="Q1100" t="s">
        <v>6298</v>
      </c>
      <c r="R1100">
        <f>1</f>
        <v>1</v>
      </c>
      <c r="S1100">
        <f>10.6</f>
        <v>10.6</v>
      </c>
      <c r="T1100">
        <f>8.2</f>
        <v>8.1999999999999993</v>
      </c>
      <c r="U1100">
        <f>243</f>
        <v>243</v>
      </c>
      <c r="V1100">
        <f>0.16</f>
        <v>0.16</v>
      </c>
      <c r="X1100">
        <f>1</f>
        <v>1</v>
      </c>
      <c r="Y1100">
        <f>0.15</f>
        <v>0.15</v>
      </c>
      <c r="Z1100">
        <f>0</f>
        <v>0</v>
      </c>
      <c r="AA1100">
        <f>0</f>
        <v>0</v>
      </c>
      <c r="AB1100">
        <f>0</f>
        <v>0</v>
      </c>
      <c r="AC1100">
        <f>0</f>
        <v>0</v>
      </c>
      <c r="AD1100">
        <f>0</f>
        <v>0</v>
      </c>
      <c r="AE1100">
        <f>0</f>
        <v>0</v>
      </c>
      <c r="AH1100" t="s">
        <v>166</v>
      </c>
    </row>
    <row r="1101" spans="1:148" x14ac:dyDescent="0.25">
      <c r="A1101" t="s">
        <v>3567</v>
      </c>
      <c r="B1101" t="s">
        <v>268</v>
      </c>
      <c r="C1101" s="1">
        <v>45734</v>
      </c>
      <c r="D1101" t="s">
        <v>317</v>
      </c>
      <c r="E1101" t="s">
        <v>318</v>
      </c>
      <c r="F1101" t="s">
        <v>842</v>
      </c>
      <c r="G1101" t="s">
        <v>843</v>
      </c>
      <c r="H1101">
        <v>124</v>
      </c>
      <c r="I1101" t="s">
        <v>843</v>
      </c>
      <c r="J1101">
        <v>1285</v>
      </c>
      <c r="K1101" t="s">
        <v>5254</v>
      </c>
      <c r="L1101" t="s">
        <v>4966</v>
      </c>
      <c r="M1101" t="s">
        <v>5341</v>
      </c>
      <c r="N1101" t="s">
        <v>5862</v>
      </c>
      <c r="O1101" t="s">
        <v>844</v>
      </c>
      <c r="Q1101" t="s">
        <v>329</v>
      </c>
      <c r="R1101">
        <f>1</f>
        <v>1</v>
      </c>
      <c r="S1101">
        <f>10.3</f>
        <v>10.3</v>
      </c>
      <c r="T1101">
        <f>7.9</f>
        <v>7.9</v>
      </c>
      <c r="U1101">
        <f>227</f>
        <v>227</v>
      </c>
      <c r="X1101">
        <f>0</f>
        <v>0</v>
      </c>
      <c r="Y1101">
        <f>0.12</f>
        <v>0.12</v>
      </c>
      <c r="Z1101">
        <f>0</f>
        <v>0</v>
      </c>
      <c r="AA1101" t="s">
        <v>705</v>
      </c>
      <c r="AB1101" t="s">
        <v>705</v>
      </c>
      <c r="AD1101">
        <f>0</f>
        <v>0</v>
      </c>
      <c r="AE1101">
        <f>0</f>
        <v>0</v>
      </c>
      <c r="AH1101" t="s">
        <v>157</v>
      </c>
    </row>
    <row r="1102" spans="1:148" x14ac:dyDescent="0.25">
      <c r="A1102" t="s">
        <v>3568</v>
      </c>
      <c r="B1102" t="s">
        <v>148</v>
      </c>
      <c r="C1102" s="1">
        <v>45726</v>
      </c>
      <c r="D1102" t="s">
        <v>317</v>
      </c>
      <c r="E1102" t="s">
        <v>318</v>
      </c>
      <c r="F1102" t="s">
        <v>847</v>
      </c>
      <c r="G1102" t="s">
        <v>852</v>
      </c>
      <c r="H1102">
        <v>989</v>
      </c>
      <c r="I1102" t="s">
        <v>852</v>
      </c>
      <c r="J1102">
        <v>1086</v>
      </c>
      <c r="K1102" t="s">
        <v>5254</v>
      </c>
      <c r="L1102" t="s">
        <v>4966</v>
      </c>
      <c r="M1102" t="s">
        <v>5344</v>
      </c>
      <c r="N1102" t="s">
        <v>4726</v>
      </c>
      <c r="O1102" t="s">
        <v>853</v>
      </c>
      <c r="Q1102" t="s">
        <v>6453</v>
      </c>
      <c r="R1102">
        <f>1</f>
        <v>1</v>
      </c>
      <c r="S1102">
        <f>6.5</f>
        <v>6.5</v>
      </c>
      <c r="T1102">
        <f>8</f>
        <v>8</v>
      </c>
      <c r="U1102">
        <f>216</f>
        <v>216</v>
      </c>
      <c r="X1102">
        <f>0</f>
        <v>0</v>
      </c>
      <c r="Y1102" t="s">
        <v>157</v>
      </c>
      <c r="Z1102">
        <f>0</f>
        <v>0</v>
      </c>
      <c r="AA1102">
        <f>6</f>
        <v>6</v>
      </c>
      <c r="AB1102">
        <f>5</f>
        <v>5</v>
      </c>
      <c r="AD1102">
        <f>0</f>
        <v>0</v>
      </c>
      <c r="AE1102">
        <f>0</f>
        <v>0</v>
      </c>
      <c r="AH1102" t="s">
        <v>157</v>
      </c>
    </row>
    <row r="1103" spans="1:148" x14ac:dyDescent="0.25">
      <c r="A1103" t="s">
        <v>3569</v>
      </c>
      <c r="B1103" t="s">
        <v>148</v>
      </c>
      <c r="C1103" s="1">
        <v>45784</v>
      </c>
      <c r="D1103" t="s">
        <v>311</v>
      </c>
      <c r="E1103" t="s">
        <v>312</v>
      </c>
      <c r="F1103" t="s">
        <v>3570</v>
      </c>
      <c r="G1103" t="s">
        <v>3571</v>
      </c>
      <c r="H1103">
        <v>1030</v>
      </c>
      <c r="I1103" t="s">
        <v>3571</v>
      </c>
      <c r="J1103">
        <v>2200</v>
      </c>
      <c r="K1103" t="s">
        <v>5257</v>
      </c>
      <c r="L1103" t="s">
        <v>4758</v>
      </c>
      <c r="M1103" t="s">
        <v>6205</v>
      </c>
      <c r="N1103" t="s">
        <v>6206</v>
      </c>
      <c r="O1103" t="s">
        <v>3572</v>
      </c>
      <c r="R1103">
        <f>1</f>
        <v>1</v>
      </c>
      <c r="S1103">
        <f>15</f>
        <v>15</v>
      </c>
      <c r="T1103">
        <f>7.4</f>
        <v>7.4</v>
      </c>
      <c r="U1103">
        <f>62</f>
        <v>62</v>
      </c>
      <c r="X1103">
        <f>0</f>
        <v>0</v>
      </c>
      <c r="Y1103" t="s">
        <v>157</v>
      </c>
      <c r="Z1103">
        <f>0</f>
        <v>0</v>
      </c>
      <c r="AA1103" t="s">
        <v>158</v>
      </c>
      <c r="AB1103" t="s">
        <v>158</v>
      </c>
      <c r="AC1103">
        <f>0</f>
        <v>0</v>
      </c>
      <c r="AD1103">
        <f>0</f>
        <v>0</v>
      </c>
      <c r="AE1103">
        <f>0</f>
        <v>0</v>
      </c>
      <c r="AH1103" t="s">
        <v>157</v>
      </c>
    </row>
    <row r="1104" spans="1:148" x14ac:dyDescent="0.25">
      <c r="A1104" t="s">
        <v>3573</v>
      </c>
      <c r="B1104" t="s">
        <v>148</v>
      </c>
      <c r="C1104" s="1">
        <v>45825</v>
      </c>
      <c r="D1104" t="s">
        <v>317</v>
      </c>
      <c r="E1104" t="s">
        <v>318</v>
      </c>
      <c r="F1104" t="s">
        <v>360</v>
      </c>
      <c r="G1104" t="s">
        <v>855</v>
      </c>
      <c r="H1104">
        <v>1059</v>
      </c>
      <c r="I1104" t="s">
        <v>856</v>
      </c>
      <c r="J1104">
        <v>1137</v>
      </c>
      <c r="K1104" t="s">
        <v>5331</v>
      </c>
      <c r="L1104" t="s">
        <v>4948</v>
      </c>
      <c r="M1104" t="s">
        <v>5345</v>
      </c>
      <c r="N1104" t="s">
        <v>857</v>
      </c>
      <c r="O1104" t="s">
        <v>858</v>
      </c>
      <c r="Q1104" t="s">
        <v>845</v>
      </c>
      <c r="R1104">
        <f>1</f>
        <v>1</v>
      </c>
      <c r="S1104">
        <f>17.6</f>
        <v>17.600000000000001</v>
      </c>
      <c r="T1104">
        <f>7.7</f>
        <v>7.7</v>
      </c>
      <c r="U1104">
        <f>301</f>
        <v>301</v>
      </c>
      <c r="X1104">
        <f>0</f>
        <v>0</v>
      </c>
      <c r="Y1104" t="s">
        <v>157</v>
      </c>
      <c r="Z1104">
        <f>0</f>
        <v>0</v>
      </c>
      <c r="AA1104">
        <f>0</f>
        <v>0</v>
      </c>
      <c r="AB1104">
        <f>0</f>
        <v>0</v>
      </c>
      <c r="AC1104">
        <f>0</f>
        <v>0</v>
      </c>
      <c r="AD1104">
        <f>0</f>
        <v>0</v>
      </c>
      <c r="AE1104">
        <f>0</f>
        <v>0</v>
      </c>
      <c r="AH1104" t="s">
        <v>157</v>
      </c>
      <c r="AI1104" t="s">
        <v>167</v>
      </c>
      <c r="AL1104" t="s">
        <v>168</v>
      </c>
      <c r="AM1104" t="s">
        <v>216</v>
      </c>
      <c r="AN1104">
        <f>3.3</f>
        <v>3.3</v>
      </c>
      <c r="AO1104">
        <f>0.066</f>
        <v>6.6000000000000003E-2</v>
      </c>
      <c r="AP1104">
        <f>7</f>
        <v>7</v>
      </c>
      <c r="AQ1104">
        <f>2.6</f>
        <v>2.6</v>
      </c>
      <c r="AR1104" t="s">
        <v>167</v>
      </c>
      <c r="AS1104">
        <f>1.6</f>
        <v>1.6</v>
      </c>
      <c r="AY1104" t="s">
        <v>158</v>
      </c>
      <c r="AZ1104" t="s">
        <v>158</v>
      </c>
      <c r="BA1104" t="s">
        <v>216</v>
      </c>
      <c r="BB1104" t="s">
        <v>158</v>
      </c>
      <c r="BC1104" t="s">
        <v>167</v>
      </c>
      <c r="BD1104" t="s">
        <v>167</v>
      </c>
      <c r="BE1104" t="s">
        <v>216</v>
      </c>
      <c r="BF1104" t="s">
        <v>167</v>
      </c>
      <c r="BG1104" t="s">
        <v>158</v>
      </c>
      <c r="BH1104" t="s">
        <v>167</v>
      </c>
      <c r="BK1104" t="s">
        <v>158</v>
      </c>
    </row>
    <row r="1105" spans="1:148" x14ac:dyDescent="0.25">
      <c r="A1105" t="s">
        <v>3574</v>
      </c>
      <c r="B1105" t="s">
        <v>148</v>
      </c>
      <c r="C1105" s="1">
        <v>45785</v>
      </c>
      <c r="D1105" t="s">
        <v>317</v>
      </c>
      <c r="E1105" t="s">
        <v>318</v>
      </c>
      <c r="F1105" t="s">
        <v>6576</v>
      </c>
      <c r="G1105" t="s">
        <v>5111</v>
      </c>
      <c r="H1105">
        <v>1091</v>
      </c>
      <c r="I1105" t="s">
        <v>5112</v>
      </c>
      <c r="J1105">
        <v>2000</v>
      </c>
      <c r="K1105" t="s">
        <v>5254</v>
      </c>
      <c r="L1105" t="s">
        <v>393</v>
      </c>
      <c r="M1105" t="s">
        <v>5346</v>
      </c>
      <c r="N1105" t="s">
        <v>860</v>
      </c>
      <c r="O1105" t="s">
        <v>861</v>
      </c>
      <c r="Q1105" t="s">
        <v>347</v>
      </c>
      <c r="R1105">
        <f>1</f>
        <v>1</v>
      </c>
      <c r="S1105">
        <f>14.2</f>
        <v>14.2</v>
      </c>
      <c r="T1105">
        <f>7.9</f>
        <v>7.9</v>
      </c>
      <c r="U1105">
        <f>292</f>
        <v>292</v>
      </c>
      <c r="V1105">
        <f>0.1</f>
        <v>0.1</v>
      </c>
      <c r="X1105">
        <f>0</f>
        <v>0</v>
      </c>
      <c r="Y1105">
        <f>0.17</f>
        <v>0.17</v>
      </c>
      <c r="Z1105">
        <f>0</f>
        <v>0</v>
      </c>
      <c r="AA1105">
        <f>0</f>
        <v>0</v>
      </c>
      <c r="AB1105">
        <f>0</f>
        <v>0</v>
      </c>
      <c r="AD1105">
        <f>0</f>
        <v>0</v>
      </c>
      <c r="AE1105">
        <f>0</f>
        <v>0</v>
      </c>
      <c r="AH1105" t="s">
        <v>157</v>
      </c>
      <c r="AI1105" t="s">
        <v>167</v>
      </c>
      <c r="AL1105" t="s">
        <v>168</v>
      </c>
      <c r="AM1105" t="s">
        <v>216</v>
      </c>
      <c r="AN1105">
        <f>4.1</f>
        <v>4.0999999999999996</v>
      </c>
      <c r="AO1105">
        <f>0.082</f>
        <v>8.2000000000000003E-2</v>
      </c>
      <c r="AP1105">
        <f>3.5</f>
        <v>3.5</v>
      </c>
      <c r="AQ1105" t="s">
        <v>167</v>
      </c>
      <c r="AR1105" t="s">
        <v>167</v>
      </c>
      <c r="AS1105">
        <f>0.7</f>
        <v>0.7</v>
      </c>
      <c r="AY1105" t="s">
        <v>158</v>
      </c>
      <c r="AZ1105" t="s">
        <v>158</v>
      </c>
      <c r="BA1105" t="s">
        <v>216</v>
      </c>
      <c r="BB1105">
        <f>11</f>
        <v>11</v>
      </c>
      <c r="BC1105" t="s">
        <v>167</v>
      </c>
      <c r="BD1105" t="s">
        <v>167</v>
      </c>
      <c r="BE1105" t="s">
        <v>216</v>
      </c>
      <c r="BF1105" t="s">
        <v>167</v>
      </c>
      <c r="BG1105" t="s">
        <v>158</v>
      </c>
      <c r="BH1105" t="s">
        <v>167</v>
      </c>
      <c r="BK1105" t="s">
        <v>158</v>
      </c>
      <c r="EL1105" t="s">
        <v>251</v>
      </c>
      <c r="EM1105" t="s">
        <v>251</v>
      </c>
      <c r="EN1105" t="s">
        <v>251</v>
      </c>
      <c r="EO1105" t="s">
        <v>251</v>
      </c>
      <c r="ER1105" t="s">
        <v>251</v>
      </c>
    </row>
    <row r="1106" spans="1:148" x14ac:dyDescent="0.25">
      <c r="A1106" t="s">
        <v>3575</v>
      </c>
      <c r="B1106" t="s">
        <v>148</v>
      </c>
      <c r="C1106" s="1">
        <v>45785</v>
      </c>
      <c r="D1106" t="s">
        <v>242</v>
      </c>
      <c r="E1106" t="s">
        <v>243</v>
      </c>
      <c r="F1106" t="s">
        <v>4727</v>
      </c>
      <c r="G1106" t="s">
        <v>6587</v>
      </c>
      <c r="H1106">
        <v>1122</v>
      </c>
      <c r="I1106" t="s">
        <v>6816</v>
      </c>
      <c r="J1106">
        <v>3600</v>
      </c>
      <c r="K1106" t="s">
        <v>5254</v>
      </c>
      <c r="L1106" t="s">
        <v>3576</v>
      </c>
      <c r="M1106" t="s">
        <v>4910</v>
      </c>
      <c r="N1106" t="s">
        <v>4911</v>
      </c>
      <c r="O1106" t="s">
        <v>3577</v>
      </c>
      <c r="R1106">
        <f>1</f>
        <v>1</v>
      </c>
      <c r="S1106">
        <f>15.3</f>
        <v>15.3</v>
      </c>
      <c r="T1106">
        <f>7.6</f>
        <v>7.6</v>
      </c>
      <c r="U1106">
        <f>506</f>
        <v>506</v>
      </c>
      <c r="X1106">
        <f>0</f>
        <v>0</v>
      </c>
      <c r="Y1106" t="s">
        <v>157</v>
      </c>
      <c r="Z1106">
        <f>0</f>
        <v>0</v>
      </c>
      <c r="AA1106" t="s">
        <v>158</v>
      </c>
      <c r="AB1106" t="s">
        <v>158</v>
      </c>
      <c r="AD1106">
        <f>0</f>
        <v>0</v>
      </c>
      <c r="AE1106">
        <f>0</f>
        <v>0</v>
      </c>
      <c r="AH1106" t="s">
        <v>157</v>
      </c>
    </row>
    <row r="1107" spans="1:148" x14ac:dyDescent="0.25">
      <c r="A1107" t="s">
        <v>3578</v>
      </c>
      <c r="B1107" t="s">
        <v>148</v>
      </c>
      <c r="C1107" s="1">
        <v>45838</v>
      </c>
      <c r="D1107" t="s">
        <v>242</v>
      </c>
      <c r="E1107" t="s">
        <v>243</v>
      </c>
      <c r="F1107" t="s">
        <v>4727</v>
      </c>
      <c r="G1107" t="s">
        <v>863</v>
      </c>
      <c r="H1107">
        <v>1123</v>
      </c>
      <c r="I1107" t="s">
        <v>863</v>
      </c>
      <c r="J1107">
        <v>1300</v>
      </c>
      <c r="K1107" t="s">
        <v>5254</v>
      </c>
      <c r="L1107" t="s">
        <v>393</v>
      </c>
      <c r="M1107" t="s">
        <v>5347</v>
      </c>
      <c r="N1107" t="s">
        <v>864</v>
      </c>
      <c r="O1107" t="s">
        <v>865</v>
      </c>
      <c r="R1107">
        <f>1</f>
        <v>1</v>
      </c>
      <c r="S1107">
        <f>19.4</f>
        <v>19.399999999999999</v>
      </c>
      <c r="T1107">
        <f>7.5</f>
        <v>7.5</v>
      </c>
      <c r="U1107">
        <f>423</f>
        <v>423</v>
      </c>
      <c r="V1107">
        <f>0.07</f>
        <v>7.0000000000000007E-2</v>
      </c>
      <c r="X1107">
        <f>0</f>
        <v>0</v>
      </c>
      <c r="Y1107" t="s">
        <v>157</v>
      </c>
      <c r="Z1107">
        <f>0</f>
        <v>0</v>
      </c>
      <c r="AA1107">
        <f>17</f>
        <v>17</v>
      </c>
      <c r="AB1107">
        <f>16</f>
        <v>16</v>
      </c>
      <c r="AD1107">
        <f>0</f>
        <v>0</v>
      </c>
      <c r="AE1107">
        <f>0</f>
        <v>0</v>
      </c>
      <c r="AH1107" t="s">
        <v>157</v>
      </c>
      <c r="AI1107" t="s">
        <v>238</v>
      </c>
      <c r="AL1107" t="s">
        <v>164</v>
      </c>
      <c r="AM1107" t="s">
        <v>165</v>
      </c>
      <c r="AN1107">
        <f>3.9</f>
        <v>3.9</v>
      </c>
      <c r="AO1107">
        <f>0.08</f>
        <v>0.08</v>
      </c>
      <c r="AP1107">
        <f>7.3</f>
        <v>7.3</v>
      </c>
      <c r="AQ1107">
        <f>1.9</f>
        <v>1.9</v>
      </c>
      <c r="AR1107" t="s">
        <v>157</v>
      </c>
      <c r="AS1107">
        <f>1.3</f>
        <v>1.3</v>
      </c>
      <c r="AY1107" t="s">
        <v>167</v>
      </c>
      <c r="AZ1107" t="s">
        <v>158</v>
      </c>
      <c r="BA1107" t="s">
        <v>216</v>
      </c>
      <c r="BB1107" t="s">
        <v>158</v>
      </c>
      <c r="BC1107" t="s">
        <v>166</v>
      </c>
      <c r="BD1107" t="s">
        <v>167</v>
      </c>
      <c r="BE1107">
        <f>0.002</f>
        <v>2E-3</v>
      </c>
      <c r="BF1107">
        <f>0.073</f>
        <v>7.2999999999999995E-2</v>
      </c>
      <c r="BG1107" t="s">
        <v>167</v>
      </c>
      <c r="BH1107">
        <f>1.2</f>
        <v>1.2</v>
      </c>
      <c r="BK1107">
        <f>0.3</f>
        <v>0.3</v>
      </c>
      <c r="EL1107" t="s">
        <v>157</v>
      </c>
      <c r="EM1107" t="s">
        <v>166</v>
      </c>
      <c r="EN1107">
        <f>0.2</f>
        <v>0.2</v>
      </c>
      <c r="EO1107">
        <f>0.31</f>
        <v>0.31</v>
      </c>
      <c r="ER1107">
        <f>0.51</f>
        <v>0.51</v>
      </c>
    </row>
    <row r="1108" spans="1:148" x14ac:dyDescent="0.25">
      <c r="A1108" t="s">
        <v>3579</v>
      </c>
      <c r="B1108" t="s">
        <v>148</v>
      </c>
      <c r="C1108" s="1">
        <v>45824</v>
      </c>
      <c r="D1108" t="s">
        <v>242</v>
      </c>
      <c r="E1108" t="s">
        <v>243</v>
      </c>
      <c r="F1108" t="s">
        <v>5098</v>
      </c>
      <c r="G1108" t="s">
        <v>867</v>
      </c>
      <c r="H1108">
        <v>1125</v>
      </c>
      <c r="I1108" t="s">
        <v>867</v>
      </c>
      <c r="J1108">
        <v>2531</v>
      </c>
      <c r="K1108" t="s">
        <v>5254</v>
      </c>
      <c r="L1108" t="s">
        <v>387</v>
      </c>
      <c r="M1108" t="s">
        <v>868</v>
      </c>
      <c r="N1108" t="s">
        <v>869</v>
      </c>
      <c r="O1108" t="s">
        <v>870</v>
      </c>
      <c r="R1108">
        <f>1</f>
        <v>1</v>
      </c>
      <c r="S1108">
        <f>15.1</f>
        <v>15.1</v>
      </c>
      <c r="T1108">
        <f>7.9</f>
        <v>7.9</v>
      </c>
      <c r="U1108">
        <f>310</f>
        <v>310</v>
      </c>
      <c r="X1108">
        <f>1</f>
        <v>1</v>
      </c>
      <c r="Y1108">
        <f>0.25</f>
        <v>0.25</v>
      </c>
      <c r="Z1108">
        <f>0</f>
        <v>0</v>
      </c>
      <c r="AA1108" t="s">
        <v>158</v>
      </c>
      <c r="AB1108" t="s">
        <v>158</v>
      </c>
      <c r="AD1108">
        <f>0</f>
        <v>0</v>
      </c>
      <c r="AE1108">
        <f>0</f>
        <v>0</v>
      </c>
      <c r="AH1108" t="s">
        <v>157</v>
      </c>
      <c r="AI1108" t="s">
        <v>238</v>
      </c>
      <c r="AL1108" t="s">
        <v>164</v>
      </c>
      <c r="AM1108" t="s">
        <v>165</v>
      </c>
      <c r="AN1108">
        <f>5.3</f>
        <v>5.3</v>
      </c>
      <c r="AO1108">
        <f>0.11</f>
        <v>0.11</v>
      </c>
      <c r="AP1108">
        <f>10</f>
        <v>10</v>
      </c>
      <c r="AQ1108">
        <f>2.8</f>
        <v>2.8</v>
      </c>
      <c r="AR1108" t="s">
        <v>157</v>
      </c>
      <c r="AS1108">
        <f>1.5</f>
        <v>1.5</v>
      </c>
      <c r="AY1108" t="s">
        <v>167</v>
      </c>
      <c r="AZ1108" t="s">
        <v>158</v>
      </c>
      <c r="BA1108" t="s">
        <v>216</v>
      </c>
      <c r="BB1108" t="s">
        <v>158</v>
      </c>
      <c r="BC1108" t="s">
        <v>166</v>
      </c>
      <c r="BD1108" t="s">
        <v>167</v>
      </c>
      <c r="BE1108">
        <f>0.0053</f>
        <v>5.3E-3</v>
      </c>
      <c r="BF1108" t="s">
        <v>168</v>
      </c>
      <c r="BG1108" t="s">
        <v>167</v>
      </c>
      <c r="BH1108">
        <f>2</f>
        <v>2</v>
      </c>
      <c r="BK1108">
        <f>0.12</f>
        <v>0.12</v>
      </c>
      <c r="BL1108" t="s">
        <v>168</v>
      </c>
      <c r="BM1108" t="s">
        <v>168</v>
      </c>
      <c r="BN1108" t="s">
        <v>168</v>
      </c>
      <c r="BO1108" t="s">
        <v>168</v>
      </c>
      <c r="BP1108" t="s">
        <v>168</v>
      </c>
      <c r="BQ1108" t="s">
        <v>168</v>
      </c>
      <c r="BR1108" t="s">
        <v>168</v>
      </c>
      <c r="BS1108" t="s">
        <v>168</v>
      </c>
      <c r="BT1108" t="s">
        <v>216</v>
      </c>
      <c r="BU1108" t="s">
        <v>168</v>
      </c>
      <c r="BV1108" t="s">
        <v>209</v>
      </c>
      <c r="BW1108" t="s">
        <v>209</v>
      </c>
      <c r="BX1108" t="s">
        <v>209</v>
      </c>
      <c r="BY1108" t="s">
        <v>209</v>
      </c>
      <c r="BZ1108" t="s">
        <v>216</v>
      </c>
      <c r="CA1108" t="s">
        <v>216</v>
      </c>
      <c r="CB1108" t="s">
        <v>168</v>
      </c>
      <c r="CC1108" t="s">
        <v>168</v>
      </c>
      <c r="CD1108" t="s">
        <v>216</v>
      </c>
      <c r="CE1108" t="s">
        <v>209</v>
      </c>
      <c r="CF1108" t="s">
        <v>168</v>
      </c>
      <c r="CG1108" t="s">
        <v>168</v>
      </c>
      <c r="CH1108" t="s">
        <v>165</v>
      </c>
      <c r="CI1108" t="s">
        <v>216</v>
      </c>
      <c r="CJ1108" t="s">
        <v>216</v>
      </c>
      <c r="CK1108" t="s">
        <v>216</v>
      </c>
      <c r="CL1108" t="s">
        <v>216</v>
      </c>
      <c r="CM1108" t="s">
        <v>216</v>
      </c>
      <c r="CN1108" t="s">
        <v>216</v>
      </c>
      <c r="CO1108" t="s">
        <v>216</v>
      </c>
      <c r="CP1108" t="s">
        <v>216</v>
      </c>
      <c r="CQ1108" t="s">
        <v>216</v>
      </c>
      <c r="CR1108" t="s">
        <v>216</v>
      </c>
      <c r="CS1108" t="s">
        <v>216</v>
      </c>
      <c r="CT1108" t="s">
        <v>216</v>
      </c>
      <c r="CU1108" t="s">
        <v>216</v>
      </c>
      <c r="CV1108" t="s">
        <v>216</v>
      </c>
      <c r="CW1108" t="s">
        <v>216</v>
      </c>
      <c r="CX1108" t="s">
        <v>216</v>
      </c>
      <c r="CY1108" t="s">
        <v>216</v>
      </c>
      <c r="CZ1108" t="s">
        <v>216</v>
      </c>
      <c r="DA1108" t="s">
        <v>168</v>
      </c>
      <c r="DB1108" t="s">
        <v>216</v>
      </c>
      <c r="DC1108" t="s">
        <v>216</v>
      </c>
      <c r="DD1108" t="s">
        <v>216</v>
      </c>
      <c r="DE1108" t="s">
        <v>168</v>
      </c>
      <c r="DF1108" t="s">
        <v>168</v>
      </c>
      <c r="DG1108" t="s">
        <v>216</v>
      </c>
      <c r="DH1108" t="s">
        <v>216</v>
      </c>
      <c r="DI1108" t="s">
        <v>216</v>
      </c>
      <c r="DJ1108" t="s">
        <v>216</v>
      </c>
      <c r="DK1108" t="s">
        <v>168</v>
      </c>
      <c r="DL1108" t="s">
        <v>216</v>
      </c>
      <c r="DM1108" t="s">
        <v>216</v>
      </c>
      <c r="DN1108" t="s">
        <v>216</v>
      </c>
      <c r="DO1108" t="s">
        <v>216</v>
      </c>
      <c r="DP1108" t="s">
        <v>168</v>
      </c>
      <c r="DQ1108" t="s">
        <v>216</v>
      </c>
      <c r="DR1108" t="s">
        <v>168</v>
      </c>
      <c r="DS1108" t="s">
        <v>168</v>
      </c>
      <c r="DT1108" t="s">
        <v>168</v>
      </c>
      <c r="DU1108" t="s">
        <v>168</v>
      </c>
      <c r="DV1108" t="s">
        <v>168</v>
      </c>
      <c r="DW1108" t="s">
        <v>168</v>
      </c>
      <c r="DX1108" t="s">
        <v>168</v>
      </c>
      <c r="DY1108" t="s">
        <v>168</v>
      </c>
      <c r="DZ1108" t="s">
        <v>209</v>
      </c>
      <c r="EA1108" t="s">
        <v>216</v>
      </c>
      <c r="EB1108" t="s">
        <v>168</v>
      </c>
      <c r="EC1108" t="s">
        <v>168</v>
      </c>
      <c r="ED1108" t="s">
        <v>209</v>
      </c>
      <c r="EE1108" t="s">
        <v>168</v>
      </c>
      <c r="EL1108">
        <f>0.26</f>
        <v>0.26</v>
      </c>
      <c r="EM1108" t="s">
        <v>166</v>
      </c>
      <c r="EN1108">
        <f>0.48</f>
        <v>0.48</v>
      </c>
      <c r="EO1108">
        <f>0.54</f>
        <v>0.54</v>
      </c>
      <c r="ER1108">
        <f>1.3</f>
        <v>1.3</v>
      </c>
    </row>
    <row r="1109" spans="1:148" x14ac:dyDescent="0.25">
      <c r="A1109" t="s">
        <v>3580</v>
      </c>
      <c r="B1109" t="s">
        <v>148</v>
      </c>
      <c r="C1109" s="1">
        <v>45869</v>
      </c>
      <c r="D1109" t="s">
        <v>242</v>
      </c>
      <c r="E1109" t="s">
        <v>243</v>
      </c>
      <c r="F1109" t="s">
        <v>5098</v>
      </c>
      <c r="G1109" t="s">
        <v>872</v>
      </c>
      <c r="H1109">
        <v>1126</v>
      </c>
      <c r="I1109" t="s">
        <v>872</v>
      </c>
      <c r="J1109">
        <v>9637</v>
      </c>
      <c r="K1109" t="s">
        <v>5257</v>
      </c>
      <c r="L1109" t="s">
        <v>387</v>
      </c>
      <c r="M1109" t="s">
        <v>5348</v>
      </c>
      <c r="N1109" t="s">
        <v>4728</v>
      </c>
      <c r="O1109" t="s">
        <v>873</v>
      </c>
      <c r="R1109">
        <f>1</f>
        <v>1</v>
      </c>
      <c r="S1109">
        <f>22.8</f>
        <v>22.8</v>
      </c>
      <c r="T1109">
        <f>7.8</f>
        <v>7.8</v>
      </c>
      <c r="U1109">
        <f>342</f>
        <v>342</v>
      </c>
      <c r="X1109">
        <f>0</f>
        <v>0</v>
      </c>
      <c r="Y1109">
        <f>0.61</f>
        <v>0.61</v>
      </c>
      <c r="Z1109">
        <f>0</f>
        <v>0</v>
      </c>
      <c r="AA1109" t="s">
        <v>158</v>
      </c>
      <c r="AB1109" t="s">
        <v>158</v>
      </c>
      <c r="AC1109">
        <f>0</f>
        <v>0</v>
      </c>
      <c r="AD1109">
        <f>0</f>
        <v>0</v>
      </c>
      <c r="AE1109">
        <f>0</f>
        <v>0</v>
      </c>
      <c r="AH1109" t="s">
        <v>157</v>
      </c>
    </row>
    <row r="1110" spans="1:148" x14ac:dyDescent="0.25">
      <c r="A1110" t="s">
        <v>3581</v>
      </c>
      <c r="B1110" t="s">
        <v>148</v>
      </c>
      <c r="C1110" s="1">
        <v>45834</v>
      </c>
      <c r="D1110" t="s">
        <v>242</v>
      </c>
      <c r="E1110" t="s">
        <v>243</v>
      </c>
      <c r="F1110" t="s">
        <v>5098</v>
      </c>
      <c r="G1110" t="s">
        <v>872</v>
      </c>
      <c r="H1110">
        <v>1126</v>
      </c>
      <c r="I1110" t="s">
        <v>872</v>
      </c>
      <c r="J1110">
        <v>9637</v>
      </c>
      <c r="K1110" t="s">
        <v>5257</v>
      </c>
      <c r="L1110" t="s">
        <v>387</v>
      </c>
      <c r="M1110" t="s">
        <v>3582</v>
      </c>
      <c r="N1110" t="s">
        <v>3583</v>
      </c>
      <c r="O1110" t="s">
        <v>3584</v>
      </c>
      <c r="R1110">
        <f>1</f>
        <v>1</v>
      </c>
      <c r="S1110">
        <f>18.9</f>
        <v>18.899999999999999</v>
      </c>
      <c r="T1110">
        <f>7.8</f>
        <v>7.8</v>
      </c>
      <c r="U1110">
        <f>355</f>
        <v>355</v>
      </c>
      <c r="V1110">
        <f>0.22</f>
        <v>0.22</v>
      </c>
      <c r="X1110">
        <f>0</f>
        <v>0</v>
      </c>
      <c r="Y1110" t="s">
        <v>157</v>
      </c>
      <c r="Z1110">
        <f>0</f>
        <v>0</v>
      </c>
      <c r="AA1110" t="s">
        <v>158</v>
      </c>
      <c r="AB1110" t="s">
        <v>158</v>
      </c>
      <c r="AC1110">
        <f>0</f>
        <v>0</v>
      </c>
      <c r="AD1110">
        <f>0</f>
        <v>0</v>
      </c>
      <c r="AE1110">
        <f>0</f>
        <v>0</v>
      </c>
      <c r="AH1110" t="s">
        <v>157</v>
      </c>
      <c r="AI1110" t="s">
        <v>238</v>
      </c>
      <c r="AL1110" t="s">
        <v>164</v>
      </c>
      <c r="AM1110" t="s">
        <v>165</v>
      </c>
      <c r="AN1110">
        <f>6.6</f>
        <v>6.6</v>
      </c>
      <c r="AO1110">
        <f>0.13</f>
        <v>0.13</v>
      </c>
      <c r="AP1110">
        <f>9</f>
        <v>9</v>
      </c>
      <c r="AQ1110">
        <f>1.6</f>
        <v>1.6</v>
      </c>
      <c r="AR1110" t="s">
        <v>157</v>
      </c>
      <c r="AS1110">
        <f>0.8</f>
        <v>0.8</v>
      </c>
      <c r="AY1110" t="s">
        <v>167</v>
      </c>
      <c r="AZ1110" t="s">
        <v>158</v>
      </c>
      <c r="BA1110" t="s">
        <v>216</v>
      </c>
      <c r="BB1110" t="s">
        <v>158</v>
      </c>
      <c r="BC1110" t="s">
        <v>166</v>
      </c>
      <c r="BD1110" t="s">
        <v>167</v>
      </c>
      <c r="BE1110">
        <f>0.0028</f>
        <v>2.8E-3</v>
      </c>
      <c r="BF1110" t="s">
        <v>168</v>
      </c>
      <c r="BG1110" t="s">
        <v>167</v>
      </c>
      <c r="BH1110">
        <f>1.2</f>
        <v>1.2</v>
      </c>
      <c r="BK1110">
        <f>0.2</f>
        <v>0.2</v>
      </c>
      <c r="BL1110" t="s">
        <v>168</v>
      </c>
      <c r="BM1110" t="s">
        <v>168</v>
      </c>
      <c r="BN1110" t="s">
        <v>168</v>
      </c>
      <c r="BO1110" t="s">
        <v>168</v>
      </c>
      <c r="BP1110" t="s">
        <v>168</v>
      </c>
      <c r="BQ1110" t="s">
        <v>168</v>
      </c>
      <c r="BR1110" t="s">
        <v>168</v>
      </c>
      <c r="BS1110" t="s">
        <v>168</v>
      </c>
      <c r="BT1110" t="s">
        <v>216</v>
      </c>
      <c r="BU1110" t="s">
        <v>168</v>
      </c>
      <c r="BV1110" t="s">
        <v>209</v>
      </c>
      <c r="BW1110" t="s">
        <v>209</v>
      </c>
      <c r="BX1110" t="s">
        <v>209</v>
      </c>
      <c r="BY1110" t="s">
        <v>209</v>
      </c>
      <c r="BZ1110" t="s">
        <v>216</v>
      </c>
      <c r="CA1110" t="s">
        <v>216</v>
      </c>
      <c r="CB1110" t="s">
        <v>168</v>
      </c>
      <c r="CC1110" t="s">
        <v>168</v>
      </c>
      <c r="CD1110" t="s">
        <v>216</v>
      </c>
      <c r="CE1110" t="s">
        <v>209</v>
      </c>
      <c r="CF1110" t="s">
        <v>168</v>
      </c>
      <c r="CG1110" t="s">
        <v>168</v>
      </c>
      <c r="CH1110" t="s">
        <v>165</v>
      </c>
      <c r="CI1110" t="s">
        <v>216</v>
      </c>
      <c r="CJ1110" t="s">
        <v>216</v>
      </c>
      <c r="CK1110" t="s">
        <v>216</v>
      </c>
      <c r="CL1110" t="s">
        <v>216</v>
      </c>
      <c r="CM1110" t="s">
        <v>216</v>
      </c>
      <c r="CN1110" t="s">
        <v>216</v>
      </c>
      <c r="CO1110" t="s">
        <v>216</v>
      </c>
      <c r="CP1110" t="s">
        <v>216</v>
      </c>
      <c r="CQ1110" t="s">
        <v>216</v>
      </c>
      <c r="CR1110" t="s">
        <v>216</v>
      </c>
      <c r="CS1110" t="s">
        <v>216</v>
      </c>
      <c r="CT1110" t="s">
        <v>216</v>
      </c>
      <c r="CU1110" t="s">
        <v>216</v>
      </c>
      <c r="CV1110" t="s">
        <v>216</v>
      </c>
      <c r="CW1110" t="s">
        <v>216</v>
      </c>
      <c r="CX1110" t="s">
        <v>216</v>
      </c>
      <c r="CY1110" t="s">
        <v>216</v>
      </c>
      <c r="CZ1110" t="s">
        <v>216</v>
      </c>
      <c r="DA1110" t="s">
        <v>168</v>
      </c>
      <c r="DB1110" t="s">
        <v>216</v>
      </c>
      <c r="DC1110" t="s">
        <v>216</v>
      </c>
      <c r="DD1110" t="s">
        <v>216</v>
      </c>
      <c r="DE1110" t="s">
        <v>168</v>
      </c>
      <c r="DF1110" t="s">
        <v>168</v>
      </c>
      <c r="DG1110" t="s">
        <v>216</v>
      </c>
      <c r="DH1110" t="s">
        <v>216</v>
      </c>
      <c r="DI1110" t="s">
        <v>216</v>
      </c>
      <c r="DJ1110" t="s">
        <v>216</v>
      </c>
      <c r="DK1110" t="s">
        <v>168</v>
      </c>
      <c r="DL1110" t="s">
        <v>216</v>
      </c>
      <c r="DM1110" t="s">
        <v>216</v>
      </c>
      <c r="DN1110" t="s">
        <v>216</v>
      </c>
      <c r="DO1110" t="s">
        <v>216</v>
      </c>
      <c r="DP1110" t="s">
        <v>168</v>
      </c>
      <c r="DQ1110" t="s">
        <v>216</v>
      </c>
      <c r="DR1110" t="s">
        <v>168</v>
      </c>
      <c r="DS1110" t="s">
        <v>168</v>
      </c>
      <c r="DT1110" t="s">
        <v>168</v>
      </c>
      <c r="DU1110" t="s">
        <v>168</v>
      </c>
      <c r="DV1110" t="s">
        <v>168</v>
      </c>
      <c r="DW1110" t="s">
        <v>168</v>
      </c>
      <c r="DX1110" t="s">
        <v>168</v>
      </c>
      <c r="DY1110" t="s">
        <v>168</v>
      </c>
      <c r="DZ1110" t="s">
        <v>209</v>
      </c>
      <c r="EA1110" t="s">
        <v>216</v>
      </c>
      <c r="EB1110" t="s">
        <v>168</v>
      </c>
      <c r="EC1110" t="s">
        <v>168</v>
      </c>
      <c r="ED1110" t="s">
        <v>209</v>
      </c>
      <c r="EE1110" t="s">
        <v>168</v>
      </c>
      <c r="EL1110">
        <f>0.27</f>
        <v>0.27</v>
      </c>
      <c r="EM1110">
        <f>0.21</f>
        <v>0.21</v>
      </c>
      <c r="EN1110">
        <f>0.5</f>
        <v>0.5</v>
      </c>
      <c r="EO1110">
        <f>0.61</f>
        <v>0.61</v>
      </c>
      <c r="ER1110">
        <f>1.6</f>
        <v>1.6</v>
      </c>
    </row>
    <row r="1111" spans="1:148" x14ac:dyDescent="0.25">
      <c r="A1111" t="s">
        <v>3585</v>
      </c>
      <c r="B1111" t="s">
        <v>148</v>
      </c>
      <c r="C1111" s="1">
        <v>45825</v>
      </c>
      <c r="D1111" t="s">
        <v>242</v>
      </c>
      <c r="E1111" t="s">
        <v>243</v>
      </c>
      <c r="F1111" t="s">
        <v>5349</v>
      </c>
      <c r="G1111" t="s">
        <v>5863</v>
      </c>
      <c r="H1111">
        <v>1128</v>
      </c>
      <c r="I1111" t="s">
        <v>5863</v>
      </c>
      <c r="J1111">
        <v>5130</v>
      </c>
      <c r="K1111" t="s">
        <v>5254</v>
      </c>
      <c r="L1111" t="s">
        <v>393</v>
      </c>
      <c r="M1111" t="s">
        <v>5352</v>
      </c>
      <c r="N1111" t="s">
        <v>5353</v>
      </c>
      <c r="O1111" t="s">
        <v>877</v>
      </c>
      <c r="R1111">
        <f>1</f>
        <v>1</v>
      </c>
      <c r="S1111">
        <f>14.9</f>
        <v>14.9</v>
      </c>
      <c r="T1111">
        <f>7.8</f>
        <v>7.8</v>
      </c>
      <c r="U1111">
        <f>411</f>
        <v>411</v>
      </c>
      <c r="X1111">
        <f>0</f>
        <v>0</v>
      </c>
      <c r="Y1111" t="s">
        <v>157</v>
      </c>
      <c r="Z1111">
        <f>0</f>
        <v>0</v>
      </c>
      <c r="AA1111" t="s">
        <v>158</v>
      </c>
      <c r="AB1111" t="s">
        <v>158</v>
      </c>
      <c r="AD1111">
        <f>0</f>
        <v>0</v>
      </c>
      <c r="AE1111">
        <f>0</f>
        <v>0</v>
      </c>
      <c r="AH1111" t="s">
        <v>157</v>
      </c>
      <c r="AI1111" t="s">
        <v>238</v>
      </c>
      <c r="AL1111" t="s">
        <v>164</v>
      </c>
      <c r="AM1111" t="s">
        <v>165</v>
      </c>
      <c r="AN1111">
        <f>2.7</f>
        <v>2.7</v>
      </c>
      <c r="AO1111">
        <f>0.05</f>
        <v>0.05</v>
      </c>
      <c r="AP1111">
        <f>19</f>
        <v>19</v>
      </c>
      <c r="AQ1111">
        <f>1.2</f>
        <v>1.2</v>
      </c>
      <c r="AR1111" t="s">
        <v>157</v>
      </c>
      <c r="AS1111">
        <f>0.99</f>
        <v>0.99</v>
      </c>
      <c r="AY1111" t="s">
        <v>167</v>
      </c>
      <c r="AZ1111" t="s">
        <v>158</v>
      </c>
      <c r="BA1111" t="s">
        <v>216</v>
      </c>
      <c r="BB1111" t="s">
        <v>158</v>
      </c>
      <c r="BC1111" t="s">
        <v>166</v>
      </c>
      <c r="BD1111" t="s">
        <v>167</v>
      </c>
      <c r="BE1111" t="s">
        <v>266</v>
      </c>
      <c r="BF1111" t="s">
        <v>168</v>
      </c>
      <c r="BG1111" t="s">
        <v>167</v>
      </c>
      <c r="BH1111">
        <f>1.2</f>
        <v>1.2</v>
      </c>
      <c r="BK1111">
        <f>1.2</f>
        <v>1.2</v>
      </c>
      <c r="BL1111" t="s">
        <v>168</v>
      </c>
      <c r="BM1111" t="s">
        <v>168</v>
      </c>
      <c r="BN1111" t="s">
        <v>168</v>
      </c>
      <c r="BO1111" t="s">
        <v>168</v>
      </c>
      <c r="BP1111" t="s">
        <v>168</v>
      </c>
      <c r="BQ1111" t="s">
        <v>168</v>
      </c>
      <c r="BR1111" t="s">
        <v>168</v>
      </c>
      <c r="BS1111" t="s">
        <v>168</v>
      </c>
      <c r="BT1111" t="s">
        <v>216</v>
      </c>
      <c r="BU1111" t="s">
        <v>168</v>
      </c>
      <c r="BV1111" t="s">
        <v>209</v>
      </c>
      <c r="BW1111" t="s">
        <v>209</v>
      </c>
      <c r="BX1111" t="s">
        <v>209</v>
      </c>
      <c r="BY1111" t="s">
        <v>209</v>
      </c>
      <c r="BZ1111" t="s">
        <v>216</v>
      </c>
      <c r="CA1111" t="s">
        <v>216</v>
      </c>
      <c r="CB1111" t="s">
        <v>168</v>
      </c>
      <c r="CC1111" t="s">
        <v>168</v>
      </c>
      <c r="CD1111" t="s">
        <v>216</v>
      </c>
      <c r="CE1111" t="s">
        <v>209</v>
      </c>
      <c r="CF1111" t="s">
        <v>168</v>
      </c>
      <c r="CG1111" t="s">
        <v>168</v>
      </c>
      <c r="CH1111" t="s">
        <v>165</v>
      </c>
      <c r="CI1111" t="s">
        <v>216</v>
      </c>
      <c r="CJ1111" t="s">
        <v>216</v>
      </c>
      <c r="CK1111" t="s">
        <v>216</v>
      </c>
      <c r="CL1111" t="s">
        <v>216</v>
      </c>
      <c r="CM1111" t="s">
        <v>216</v>
      </c>
      <c r="CN1111" t="s">
        <v>216</v>
      </c>
      <c r="CO1111" t="s">
        <v>216</v>
      </c>
      <c r="CP1111" t="s">
        <v>216</v>
      </c>
      <c r="CQ1111" t="s">
        <v>216</v>
      </c>
      <c r="CR1111" t="s">
        <v>216</v>
      </c>
      <c r="CS1111" t="s">
        <v>216</v>
      </c>
      <c r="CT1111" t="s">
        <v>216</v>
      </c>
      <c r="CU1111" t="s">
        <v>216</v>
      </c>
      <c r="CV1111" t="s">
        <v>216</v>
      </c>
      <c r="CW1111" t="s">
        <v>216</v>
      </c>
      <c r="CX1111" t="s">
        <v>216</v>
      </c>
      <c r="CY1111" t="s">
        <v>216</v>
      </c>
      <c r="CZ1111" t="s">
        <v>216</v>
      </c>
      <c r="DA1111" t="s">
        <v>168</v>
      </c>
      <c r="DB1111" t="s">
        <v>216</v>
      </c>
      <c r="DC1111" t="s">
        <v>216</v>
      </c>
      <c r="DD1111" t="s">
        <v>216</v>
      </c>
      <c r="DE1111" t="s">
        <v>168</v>
      </c>
      <c r="DF1111" t="s">
        <v>168</v>
      </c>
      <c r="DG1111" t="s">
        <v>216</v>
      </c>
      <c r="DH1111" t="s">
        <v>216</v>
      </c>
      <c r="DI1111" t="s">
        <v>216</v>
      </c>
      <c r="DJ1111" t="s">
        <v>216</v>
      </c>
      <c r="DK1111" t="s">
        <v>168</v>
      </c>
      <c r="DL1111" t="s">
        <v>216</v>
      </c>
      <c r="DM1111" t="s">
        <v>216</v>
      </c>
      <c r="DN1111" t="s">
        <v>216</v>
      </c>
      <c r="DO1111" t="s">
        <v>216</v>
      </c>
      <c r="DP1111" t="s">
        <v>168</v>
      </c>
      <c r="DQ1111" t="s">
        <v>216</v>
      </c>
      <c r="DR1111" t="s">
        <v>168</v>
      </c>
      <c r="DS1111" t="s">
        <v>168</v>
      </c>
      <c r="DT1111" t="s">
        <v>168</v>
      </c>
      <c r="DU1111" t="s">
        <v>168</v>
      </c>
      <c r="DV1111" t="s">
        <v>168</v>
      </c>
      <c r="DW1111" t="s">
        <v>168</v>
      </c>
      <c r="DX1111" t="s">
        <v>168</v>
      </c>
      <c r="DY1111" t="s">
        <v>168</v>
      </c>
      <c r="DZ1111" t="s">
        <v>209</v>
      </c>
      <c r="EA1111" t="s">
        <v>216</v>
      </c>
      <c r="EB1111" t="s">
        <v>168</v>
      </c>
      <c r="EC1111" t="s">
        <v>168</v>
      </c>
      <c r="ED1111" t="s">
        <v>209</v>
      </c>
      <c r="EE1111" t="s">
        <v>168</v>
      </c>
    </row>
    <row r="1112" spans="1:148" x14ac:dyDescent="0.25">
      <c r="A1112" t="s">
        <v>3586</v>
      </c>
      <c r="B1112" t="s">
        <v>148</v>
      </c>
      <c r="C1112" s="1">
        <v>45792</v>
      </c>
      <c r="D1112" t="s">
        <v>242</v>
      </c>
      <c r="E1112" t="s">
        <v>243</v>
      </c>
      <c r="F1112" t="s">
        <v>5349</v>
      </c>
      <c r="G1112" t="s">
        <v>1391</v>
      </c>
      <c r="H1112">
        <v>1129</v>
      </c>
      <c r="I1112" t="s">
        <v>1391</v>
      </c>
      <c r="J1112">
        <v>1080</v>
      </c>
      <c r="K1112" t="s">
        <v>5254</v>
      </c>
      <c r="L1112" t="s">
        <v>431</v>
      </c>
      <c r="M1112" t="s">
        <v>1392</v>
      </c>
      <c r="N1112" t="s">
        <v>1393</v>
      </c>
      <c r="O1112" t="s">
        <v>1394</v>
      </c>
      <c r="R1112">
        <f>1</f>
        <v>1</v>
      </c>
      <c r="S1112">
        <f>14.9</f>
        <v>14.9</v>
      </c>
      <c r="T1112">
        <f>7.9</f>
        <v>7.9</v>
      </c>
      <c r="U1112">
        <f>418</f>
        <v>418</v>
      </c>
      <c r="X1112">
        <f>0</f>
        <v>0</v>
      </c>
      <c r="Y1112" t="s">
        <v>157</v>
      </c>
      <c r="Z1112">
        <f>0</f>
        <v>0</v>
      </c>
      <c r="AA1112" t="s">
        <v>158</v>
      </c>
      <c r="AB1112" t="s">
        <v>158</v>
      </c>
      <c r="AD1112">
        <f>0</f>
        <v>0</v>
      </c>
      <c r="AE1112">
        <f>0</f>
        <v>0</v>
      </c>
      <c r="AH1112" t="s">
        <v>157</v>
      </c>
      <c r="AI1112" t="s">
        <v>238</v>
      </c>
      <c r="AL1112" t="s">
        <v>164</v>
      </c>
      <c r="AM1112" t="s">
        <v>165</v>
      </c>
      <c r="AN1112">
        <f>4.4</f>
        <v>4.4000000000000004</v>
      </c>
      <c r="AO1112">
        <f>0.09</f>
        <v>0.09</v>
      </c>
      <c r="AP1112">
        <f>12</f>
        <v>12</v>
      </c>
      <c r="AQ1112">
        <f>1.4</f>
        <v>1.4</v>
      </c>
      <c r="AR1112" t="s">
        <v>157</v>
      </c>
      <c r="AS1112" t="s">
        <v>3498</v>
      </c>
      <c r="AY1112" t="s">
        <v>167</v>
      </c>
      <c r="AZ1112" t="s">
        <v>158</v>
      </c>
      <c r="BA1112" t="s">
        <v>216</v>
      </c>
      <c r="BB1112" t="s">
        <v>158</v>
      </c>
      <c r="BC1112" t="s">
        <v>166</v>
      </c>
      <c r="BD1112" t="s">
        <v>167</v>
      </c>
      <c r="BE1112" t="s">
        <v>266</v>
      </c>
      <c r="BF1112" t="s">
        <v>168</v>
      </c>
      <c r="BG1112" t="s">
        <v>167</v>
      </c>
      <c r="BH1112" t="s">
        <v>167</v>
      </c>
      <c r="BK1112">
        <f>0.17</f>
        <v>0.17</v>
      </c>
    </row>
    <row r="1113" spans="1:148" x14ac:dyDescent="0.25">
      <c r="A1113" t="s">
        <v>3587</v>
      </c>
      <c r="B1113" t="s">
        <v>148</v>
      </c>
      <c r="C1113" s="1">
        <v>45817</v>
      </c>
      <c r="D1113" t="s">
        <v>242</v>
      </c>
      <c r="E1113" t="s">
        <v>295</v>
      </c>
      <c r="F1113" t="s">
        <v>6577</v>
      </c>
      <c r="G1113" t="s">
        <v>6578</v>
      </c>
      <c r="H1113">
        <v>1130</v>
      </c>
      <c r="I1113" t="s">
        <v>6578</v>
      </c>
      <c r="J1113">
        <v>2600</v>
      </c>
      <c r="K1113" t="s">
        <v>5254</v>
      </c>
      <c r="L1113" t="s">
        <v>4724</v>
      </c>
      <c r="M1113" t="s">
        <v>4729</v>
      </c>
      <c r="N1113" t="s">
        <v>5864</v>
      </c>
      <c r="O1113" t="s">
        <v>879</v>
      </c>
      <c r="R1113">
        <f>1</f>
        <v>1</v>
      </c>
      <c r="S1113">
        <f>19.8</f>
        <v>19.8</v>
      </c>
      <c r="T1113">
        <f>7.5</f>
        <v>7.5</v>
      </c>
      <c r="U1113">
        <f>457</f>
        <v>457</v>
      </c>
      <c r="X1113">
        <f>0</f>
        <v>0</v>
      </c>
      <c r="Y1113" t="s">
        <v>157</v>
      </c>
      <c r="Z1113">
        <f>0</f>
        <v>0</v>
      </c>
      <c r="AA1113" t="s">
        <v>158</v>
      </c>
      <c r="AB1113" t="s">
        <v>158</v>
      </c>
      <c r="AD1113">
        <f>0</f>
        <v>0</v>
      </c>
      <c r="AE1113">
        <f>0</f>
        <v>0</v>
      </c>
      <c r="AH1113" t="s">
        <v>157</v>
      </c>
      <c r="AI1113" t="s">
        <v>238</v>
      </c>
      <c r="AL1113" t="s">
        <v>164</v>
      </c>
      <c r="AM1113" t="s">
        <v>165</v>
      </c>
      <c r="AN1113">
        <f>4.9</f>
        <v>4.9000000000000004</v>
      </c>
      <c r="AO1113">
        <f>0.1</f>
        <v>0.1</v>
      </c>
      <c r="AP1113">
        <f>6.7</f>
        <v>6.7</v>
      </c>
      <c r="AQ1113">
        <f>2</f>
        <v>2</v>
      </c>
      <c r="AR1113" t="s">
        <v>157</v>
      </c>
      <c r="AS1113">
        <f>0.97</f>
        <v>0.97</v>
      </c>
      <c r="AY1113" t="s">
        <v>167</v>
      </c>
      <c r="AZ1113" t="s">
        <v>158</v>
      </c>
      <c r="BA1113" t="s">
        <v>216</v>
      </c>
      <c r="BB1113" t="s">
        <v>158</v>
      </c>
      <c r="BC1113" t="s">
        <v>166</v>
      </c>
      <c r="BD1113" t="s">
        <v>167</v>
      </c>
      <c r="BE1113">
        <f>0.0048</f>
        <v>4.7999999999999996E-3</v>
      </c>
      <c r="BF1113" t="s">
        <v>168</v>
      </c>
      <c r="BG1113" t="s">
        <v>167</v>
      </c>
      <c r="BH1113" t="s">
        <v>167</v>
      </c>
      <c r="BK1113">
        <f>0.27</f>
        <v>0.27</v>
      </c>
      <c r="EL1113">
        <f>0.39</f>
        <v>0.39</v>
      </c>
      <c r="EM1113" t="s">
        <v>166</v>
      </c>
      <c r="EN1113">
        <f>0.35</f>
        <v>0.35</v>
      </c>
      <c r="EO1113" t="s">
        <v>166</v>
      </c>
      <c r="ER1113">
        <f>0.74</f>
        <v>0.74</v>
      </c>
    </row>
    <row r="1114" spans="1:148" x14ac:dyDescent="0.25">
      <c r="A1114" t="s">
        <v>3588</v>
      </c>
      <c r="B1114" t="s">
        <v>148</v>
      </c>
      <c r="C1114" s="1">
        <v>45729</v>
      </c>
      <c r="D1114" t="s">
        <v>242</v>
      </c>
      <c r="E1114" t="s">
        <v>243</v>
      </c>
      <c r="F1114" t="s">
        <v>5349</v>
      </c>
      <c r="G1114" t="s">
        <v>881</v>
      </c>
      <c r="H1114">
        <v>1132</v>
      </c>
      <c r="I1114" t="s">
        <v>881</v>
      </c>
      <c r="J1114">
        <v>1430</v>
      </c>
      <c r="K1114" t="s">
        <v>5254</v>
      </c>
      <c r="L1114" t="s">
        <v>431</v>
      </c>
      <c r="M1114" t="s">
        <v>5865</v>
      </c>
      <c r="N1114" t="s">
        <v>5866</v>
      </c>
      <c r="O1114" t="s">
        <v>882</v>
      </c>
      <c r="R1114">
        <f>1</f>
        <v>1</v>
      </c>
      <c r="S1114">
        <f>8.4</f>
        <v>8.4</v>
      </c>
      <c r="T1114">
        <f>7.8</f>
        <v>7.8</v>
      </c>
      <c r="U1114">
        <f>437</f>
        <v>437</v>
      </c>
      <c r="X1114">
        <f>0</f>
        <v>0</v>
      </c>
      <c r="Y1114">
        <f>0.15</f>
        <v>0.15</v>
      </c>
      <c r="Z1114">
        <f>0</f>
        <v>0</v>
      </c>
      <c r="AA1114" t="s">
        <v>158</v>
      </c>
      <c r="AB1114" t="s">
        <v>158</v>
      </c>
      <c r="AD1114">
        <f>0</f>
        <v>0</v>
      </c>
      <c r="AE1114">
        <f>0</f>
        <v>0</v>
      </c>
      <c r="AH1114" t="s">
        <v>157</v>
      </c>
    </row>
    <row r="1115" spans="1:148" x14ac:dyDescent="0.25">
      <c r="A1115" t="s">
        <v>3589</v>
      </c>
      <c r="B1115" t="s">
        <v>148</v>
      </c>
      <c r="C1115" s="1">
        <v>45832</v>
      </c>
      <c r="D1115" t="s">
        <v>242</v>
      </c>
      <c r="E1115" t="s">
        <v>243</v>
      </c>
      <c r="F1115" t="s">
        <v>884</v>
      </c>
      <c r="G1115" t="s">
        <v>6579</v>
      </c>
      <c r="H1115">
        <v>1808</v>
      </c>
      <c r="I1115" t="s">
        <v>885</v>
      </c>
      <c r="J1115">
        <v>6688</v>
      </c>
      <c r="K1115" t="s">
        <v>5254</v>
      </c>
      <c r="L1115" t="s">
        <v>387</v>
      </c>
      <c r="M1115" t="s">
        <v>3590</v>
      </c>
      <c r="N1115" t="s">
        <v>6207</v>
      </c>
      <c r="O1115" t="s">
        <v>3591</v>
      </c>
      <c r="R1115">
        <f>1</f>
        <v>1</v>
      </c>
      <c r="S1115">
        <f>17.2</f>
        <v>17.2</v>
      </c>
      <c r="T1115">
        <f>7.7</f>
        <v>7.7</v>
      </c>
      <c r="U1115">
        <f>304</f>
        <v>304</v>
      </c>
      <c r="V1115">
        <f>0.29</f>
        <v>0.28999999999999998</v>
      </c>
      <c r="X1115">
        <f>1</f>
        <v>1</v>
      </c>
      <c r="Y1115" t="s">
        <v>157</v>
      </c>
      <c r="Z1115">
        <f>0</f>
        <v>0</v>
      </c>
      <c r="AA1115" t="s">
        <v>158</v>
      </c>
      <c r="AB1115" t="s">
        <v>158</v>
      </c>
      <c r="AD1115">
        <f>0</f>
        <v>0</v>
      </c>
      <c r="AE1115">
        <f>0</f>
        <v>0</v>
      </c>
      <c r="AH1115" t="s">
        <v>157</v>
      </c>
      <c r="AI1115" t="s">
        <v>238</v>
      </c>
      <c r="AL1115" t="s">
        <v>164</v>
      </c>
      <c r="AM1115" t="s">
        <v>165</v>
      </c>
      <c r="AN1115">
        <f>5.3</f>
        <v>5.3</v>
      </c>
      <c r="AO1115">
        <f>0.11</f>
        <v>0.11</v>
      </c>
      <c r="AP1115">
        <f>3.6</f>
        <v>3.6</v>
      </c>
      <c r="AQ1115">
        <f>1.1</f>
        <v>1.1000000000000001</v>
      </c>
      <c r="AR1115" t="s">
        <v>157</v>
      </c>
      <c r="AS1115">
        <f>0.62</f>
        <v>0.62</v>
      </c>
      <c r="AY1115" t="s">
        <v>167</v>
      </c>
      <c r="AZ1115" t="s">
        <v>158</v>
      </c>
      <c r="BA1115" t="s">
        <v>216</v>
      </c>
      <c r="BB1115" t="s">
        <v>158</v>
      </c>
      <c r="BC1115" t="s">
        <v>166</v>
      </c>
      <c r="BD1115" t="s">
        <v>167</v>
      </c>
      <c r="BE1115">
        <f>0.0037</f>
        <v>3.7000000000000002E-3</v>
      </c>
      <c r="BF1115">
        <f>0.069</f>
        <v>6.9000000000000006E-2</v>
      </c>
      <c r="BG1115" t="s">
        <v>167</v>
      </c>
      <c r="BH1115">
        <f>1</f>
        <v>1</v>
      </c>
      <c r="BK1115">
        <f>0.067</f>
        <v>6.7000000000000004E-2</v>
      </c>
      <c r="EL1115">
        <f>0.3</f>
        <v>0.3</v>
      </c>
      <c r="EM1115" t="s">
        <v>166</v>
      </c>
      <c r="EN1115">
        <f>0.39</f>
        <v>0.39</v>
      </c>
      <c r="EO1115">
        <f>0.28</f>
        <v>0.28000000000000003</v>
      </c>
      <c r="ER1115">
        <f>0.97</f>
        <v>0.97</v>
      </c>
    </row>
    <row r="1116" spans="1:148" x14ac:dyDescent="0.25">
      <c r="A1116" t="s">
        <v>3592</v>
      </c>
      <c r="B1116" t="s">
        <v>148</v>
      </c>
      <c r="C1116" s="1">
        <v>45841</v>
      </c>
      <c r="D1116" t="s">
        <v>242</v>
      </c>
      <c r="E1116" t="s">
        <v>243</v>
      </c>
      <c r="F1116" t="s">
        <v>884</v>
      </c>
      <c r="G1116" t="s">
        <v>6579</v>
      </c>
      <c r="H1116">
        <v>1808</v>
      </c>
      <c r="I1116" t="s">
        <v>885</v>
      </c>
      <c r="J1116">
        <v>6688</v>
      </c>
      <c r="K1116" t="s">
        <v>5254</v>
      </c>
      <c r="L1116" t="s">
        <v>387</v>
      </c>
      <c r="M1116" t="s">
        <v>4730</v>
      </c>
      <c r="N1116" t="s">
        <v>4731</v>
      </c>
      <c r="O1116" t="s">
        <v>886</v>
      </c>
      <c r="R1116">
        <f>1</f>
        <v>1</v>
      </c>
      <c r="S1116">
        <f>15.9</f>
        <v>15.9</v>
      </c>
      <c r="T1116">
        <f>7.3</f>
        <v>7.3</v>
      </c>
      <c r="U1116">
        <f>277</f>
        <v>277</v>
      </c>
      <c r="X1116">
        <f>0</f>
        <v>0</v>
      </c>
      <c r="Y1116">
        <f>0.69</f>
        <v>0.69</v>
      </c>
      <c r="Z1116">
        <f>0</f>
        <v>0</v>
      </c>
      <c r="AA1116" t="s">
        <v>158</v>
      </c>
      <c r="AB1116" t="s">
        <v>158</v>
      </c>
      <c r="AD1116">
        <f>0</f>
        <v>0</v>
      </c>
      <c r="AE1116">
        <f>0</f>
        <v>0</v>
      </c>
      <c r="AH1116" t="s">
        <v>157</v>
      </c>
      <c r="BL1116" t="s">
        <v>168</v>
      </c>
      <c r="BM1116" t="s">
        <v>168</v>
      </c>
      <c r="BN1116" t="s">
        <v>168</v>
      </c>
      <c r="BO1116" t="s">
        <v>168</v>
      </c>
      <c r="BP1116" t="s">
        <v>168</v>
      </c>
      <c r="BQ1116" t="s">
        <v>168</v>
      </c>
      <c r="BR1116" t="s">
        <v>168</v>
      </c>
      <c r="BS1116" t="s">
        <v>168</v>
      </c>
      <c r="BT1116" t="s">
        <v>216</v>
      </c>
      <c r="BU1116" t="s">
        <v>168</v>
      </c>
      <c r="BV1116" t="s">
        <v>209</v>
      </c>
      <c r="BW1116" t="s">
        <v>209</v>
      </c>
      <c r="BX1116" t="s">
        <v>209</v>
      </c>
      <c r="BY1116" t="s">
        <v>209</v>
      </c>
      <c r="BZ1116" t="s">
        <v>216</v>
      </c>
      <c r="CA1116" t="s">
        <v>216</v>
      </c>
      <c r="CB1116" t="s">
        <v>168</v>
      </c>
      <c r="CC1116" t="s">
        <v>168</v>
      </c>
      <c r="CD1116" t="s">
        <v>216</v>
      </c>
      <c r="CE1116" t="s">
        <v>209</v>
      </c>
      <c r="CF1116" t="s">
        <v>168</v>
      </c>
      <c r="CG1116" t="s">
        <v>168</v>
      </c>
      <c r="CH1116" t="s">
        <v>165</v>
      </c>
      <c r="CI1116" t="s">
        <v>216</v>
      </c>
      <c r="CJ1116" t="s">
        <v>216</v>
      </c>
      <c r="CK1116" t="s">
        <v>216</v>
      </c>
      <c r="CL1116" t="s">
        <v>216</v>
      </c>
      <c r="CM1116" t="s">
        <v>216</v>
      </c>
      <c r="CN1116" t="s">
        <v>216</v>
      </c>
      <c r="CO1116" t="s">
        <v>216</v>
      </c>
      <c r="CP1116" t="s">
        <v>216</v>
      </c>
      <c r="CQ1116" t="s">
        <v>216</v>
      </c>
      <c r="CR1116" t="s">
        <v>216</v>
      </c>
      <c r="CS1116" t="s">
        <v>216</v>
      </c>
      <c r="CT1116" t="s">
        <v>216</v>
      </c>
      <c r="CU1116" t="s">
        <v>216</v>
      </c>
      <c r="CV1116" t="s">
        <v>216</v>
      </c>
      <c r="CW1116" t="s">
        <v>216</v>
      </c>
      <c r="CX1116" t="s">
        <v>216</v>
      </c>
      <c r="CY1116" t="s">
        <v>216</v>
      </c>
      <c r="CZ1116" t="s">
        <v>216</v>
      </c>
      <c r="DA1116" t="s">
        <v>168</v>
      </c>
      <c r="DB1116" t="s">
        <v>216</v>
      </c>
      <c r="DC1116" t="s">
        <v>216</v>
      </c>
      <c r="DD1116" t="s">
        <v>216</v>
      </c>
      <c r="DE1116" t="s">
        <v>168</v>
      </c>
      <c r="DF1116" t="s">
        <v>168</v>
      </c>
      <c r="DG1116" t="s">
        <v>216</v>
      </c>
      <c r="DH1116" t="s">
        <v>216</v>
      </c>
      <c r="DI1116" t="s">
        <v>216</v>
      </c>
      <c r="DJ1116" t="s">
        <v>216</v>
      </c>
      <c r="DK1116" t="s">
        <v>168</v>
      </c>
      <c r="DL1116" t="s">
        <v>216</v>
      </c>
      <c r="DM1116" t="s">
        <v>216</v>
      </c>
      <c r="DN1116" t="s">
        <v>216</v>
      </c>
      <c r="DO1116" t="s">
        <v>216</v>
      </c>
      <c r="DP1116" t="s">
        <v>168</v>
      </c>
      <c r="DQ1116" t="s">
        <v>216</v>
      </c>
      <c r="DR1116" t="s">
        <v>168</v>
      </c>
      <c r="DS1116" t="s">
        <v>168</v>
      </c>
      <c r="DT1116" t="s">
        <v>168</v>
      </c>
      <c r="DU1116" t="s">
        <v>168</v>
      </c>
      <c r="DV1116" t="s">
        <v>168</v>
      </c>
      <c r="DW1116" t="s">
        <v>168</v>
      </c>
      <c r="DX1116" t="s">
        <v>168</v>
      </c>
      <c r="DY1116" t="s">
        <v>168</v>
      </c>
      <c r="DZ1116" t="s">
        <v>209</v>
      </c>
      <c r="EA1116" t="s">
        <v>216</v>
      </c>
      <c r="EB1116" t="s">
        <v>168</v>
      </c>
      <c r="EC1116" t="s">
        <v>168</v>
      </c>
      <c r="ED1116" t="s">
        <v>209</v>
      </c>
      <c r="EE1116" t="s">
        <v>168</v>
      </c>
    </row>
    <row r="1117" spans="1:148" x14ac:dyDescent="0.25">
      <c r="A1117" t="s">
        <v>3593</v>
      </c>
      <c r="B1117" t="s">
        <v>148</v>
      </c>
      <c r="C1117" s="1">
        <v>45860</v>
      </c>
      <c r="D1117" t="s">
        <v>242</v>
      </c>
      <c r="E1117" t="s">
        <v>295</v>
      </c>
      <c r="F1117" t="s">
        <v>764</v>
      </c>
      <c r="G1117" t="s">
        <v>888</v>
      </c>
      <c r="H1117">
        <v>1144</v>
      </c>
      <c r="I1117" t="s">
        <v>888</v>
      </c>
      <c r="J1117">
        <v>5410</v>
      </c>
      <c r="K1117" t="s">
        <v>5254</v>
      </c>
      <c r="L1117" t="s">
        <v>439</v>
      </c>
      <c r="M1117" t="s">
        <v>889</v>
      </c>
      <c r="N1117" t="s">
        <v>890</v>
      </c>
      <c r="O1117" t="s">
        <v>891</v>
      </c>
      <c r="R1117">
        <f>1</f>
        <v>1</v>
      </c>
      <c r="S1117">
        <f>19.9</f>
        <v>19.899999999999999</v>
      </c>
      <c r="T1117">
        <f>7.9</f>
        <v>7.9</v>
      </c>
      <c r="U1117">
        <f>417</f>
        <v>417</v>
      </c>
      <c r="X1117">
        <f>0</f>
        <v>0</v>
      </c>
      <c r="Y1117" t="s">
        <v>157</v>
      </c>
      <c r="Z1117">
        <f>0</f>
        <v>0</v>
      </c>
      <c r="AA1117" t="s">
        <v>158</v>
      </c>
      <c r="AB1117" t="s">
        <v>158</v>
      </c>
      <c r="AD1117">
        <f>0</f>
        <v>0</v>
      </c>
      <c r="AE1117">
        <f>0</f>
        <v>0</v>
      </c>
      <c r="AH1117" t="s">
        <v>157</v>
      </c>
    </row>
    <row r="1118" spans="1:148" x14ac:dyDescent="0.25">
      <c r="A1118" t="s">
        <v>3594</v>
      </c>
      <c r="B1118" t="s">
        <v>148</v>
      </c>
      <c r="C1118" s="1">
        <v>45817</v>
      </c>
      <c r="D1118" t="s">
        <v>242</v>
      </c>
      <c r="E1118" t="s">
        <v>295</v>
      </c>
      <c r="F1118" t="s">
        <v>764</v>
      </c>
      <c r="G1118" t="s">
        <v>888</v>
      </c>
      <c r="H1118">
        <v>1144</v>
      </c>
      <c r="I1118" t="s">
        <v>888</v>
      </c>
      <c r="J1118">
        <v>5410</v>
      </c>
      <c r="K1118" t="s">
        <v>5254</v>
      </c>
      <c r="L1118" t="s">
        <v>439</v>
      </c>
      <c r="M1118" t="s">
        <v>5354</v>
      </c>
      <c r="N1118" t="s">
        <v>893</v>
      </c>
      <c r="O1118" t="s">
        <v>894</v>
      </c>
      <c r="Q1118" t="s">
        <v>6454</v>
      </c>
      <c r="R1118">
        <f>1</f>
        <v>1</v>
      </c>
      <c r="S1118">
        <f>18.6</f>
        <v>18.600000000000001</v>
      </c>
      <c r="T1118">
        <f>7.7</f>
        <v>7.7</v>
      </c>
      <c r="U1118">
        <f>512</f>
        <v>512</v>
      </c>
      <c r="X1118">
        <f>0</f>
        <v>0</v>
      </c>
      <c r="Y1118" t="s">
        <v>157</v>
      </c>
      <c r="Z1118">
        <f>0</f>
        <v>0</v>
      </c>
      <c r="AA1118" t="s">
        <v>158</v>
      </c>
      <c r="AB1118">
        <f>34</f>
        <v>34</v>
      </c>
      <c r="AD1118">
        <f>0</f>
        <v>0</v>
      </c>
      <c r="AE1118">
        <f>0</f>
        <v>0</v>
      </c>
      <c r="AH1118" t="s">
        <v>157</v>
      </c>
      <c r="AI1118" t="s">
        <v>238</v>
      </c>
      <c r="AL1118" t="s">
        <v>164</v>
      </c>
      <c r="AM1118" t="s">
        <v>165</v>
      </c>
      <c r="AN1118">
        <f>7.1</f>
        <v>7.1</v>
      </c>
      <c r="AO1118">
        <f>0.14</f>
        <v>0.14000000000000001</v>
      </c>
      <c r="AP1118">
        <f>23</f>
        <v>23</v>
      </c>
      <c r="AQ1118">
        <f>13</f>
        <v>13</v>
      </c>
      <c r="AR1118" t="s">
        <v>157</v>
      </c>
      <c r="AS1118">
        <f>16</f>
        <v>16</v>
      </c>
      <c r="AY1118" t="s">
        <v>167</v>
      </c>
      <c r="AZ1118" t="s">
        <v>158</v>
      </c>
      <c r="BA1118">
        <f>0.042</f>
        <v>4.2000000000000003E-2</v>
      </c>
      <c r="BB1118" t="s">
        <v>158</v>
      </c>
      <c r="BC1118" t="s">
        <v>166</v>
      </c>
      <c r="BD1118" t="s">
        <v>167</v>
      </c>
      <c r="BE1118">
        <f>0.0067</f>
        <v>6.7000000000000002E-3</v>
      </c>
      <c r="BF1118" t="s">
        <v>168</v>
      </c>
      <c r="BG1118" t="s">
        <v>167</v>
      </c>
      <c r="BH1118" t="s">
        <v>167</v>
      </c>
      <c r="BK1118">
        <f>0.71</f>
        <v>0.71</v>
      </c>
      <c r="EL1118">
        <f>0.26</f>
        <v>0.26</v>
      </c>
      <c r="EM1118" t="s">
        <v>166</v>
      </c>
      <c r="EN1118">
        <f>0.31</f>
        <v>0.31</v>
      </c>
      <c r="EO1118">
        <f>0.29</f>
        <v>0.28999999999999998</v>
      </c>
      <c r="ER1118">
        <f>0.86</f>
        <v>0.86</v>
      </c>
    </row>
    <row r="1119" spans="1:148" x14ac:dyDescent="0.25">
      <c r="A1119" t="s">
        <v>3595</v>
      </c>
      <c r="B1119" t="s">
        <v>148</v>
      </c>
      <c r="C1119" s="1">
        <v>45824</v>
      </c>
      <c r="D1119" t="s">
        <v>242</v>
      </c>
      <c r="E1119" t="s">
        <v>243</v>
      </c>
      <c r="F1119" t="s">
        <v>5098</v>
      </c>
      <c r="G1119" t="s">
        <v>5867</v>
      </c>
      <c r="H1119">
        <v>1145</v>
      </c>
      <c r="I1119" t="s">
        <v>5867</v>
      </c>
      <c r="J1119">
        <v>4356</v>
      </c>
      <c r="K1119" t="s">
        <v>5254</v>
      </c>
      <c r="L1119" t="s">
        <v>387</v>
      </c>
      <c r="M1119" t="s">
        <v>5868</v>
      </c>
      <c r="N1119" t="s">
        <v>5869</v>
      </c>
      <c r="O1119" t="s">
        <v>896</v>
      </c>
      <c r="R1119">
        <f>1</f>
        <v>1</v>
      </c>
      <c r="S1119">
        <f>19.5</f>
        <v>19.5</v>
      </c>
      <c r="T1119">
        <f>7.5</f>
        <v>7.5</v>
      </c>
      <c r="U1119">
        <f>357</f>
        <v>357</v>
      </c>
      <c r="X1119">
        <f>1</f>
        <v>1</v>
      </c>
      <c r="Y1119" t="s">
        <v>157</v>
      </c>
      <c r="Z1119">
        <f>0</f>
        <v>0</v>
      </c>
      <c r="AA1119" t="s">
        <v>158</v>
      </c>
      <c r="AB1119" t="s">
        <v>158</v>
      </c>
      <c r="AD1119">
        <f>0</f>
        <v>0</v>
      </c>
      <c r="AE1119">
        <f>0</f>
        <v>0</v>
      </c>
      <c r="AH1119" t="s">
        <v>157</v>
      </c>
      <c r="AI1119" t="s">
        <v>238</v>
      </c>
      <c r="AL1119" t="s">
        <v>164</v>
      </c>
      <c r="AM1119" t="s">
        <v>165</v>
      </c>
      <c r="AN1119">
        <f>9.7</f>
        <v>9.6999999999999993</v>
      </c>
      <c r="AO1119">
        <f>0.19</f>
        <v>0.19</v>
      </c>
      <c r="AP1119">
        <f>13</f>
        <v>13</v>
      </c>
      <c r="AQ1119">
        <f>4.4</f>
        <v>4.4000000000000004</v>
      </c>
      <c r="AR1119" t="s">
        <v>157</v>
      </c>
      <c r="AS1119">
        <f>3.5</f>
        <v>3.5</v>
      </c>
      <c r="AY1119" t="s">
        <v>167</v>
      </c>
      <c r="AZ1119" t="s">
        <v>158</v>
      </c>
      <c r="BA1119" t="s">
        <v>216</v>
      </c>
      <c r="BB1119" t="s">
        <v>158</v>
      </c>
      <c r="BC1119" t="s">
        <v>166</v>
      </c>
      <c r="BD1119" t="s">
        <v>167</v>
      </c>
      <c r="BE1119">
        <f>0.0036</f>
        <v>3.5999999999999999E-3</v>
      </c>
      <c r="BF1119" t="s">
        <v>168</v>
      </c>
      <c r="BG1119" t="s">
        <v>167</v>
      </c>
      <c r="BH1119" t="s">
        <v>167</v>
      </c>
      <c r="BK1119">
        <f>0.63</f>
        <v>0.63</v>
      </c>
      <c r="BL1119" t="s">
        <v>168</v>
      </c>
      <c r="BM1119" t="s">
        <v>168</v>
      </c>
      <c r="BN1119" t="s">
        <v>168</v>
      </c>
      <c r="BO1119" t="s">
        <v>168</v>
      </c>
      <c r="BP1119" t="s">
        <v>168</v>
      </c>
      <c r="BQ1119" t="s">
        <v>168</v>
      </c>
      <c r="BR1119" t="s">
        <v>168</v>
      </c>
      <c r="BS1119" t="s">
        <v>168</v>
      </c>
      <c r="BT1119" t="s">
        <v>216</v>
      </c>
      <c r="BU1119" t="s">
        <v>168</v>
      </c>
      <c r="BV1119" t="s">
        <v>209</v>
      </c>
      <c r="BW1119" t="s">
        <v>209</v>
      </c>
      <c r="BX1119" t="s">
        <v>209</v>
      </c>
      <c r="BY1119" t="s">
        <v>209</v>
      </c>
      <c r="BZ1119" t="s">
        <v>216</v>
      </c>
      <c r="CA1119" t="s">
        <v>216</v>
      </c>
      <c r="CB1119" t="s">
        <v>168</v>
      </c>
      <c r="CC1119" t="s">
        <v>168</v>
      </c>
      <c r="CD1119" t="s">
        <v>216</v>
      </c>
      <c r="CE1119" t="s">
        <v>209</v>
      </c>
      <c r="CF1119" t="s">
        <v>168</v>
      </c>
      <c r="CG1119" t="s">
        <v>168</v>
      </c>
      <c r="CH1119" t="s">
        <v>165</v>
      </c>
      <c r="CI1119" t="s">
        <v>216</v>
      </c>
      <c r="CJ1119" t="s">
        <v>216</v>
      </c>
      <c r="CK1119" t="s">
        <v>216</v>
      </c>
      <c r="CL1119" t="s">
        <v>216</v>
      </c>
      <c r="CM1119" t="s">
        <v>216</v>
      </c>
      <c r="CN1119" t="s">
        <v>216</v>
      </c>
      <c r="CO1119" t="s">
        <v>216</v>
      </c>
      <c r="CP1119" t="s">
        <v>216</v>
      </c>
      <c r="CQ1119" t="s">
        <v>216</v>
      </c>
      <c r="CR1119" t="s">
        <v>216</v>
      </c>
      <c r="CS1119" t="s">
        <v>216</v>
      </c>
      <c r="CT1119" t="s">
        <v>216</v>
      </c>
      <c r="CU1119" t="s">
        <v>216</v>
      </c>
      <c r="CV1119" t="s">
        <v>216</v>
      </c>
      <c r="CW1119" t="s">
        <v>216</v>
      </c>
      <c r="CX1119" t="s">
        <v>216</v>
      </c>
      <c r="CY1119" t="s">
        <v>216</v>
      </c>
      <c r="CZ1119" t="s">
        <v>216</v>
      </c>
      <c r="DA1119" t="s">
        <v>168</v>
      </c>
      <c r="DB1119" t="s">
        <v>216</v>
      </c>
      <c r="DC1119" t="s">
        <v>216</v>
      </c>
      <c r="DD1119" t="s">
        <v>216</v>
      </c>
      <c r="DE1119" t="s">
        <v>168</v>
      </c>
      <c r="DF1119" t="s">
        <v>168</v>
      </c>
      <c r="DG1119" t="s">
        <v>216</v>
      </c>
      <c r="DH1119" t="s">
        <v>216</v>
      </c>
      <c r="DI1119" t="s">
        <v>216</v>
      </c>
      <c r="DJ1119" t="s">
        <v>216</v>
      </c>
      <c r="DK1119" t="s">
        <v>168</v>
      </c>
      <c r="DL1119" t="s">
        <v>216</v>
      </c>
      <c r="DM1119" t="s">
        <v>216</v>
      </c>
      <c r="DN1119" t="s">
        <v>216</v>
      </c>
      <c r="DO1119" t="s">
        <v>216</v>
      </c>
      <c r="DP1119" t="s">
        <v>168</v>
      </c>
      <c r="DQ1119" t="s">
        <v>216</v>
      </c>
      <c r="DR1119" t="s">
        <v>168</v>
      </c>
      <c r="DS1119" t="s">
        <v>168</v>
      </c>
      <c r="DT1119" t="s">
        <v>168</v>
      </c>
      <c r="DU1119" t="s">
        <v>168</v>
      </c>
      <c r="DV1119" t="s">
        <v>168</v>
      </c>
      <c r="DW1119" t="s">
        <v>168</v>
      </c>
      <c r="DX1119" t="s">
        <v>168</v>
      </c>
      <c r="DY1119" t="s">
        <v>168</v>
      </c>
      <c r="DZ1119" t="s">
        <v>209</v>
      </c>
      <c r="EA1119" t="s">
        <v>216</v>
      </c>
      <c r="EB1119" t="s">
        <v>168</v>
      </c>
      <c r="EC1119" t="s">
        <v>168</v>
      </c>
      <c r="ED1119" t="s">
        <v>209</v>
      </c>
      <c r="EE1119" t="s">
        <v>168</v>
      </c>
      <c r="EL1119">
        <f>0.86</f>
        <v>0.86</v>
      </c>
      <c r="EM1119" t="s">
        <v>166</v>
      </c>
      <c r="EN1119">
        <f>0.75</f>
        <v>0.75</v>
      </c>
      <c r="EO1119">
        <f>0.59</f>
        <v>0.59</v>
      </c>
      <c r="ER1119">
        <f>2.2</f>
        <v>2.2000000000000002</v>
      </c>
    </row>
    <row r="1120" spans="1:148" x14ac:dyDescent="0.25">
      <c r="A1120" t="s">
        <v>3596</v>
      </c>
      <c r="B1120" t="s">
        <v>148</v>
      </c>
      <c r="C1120" s="1">
        <v>45824</v>
      </c>
      <c r="D1120" t="s">
        <v>242</v>
      </c>
      <c r="E1120" t="s">
        <v>243</v>
      </c>
      <c r="F1120" t="s">
        <v>5098</v>
      </c>
      <c r="G1120" t="s">
        <v>898</v>
      </c>
      <c r="H1120">
        <v>1148</v>
      </c>
      <c r="I1120" t="s">
        <v>898</v>
      </c>
      <c r="J1120">
        <v>4086</v>
      </c>
      <c r="K1120" t="s">
        <v>5254</v>
      </c>
      <c r="L1120" t="s">
        <v>387</v>
      </c>
      <c r="M1120" t="s">
        <v>899</v>
      </c>
      <c r="N1120" t="s">
        <v>900</v>
      </c>
      <c r="O1120" t="s">
        <v>901</v>
      </c>
      <c r="R1120">
        <f>1</f>
        <v>1</v>
      </c>
      <c r="S1120">
        <f>16.7</f>
        <v>16.7</v>
      </c>
      <c r="T1120">
        <f>7.8</f>
        <v>7.8</v>
      </c>
      <c r="U1120">
        <f>288</f>
        <v>288</v>
      </c>
      <c r="X1120">
        <f>1</f>
        <v>1</v>
      </c>
      <c r="Y1120">
        <f>0.11</f>
        <v>0.11</v>
      </c>
      <c r="Z1120">
        <f>0</f>
        <v>0</v>
      </c>
      <c r="AA1120" t="s">
        <v>158</v>
      </c>
      <c r="AB1120" t="s">
        <v>158</v>
      </c>
      <c r="AD1120">
        <f>0</f>
        <v>0</v>
      </c>
      <c r="AE1120">
        <f>0</f>
        <v>0</v>
      </c>
      <c r="AH1120" t="s">
        <v>157</v>
      </c>
      <c r="AI1120" t="s">
        <v>238</v>
      </c>
      <c r="AL1120" t="s">
        <v>164</v>
      </c>
      <c r="AM1120" t="s">
        <v>165</v>
      </c>
      <c r="AN1120">
        <f>6.6</f>
        <v>6.6</v>
      </c>
      <c r="AO1120">
        <f>0.13</f>
        <v>0.13</v>
      </c>
      <c r="AP1120">
        <f>6.8</f>
        <v>6.8</v>
      </c>
      <c r="AQ1120">
        <f>1.6</f>
        <v>1.6</v>
      </c>
      <c r="AR1120" t="s">
        <v>157</v>
      </c>
      <c r="AS1120">
        <f>0.67</f>
        <v>0.67</v>
      </c>
      <c r="AY1120" t="s">
        <v>167</v>
      </c>
      <c r="AZ1120">
        <f>11</f>
        <v>11</v>
      </c>
      <c r="BA1120" t="s">
        <v>216</v>
      </c>
      <c r="BB1120" t="s">
        <v>158</v>
      </c>
      <c r="BC1120" t="s">
        <v>166</v>
      </c>
      <c r="BD1120" t="s">
        <v>167</v>
      </c>
      <c r="BE1120">
        <f>0.0064</f>
        <v>6.4000000000000003E-3</v>
      </c>
      <c r="BF1120" t="s">
        <v>168</v>
      </c>
      <c r="BG1120" t="s">
        <v>167</v>
      </c>
      <c r="BH1120">
        <f>1.4</f>
        <v>1.4</v>
      </c>
      <c r="BK1120">
        <f>0.17</f>
        <v>0.17</v>
      </c>
      <c r="BL1120" t="s">
        <v>168</v>
      </c>
      <c r="BM1120" t="s">
        <v>168</v>
      </c>
      <c r="BN1120" t="s">
        <v>168</v>
      </c>
      <c r="BO1120" t="s">
        <v>168</v>
      </c>
      <c r="BP1120" t="s">
        <v>168</v>
      </c>
      <c r="BQ1120" t="s">
        <v>168</v>
      </c>
      <c r="BR1120" t="s">
        <v>168</v>
      </c>
      <c r="BS1120" t="s">
        <v>168</v>
      </c>
      <c r="BT1120" t="s">
        <v>216</v>
      </c>
      <c r="BU1120" t="s">
        <v>168</v>
      </c>
      <c r="BV1120" t="s">
        <v>209</v>
      </c>
      <c r="BW1120" t="s">
        <v>209</v>
      </c>
      <c r="BX1120" t="s">
        <v>209</v>
      </c>
      <c r="BY1120" t="s">
        <v>209</v>
      </c>
      <c r="BZ1120" t="s">
        <v>216</v>
      </c>
      <c r="CA1120" t="s">
        <v>216</v>
      </c>
      <c r="CB1120" t="s">
        <v>168</v>
      </c>
      <c r="CC1120" t="s">
        <v>168</v>
      </c>
      <c r="CD1120" t="s">
        <v>216</v>
      </c>
      <c r="CE1120" t="s">
        <v>209</v>
      </c>
      <c r="CF1120" t="s">
        <v>168</v>
      </c>
      <c r="CG1120" t="s">
        <v>168</v>
      </c>
      <c r="CH1120" t="s">
        <v>165</v>
      </c>
      <c r="CI1120" t="s">
        <v>216</v>
      </c>
      <c r="CJ1120" t="s">
        <v>216</v>
      </c>
      <c r="CK1120" t="s">
        <v>216</v>
      </c>
      <c r="CL1120" t="s">
        <v>216</v>
      </c>
      <c r="CM1120" t="s">
        <v>216</v>
      </c>
      <c r="CN1120" t="s">
        <v>216</v>
      </c>
      <c r="CO1120" t="s">
        <v>216</v>
      </c>
      <c r="CP1120" t="s">
        <v>216</v>
      </c>
      <c r="CQ1120" t="s">
        <v>216</v>
      </c>
      <c r="CR1120" t="s">
        <v>216</v>
      </c>
      <c r="CS1120" t="s">
        <v>216</v>
      </c>
      <c r="CT1120" t="s">
        <v>216</v>
      </c>
      <c r="CU1120" t="s">
        <v>216</v>
      </c>
      <c r="CV1120" t="s">
        <v>216</v>
      </c>
      <c r="CW1120" t="s">
        <v>216</v>
      </c>
      <c r="CX1120" t="s">
        <v>216</v>
      </c>
      <c r="CY1120" t="s">
        <v>216</v>
      </c>
      <c r="CZ1120" t="s">
        <v>216</v>
      </c>
      <c r="DA1120" t="s">
        <v>168</v>
      </c>
      <c r="DB1120" t="s">
        <v>216</v>
      </c>
      <c r="DC1120" t="s">
        <v>216</v>
      </c>
      <c r="DD1120" t="s">
        <v>216</v>
      </c>
      <c r="DE1120" t="s">
        <v>168</v>
      </c>
      <c r="DF1120" t="s">
        <v>168</v>
      </c>
      <c r="DG1120" t="s">
        <v>216</v>
      </c>
      <c r="DH1120" t="s">
        <v>216</v>
      </c>
      <c r="DI1120" t="s">
        <v>216</v>
      </c>
      <c r="DJ1120" t="s">
        <v>216</v>
      </c>
      <c r="DK1120" t="s">
        <v>168</v>
      </c>
      <c r="DL1120" t="s">
        <v>216</v>
      </c>
      <c r="DM1120" t="s">
        <v>216</v>
      </c>
      <c r="DN1120" t="s">
        <v>216</v>
      </c>
      <c r="DO1120" t="s">
        <v>216</v>
      </c>
      <c r="DP1120" t="s">
        <v>168</v>
      </c>
      <c r="DQ1120" t="s">
        <v>216</v>
      </c>
      <c r="DR1120" t="s">
        <v>168</v>
      </c>
      <c r="DS1120" t="s">
        <v>168</v>
      </c>
      <c r="DT1120" t="s">
        <v>168</v>
      </c>
      <c r="DU1120" t="s">
        <v>168</v>
      </c>
      <c r="DV1120" t="s">
        <v>168</v>
      </c>
      <c r="DW1120" t="s">
        <v>168</v>
      </c>
      <c r="DX1120" t="s">
        <v>168</v>
      </c>
      <c r="DY1120" t="s">
        <v>168</v>
      </c>
      <c r="DZ1120" t="s">
        <v>209</v>
      </c>
      <c r="EA1120" t="s">
        <v>216</v>
      </c>
      <c r="EB1120" t="s">
        <v>168</v>
      </c>
      <c r="EC1120" t="s">
        <v>168</v>
      </c>
      <c r="ED1120" t="s">
        <v>209</v>
      </c>
      <c r="EE1120" t="s">
        <v>168</v>
      </c>
      <c r="EL1120">
        <f>0.34</f>
        <v>0.34</v>
      </c>
      <c r="EM1120" t="s">
        <v>166</v>
      </c>
      <c r="EN1120">
        <f>0.39</f>
        <v>0.39</v>
      </c>
      <c r="EO1120">
        <f>0.34</f>
        <v>0.34</v>
      </c>
      <c r="ER1120">
        <f>1.1</f>
        <v>1.1000000000000001</v>
      </c>
    </row>
    <row r="1121" spans="1:148" x14ac:dyDescent="0.25">
      <c r="A1121" t="s">
        <v>3597</v>
      </c>
      <c r="B1121" t="s">
        <v>148</v>
      </c>
      <c r="C1121" s="1">
        <v>45726</v>
      </c>
      <c r="D1121" t="s">
        <v>242</v>
      </c>
      <c r="E1121" t="s">
        <v>243</v>
      </c>
      <c r="F1121" t="s">
        <v>5284</v>
      </c>
      <c r="G1121" t="s">
        <v>903</v>
      </c>
      <c r="H1121">
        <v>1152</v>
      </c>
      <c r="I1121" t="s">
        <v>903</v>
      </c>
      <c r="J1121">
        <v>1106</v>
      </c>
      <c r="K1121" t="s">
        <v>5254</v>
      </c>
      <c r="L1121" t="s">
        <v>393</v>
      </c>
      <c r="M1121" t="s">
        <v>5355</v>
      </c>
      <c r="N1121" t="s">
        <v>904</v>
      </c>
      <c r="O1121" t="s">
        <v>905</v>
      </c>
      <c r="Q1121" t="s">
        <v>6455</v>
      </c>
      <c r="R1121">
        <f>1</f>
        <v>1</v>
      </c>
      <c r="S1121">
        <f>11</f>
        <v>11</v>
      </c>
      <c r="T1121">
        <f>7.3</f>
        <v>7.3</v>
      </c>
      <c r="U1121">
        <f>531</f>
        <v>531</v>
      </c>
      <c r="V1121">
        <f>0.19</f>
        <v>0.19</v>
      </c>
      <c r="X1121">
        <f>1</f>
        <v>1</v>
      </c>
      <c r="Y1121" t="s">
        <v>157</v>
      </c>
      <c r="Z1121">
        <f>0</f>
        <v>0</v>
      </c>
      <c r="AA1121" t="s">
        <v>158</v>
      </c>
      <c r="AB1121" t="s">
        <v>158</v>
      </c>
      <c r="AD1121">
        <f>0</f>
        <v>0</v>
      </c>
      <c r="AE1121">
        <f>0</f>
        <v>0</v>
      </c>
      <c r="AH1121" t="s">
        <v>157</v>
      </c>
    </row>
    <row r="1122" spans="1:148" x14ac:dyDescent="0.25">
      <c r="A1122" t="s">
        <v>3598</v>
      </c>
      <c r="B1122" t="s">
        <v>148</v>
      </c>
      <c r="C1122" s="1">
        <v>45726</v>
      </c>
      <c r="D1122" t="s">
        <v>242</v>
      </c>
      <c r="E1122" t="s">
        <v>243</v>
      </c>
      <c r="F1122" t="s">
        <v>5284</v>
      </c>
      <c r="G1122" t="s">
        <v>5113</v>
      </c>
      <c r="H1122">
        <v>1165</v>
      </c>
      <c r="I1122" t="s">
        <v>5113</v>
      </c>
      <c r="J1122">
        <v>2660</v>
      </c>
      <c r="K1122" t="s">
        <v>5257</v>
      </c>
      <c r="L1122" t="s">
        <v>393</v>
      </c>
      <c r="M1122" t="s">
        <v>5356</v>
      </c>
      <c r="N1122" t="s">
        <v>4732</v>
      </c>
      <c r="O1122" t="s">
        <v>907</v>
      </c>
      <c r="Q1122" t="s">
        <v>6456</v>
      </c>
      <c r="R1122">
        <f>1</f>
        <v>1</v>
      </c>
      <c r="S1122">
        <f>10</f>
        <v>10</v>
      </c>
      <c r="T1122">
        <f>7.9</f>
        <v>7.9</v>
      </c>
      <c r="U1122">
        <f>395</f>
        <v>395</v>
      </c>
      <c r="V1122">
        <f>0.18</f>
        <v>0.18</v>
      </c>
      <c r="X1122">
        <f>1</f>
        <v>1</v>
      </c>
      <c r="Y1122" t="s">
        <v>157</v>
      </c>
      <c r="Z1122">
        <f>0</f>
        <v>0</v>
      </c>
      <c r="AA1122" t="s">
        <v>158</v>
      </c>
      <c r="AB1122" t="s">
        <v>158</v>
      </c>
      <c r="AC1122">
        <f>0</f>
        <v>0</v>
      </c>
      <c r="AD1122">
        <f>0</f>
        <v>0</v>
      </c>
      <c r="AE1122">
        <f>0</f>
        <v>0</v>
      </c>
      <c r="AH1122" t="s">
        <v>157</v>
      </c>
    </row>
    <row r="1123" spans="1:148" x14ac:dyDescent="0.25">
      <c r="A1123" t="s">
        <v>3599</v>
      </c>
      <c r="B1123" t="s">
        <v>148</v>
      </c>
      <c r="C1123" s="1">
        <v>45835</v>
      </c>
      <c r="D1123" t="s">
        <v>175</v>
      </c>
      <c r="E1123" t="s">
        <v>649</v>
      </c>
      <c r="F1123" t="s">
        <v>1191</v>
      </c>
      <c r="G1123" t="s">
        <v>1523</v>
      </c>
      <c r="H1123">
        <v>281</v>
      </c>
      <c r="I1123" t="s">
        <v>1523</v>
      </c>
      <c r="J1123">
        <v>5800</v>
      </c>
      <c r="K1123" t="s">
        <v>5254</v>
      </c>
      <c r="L1123" t="s">
        <v>1524</v>
      </c>
      <c r="M1123" t="s">
        <v>6817</v>
      </c>
      <c r="N1123" t="s">
        <v>3600</v>
      </c>
      <c r="O1123" t="s">
        <v>3601</v>
      </c>
      <c r="R1123">
        <f>1</f>
        <v>1</v>
      </c>
      <c r="S1123">
        <f>21.3</f>
        <v>21.3</v>
      </c>
      <c r="T1123">
        <f>8</f>
        <v>8</v>
      </c>
      <c r="U1123">
        <f>390</f>
        <v>390</v>
      </c>
      <c r="X1123">
        <f>0</f>
        <v>0</v>
      </c>
      <c r="Y1123" t="s">
        <v>157</v>
      </c>
      <c r="Z1123">
        <f>0</f>
        <v>0</v>
      </c>
      <c r="AA1123" t="s">
        <v>158</v>
      </c>
      <c r="AB1123">
        <f>46</f>
        <v>46</v>
      </c>
      <c r="AD1123">
        <f>0</f>
        <v>0</v>
      </c>
      <c r="AE1123">
        <f>0</f>
        <v>0</v>
      </c>
      <c r="AG1123" t="s">
        <v>249</v>
      </c>
      <c r="AH1123" t="s">
        <v>157</v>
      </c>
      <c r="AI1123" t="s">
        <v>238</v>
      </c>
      <c r="AL1123" t="s">
        <v>164</v>
      </c>
      <c r="AM1123" t="s">
        <v>165</v>
      </c>
      <c r="AN1123">
        <f>4</f>
        <v>4</v>
      </c>
      <c r="AO1123">
        <f>0.08</f>
        <v>0.08</v>
      </c>
      <c r="AP1123">
        <f>15</f>
        <v>15</v>
      </c>
      <c r="AQ1123">
        <f>2.8</f>
        <v>2.8</v>
      </c>
      <c r="AR1123" t="s">
        <v>157</v>
      </c>
      <c r="AS1123">
        <f>2.2</f>
        <v>2.2000000000000002</v>
      </c>
      <c r="AT1123" t="s">
        <v>250</v>
      </c>
      <c r="AY1123" t="s">
        <v>167</v>
      </c>
      <c r="AZ1123" t="s">
        <v>158</v>
      </c>
      <c r="BA1123" t="s">
        <v>216</v>
      </c>
      <c r="BB1123" t="s">
        <v>158</v>
      </c>
      <c r="BC1123" t="s">
        <v>166</v>
      </c>
      <c r="BD1123" t="s">
        <v>167</v>
      </c>
      <c r="BE1123">
        <f>0.0015</f>
        <v>1.5E-3</v>
      </c>
      <c r="BF1123" t="s">
        <v>168</v>
      </c>
      <c r="BG1123" t="s">
        <v>167</v>
      </c>
      <c r="BH1123" t="s">
        <v>167</v>
      </c>
      <c r="BK1123">
        <f>0.66</f>
        <v>0.66</v>
      </c>
      <c r="EL1123">
        <f>0.72</f>
        <v>0.72</v>
      </c>
      <c r="EM1123" t="s">
        <v>166</v>
      </c>
      <c r="EN1123">
        <f>0.76</f>
        <v>0.76</v>
      </c>
      <c r="EO1123">
        <f>0.67</f>
        <v>0.67</v>
      </c>
      <c r="ER1123">
        <f>2.1</f>
        <v>2.1</v>
      </c>
    </row>
    <row r="1124" spans="1:148" x14ac:dyDescent="0.25">
      <c r="A1124" t="s">
        <v>3602</v>
      </c>
      <c r="B1124" t="s">
        <v>148</v>
      </c>
      <c r="C1124" s="1">
        <v>45839</v>
      </c>
      <c r="D1124" t="s">
        <v>175</v>
      </c>
      <c r="E1124" t="s">
        <v>649</v>
      </c>
      <c r="F1124" t="s">
        <v>918</v>
      </c>
      <c r="G1124" t="s">
        <v>919</v>
      </c>
      <c r="H1124">
        <v>128</v>
      </c>
      <c r="I1124" t="s">
        <v>1424</v>
      </c>
      <c r="J1124">
        <v>2430</v>
      </c>
      <c r="K1124" t="s">
        <v>5254</v>
      </c>
      <c r="L1124" t="s">
        <v>431</v>
      </c>
      <c r="M1124" t="s">
        <v>4987</v>
      </c>
      <c r="N1124" t="s">
        <v>1425</v>
      </c>
      <c r="O1124" t="s">
        <v>1426</v>
      </c>
      <c r="Q1124" t="s">
        <v>6457</v>
      </c>
      <c r="R1124">
        <f>1</f>
        <v>1</v>
      </c>
      <c r="S1124">
        <f>15.8</f>
        <v>15.8</v>
      </c>
      <c r="T1124">
        <f>7.8</f>
        <v>7.8</v>
      </c>
      <c r="U1124">
        <f>298</f>
        <v>298</v>
      </c>
      <c r="X1124">
        <f>0</f>
        <v>0</v>
      </c>
      <c r="Y1124">
        <f>0.67</f>
        <v>0.67</v>
      </c>
      <c r="Z1124">
        <f>0</f>
        <v>0</v>
      </c>
      <c r="AA1124">
        <f>56</f>
        <v>56</v>
      </c>
      <c r="AB1124">
        <f>78</f>
        <v>78</v>
      </c>
      <c r="AD1124">
        <f>0</f>
        <v>0</v>
      </c>
      <c r="AE1124">
        <f>0</f>
        <v>0</v>
      </c>
      <c r="AH1124" t="s">
        <v>157</v>
      </c>
    </row>
    <row r="1125" spans="1:148" x14ac:dyDescent="0.25">
      <c r="A1125" t="s">
        <v>3603</v>
      </c>
      <c r="B1125" t="s">
        <v>148</v>
      </c>
      <c r="C1125" s="1">
        <v>45715</v>
      </c>
      <c r="D1125" t="s">
        <v>222</v>
      </c>
      <c r="E1125" t="s">
        <v>223</v>
      </c>
      <c r="F1125" t="s">
        <v>224</v>
      </c>
      <c r="G1125" t="s">
        <v>909</v>
      </c>
      <c r="H1125">
        <v>246</v>
      </c>
      <c r="I1125" t="s">
        <v>909</v>
      </c>
      <c r="J1125">
        <v>782</v>
      </c>
      <c r="K1125" t="s">
        <v>5257</v>
      </c>
      <c r="L1125" t="s">
        <v>4963</v>
      </c>
      <c r="M1125" t="s">
        <v>910</v>
      </c>
      <c r="N1125" t="s">
        <v>5357</v>
      </c>
      <c r="O1125" t="s">
        <v>911</v>
      </c>
      <c r="Q1125" t="s">
        <v>6326</v>
      </c>
      <c r="R1125">
        <f>1</f>
        <v>1</v>
      </c>
      <c r="S1125">
        <f>8.5</f>
        <v>8.5</v>
      </c>
      <c r="T1125">
        <f>8.1</f>
        <v>8.1</v>
      </c>
      <c r="U1125">
        <f>234</f>
        <v>234</v>
      </c>
      <c r="V1125">
        <f>0.15</f>
        <v>0.15</v>
      </c>
      <c r="X1125">
        <f>1</f>
        <v>1</v>
      </c>
      <c r="Y1125">
        <f>0.07</f>
        <v>7.0000000000000007E-2</v>
      </c>
      <c r="Z1125">
        <f>0</f>
        <v>0</v>
      </c>
      <c r="AA1125">
        <f>0</f>
        <v>0</v>
      </c>
      <c r="AB1125">
        <f>0</f>
        <v>0</v>
      </c>
      <c r="AC1125">
        <f>0</f>
        <v>0</v>
      </c>
      <c r="AD1125">
        <f>0</f>
        <v>0</v>
      </c>
      <c r="AE1125">
        <f>0</f>
        <v>0</v>
      </c>
      <c r="AH1125" t="s">
        <v>166</v>
      </c>
    </row>
    <row r="1126" spans="1:148" x14ac:dyDescent="0.25">
      <c r="A1126" t="s">
        <v>3604</v>
      </c>
      <c r="B1126" t="s">
        <v>148</v>
      </c>
      <c r="C1126" s="1">
        <v>45824</v>
      </c>
      <c r="D1126" t="s">
        <v>242</v>
      </c>
      <c r="E1126" t="s">
        <v>243</v>
      </c>
      <c r="F1126" t="s">
        <v>253</v>
      </c>
      <c r="G1126" t="s">
        <v>5774</v>
      </c>
      <c r="H1126">
        <v>213</v>
      </c>
      <c r="I1126" t="s">
        <v>5358</v>
      </c>
      <c r="J1126">
        <v>4310</v>
      </c>
      <c r="K1126" t="s">
        <v>5257</v>
      </c>
      <c r="L1126" t="s">
        <v>913</v>
      </c>
      <c r="M1126" t="s">
        <v>5359</v>
      </c>
      <c r="N1126" t="s">
        <v>5360</v>
      </c>
      <c r="O1126" t="s">
        <v>914</v>
      </c>
      <c r="R1126">
        <f>1</f>
        <v>1</v>
      </c>
      <c r="S1126">
        <f>19.2</f>
        <v>19.2</v>
      </c>
      <c r="T1126">
        <f>7.6</f>
        <v>7.6</v>
      </c>
      <c r="U1126">
        <f>268</f>
        <v>268</v>
      </c>
      <c r="X1126">
        <f>0</f>
        <v>0</v>
      </c>
      <c r="Y1126" t="s">
        <v>157</v>
      </c>
      <c r="Z1126">
        <f>0</f>
        <v>0</v>
      </c>
      <c r="AA1126" t="s">
        <v>158</v>
      </c>
      <c r="AB1126" t="s">
        <v>158</v>
      </c>
      <c r="AC1126">
        <f>0</f>
        <v>0</v>
      </c>
      <c r="AD1126">
        <f>0</f>
        <v>0</v>
      </c>
      <c r="AE1126">
        <f>0</f>
        <v>0</v>
      </c>
      <c r="AH1126" t="s">
        <v>157</v>
      </c>
    </row>
    <row r="1127" spans="1:148" x14ac:dyDescent="0.25">
      <c r="A1127" t="s">
        <v>3605</v>
      </c>
      <c r="B1127" t="s">
        <v>148</v>
      </c>
      <c r="C1127" s="1">
        <v>45806</v>
      </c>
      <c r="D1127" t="s">
        <v>242</v>
      </c>
      <c r="E1127" t="s">
        <v>295</v>
      </c>
      <c r="F1127" t="s">
        <v>4944</v>
      </c>
      <c r="G1127" t="s">
        <v>5870</v>
      </c>
      <c r="H1127">
        <v>1108</v>
      </c>
      <c r="I1127" t="s">
        <v>5870</v>
      </c>
      <c r="J1127">
        <v>1104</v>
      </c>
      <c r="K1127" t="s">
        <v>5254</v>
      </c>
      <c r="L1127" t="s">
        <v>154</v>
      </c>
      <c r="M1127" t="s">
        <v>5871</v>
      </c>
      <c r="N1127" t="s">
        <v>5361</v>
      </c>
      <c r="O1127" t="s">
        <v>916</v>
      </c>
      <c r="R1127">
        <f>1</f>
        <v>1</v>
      </c>
      <c r="S1127">
        <f>17.8</f>
        <v>17.8</v>
      </c>
      <c r="T1127">
        <f>7.3</f>
        <v>7.3</v>
      </c>
      <c r="U1127">
        <f>541</f>
        <v>541</v>
      </c>
      <c r="V1127">
        <f>0.2</f>
        <v>0.2</v>
      </c>
      <c r="X1127">
        <f>0</f>
        <v>0</v>
      </c>
      <c r="Y1127">
        <f>0.67</f>
        <v>0.67</v>
      </c>
      <c r="Z1127">
        <f>0</f>
        <v>0</v>
      </c>
      <c r="AA1127">
        <f>11</f>
        <v>11</v>
      </c>
      <c r="AB1127">
        <f>19</f>
        <v>19</v>
      </c>
      <c r="AD1127">
        <f>0</f>
        <v>0</v>
      </c>
      <c r="AE1127">
        <f>0</f>
        <v>0</v>
      </c>
      <c r="AH1127" t="s">
        <v>166</v>
      </c>
    </row>
    <row r="1128" spans="1:148" x14ac:dyDescent="0.25">
      <c r="A1128" t="s">
        <v>3606</v>
      </c>
      <c r="B1128" t="s">
        <v>268</v>
      </c>
      <c r="C1128" s="1">
        <v>45793</v>
      </c>
      <c r="D1128" t="s">
        <v>175</v>
      </c>
      <c r="E1128" t="s">
        <v>176</v>
      </c>
      <c r="F1128" t="s">
        <v>556</v>
      </c>
      <c r="G1128" t="s">
        <v>1445</v>
      </c>
      <c r="H1128">
        <v>178</v>
      </c>
      <c r="I1128" t="s">
        <v>1445</v>
      </c>
      <c r="J1128">
        <v>3488</v>
      </c>
      <c r="K1128" t="s">
        <v>5254</v>
      </c>
      <c r="L1128" t="s">
        <v>302</v>
      </c>
      <c r="M1128" t="s">
        <v>6629</v>
      </c>
      <c r="N1128" t="s">
        <v>5945</v>
      </c>
      <c r="O1128" t="s">
        <v>1446</v>
      </c>
      <c r="R1128">
        <f>1</f>
        <v>1</v>
      </c>
      <c r="S1128">
        <f>14</f>
        <v>14</v>
      </c>
      <c r="T1128">
        <f>7.4</f>
        <v>7.4</v>
      </c>
      <c r="U1128">
        <f>523</f>
        <v>523</v>
      </c>
      <c r="W1128">
        <f>0.12</f>
        <v>0.12</v>
      </c>
      <c r="X1128">
        <f>0</f>
        <v>0</v>
      </c>
      <c r="Y1128" t="s">
        <v>157</v>
      </c>
      <c r="Z1128">
        <f>0</f>
        <v>0</v>
      </c>
      <c r="AA1128">
        <f>104</f>
        <v>104</v>
      </c>
      <c r="AB1128">
        <f>162</f>
        <v>162</v>
      </c>
      <c r="AD1128">
        <f>0</f>
        <v>0</v>
      </c>
      <c r="AE1128">
        <f>0</f>
        <v>0</v>
      </c>
      <c r="AH1128" t="s">
        <v>157</v>
      </c>
    </row>
    <row r="1129" spans="1:148" x14ac:dyDescent="0.25">
      <c r="A1129" t="s">
        <v>3607</v>
      </c>
      <c r="B1129" t="s">
        <v>148</v>
      </c>
      <c r="C1129" s="1">
        <v>45789</v>
      </c>
      <c r="D1129" t="s">
        <v>222</v>
      </c>
      <c r="E1129" t="s">
        <v>223</v>
      </c>
      <c r="F1129" t="s">
        <v>429</v>
      </c>
      <c r="G1129" t="s">
        <v>6580</v>
      </c>
      <c r="H1129">
        <v>1271</v>
      </c>
      <c r="I1129" t="s">
        <v>6581</v>
      </c>
      <c r="J1129">
        <v>757</v>
      </c>
      <c r="K1129" t="s">
        <v>5254</v>
      </c>
      <c r="L1129" t="s">
        <v>431</v>
      </c>
      <c r="M1129" t="s">
        <v>6582</v>
      </c>
      <c r="N1129" t="s">
        <v>6583</v>
      </c>
      <c r="O1129" t="s">
        <v>924</v>
      </c>
      <c r="Q1129" t="s">
        <v>6458</v>
      </c>
      <c r="R1129">
        <f>1</f>
        <v>1</v>
      </c>
      <c r="S1129">
        <f>9.8</f>
        <v>9.8000000000000007</v>
      </c>
      <c r="T1129">
        <f>7.9</f>
        <v>7.9</v>
      </c>
      <c r="U1129">
        <f>346</f>
        <v>346</v>
      </c>
      <c r="X1129">
        <f>1</f>
        <v>1</v>
      </c>
      <c r="Y1129">
        <f>0.12</f>
        <v>0.12</v>
      </c>
      <c r="Z1129">
        <f>0</f>
        <v>0</v>
      </c>
      <c r="AA1129">
        <f>0</f>
        <v>0</v>
      </c>
      <c r="AB1129">
        <f>0</f>
        <v>0</v>
      </c>
      <c r="AD1129">
        <f>0</f>
        <v>0</v>
      </c>
      <c r="AE1129">
        <f>0</f>
        <v>0</v>
      </c>
      <c r="AH1129" t="s">
        <v>166</v>
      </c>
    </row>
    <row r="1130" spans="1:148" x14ac:dyDescent="0.25">
      <c r="A1130" t="s">
        <v>3608</v>
      </c>
      <c r="B1130" t="s">
        <v>148</v>
      </c>
      <c r="C1130" s="1">
        <v>45713</v>
      </c>
      <c r="D1130" t="s">
        <v>311</v>
      </c>
      <c r="E1130" t="s">
        <v>312</v>
      </c>
      <c r="F1130" t="s">
        <v>424</v>
      </c>
      <c r="G1130" t="s">
        <v>425</v>
      </c>
      <c r="H1130">
        <v>806</v>
      </c>
      <c r="I1130" t="s">
        <v>4736</v>
      </c>
      <c r="J1130">
        <v>4002</v>
      </c>
      <c r="K1130" t="s">
        <v>5254</v>
      </c>
      <c r="L1130" t="s">
        <v>387</v>
      </c>
      <c r="M1130" t="s">
        <v>3609</v>
      </c>
      <c r="N1130" t="s">
        <v>3610</v>
      </c>
      <c r="O1130" t="s">
        <v>3611</v>
      </c>
      <c r="R1130">
        <f>1</f>
        <v>1</v>
      </c>
      <c r="S1130">
        <f>7.6</f>
        <v>7.6</v>
      </c>
      <c r="T1130">
        <f>7.4</f>
        <v>7.4</v>
      </c>
      <c r="U1130">
        <f>513</f>
        <v>513</v>
      </c>
      <c r="V1130">
        <f>0.25</f>
        <v>0.25</v>
      </c>
      <c r="X1130">
        <f>0</f>
        <v>0</v>
      </c>
      <c r="Y1130" t="s">
        <v>157</v>
      </c>
      <c r="Z1130">
        <f>0</f>
        <v>0</v>
      </c>
      <c r="AA1130" t="s">
        <v>158</v>
      </c>
      <c r="AB1130" t="s">
        <v>158</v>
      </c>
      <c r="AD1130">
        <f>0</f>
        <v>0</v>
      </c>
      <c r="AE1130">
        <f>0</f>
        <v>0</v>
      </c>
      <c r="AH1130" t="s">
        <v>157</v>
      </c>
    </row>
    <row r="1131" spans="1:148" x14ac:dyDescent="0.25">
      <c r="A1131" t="s">
        <v>3612</v>
      </c>
      <c r="B1131" t="s">
        <v>148</v>
      </c>
      <c r="C1131" s="1">
        <v>45810</v>
      </c>
      <c r="D1131" t="s">
        <v>311</v>
      </c>
      <c r="E1131" t="s">
        <v>312</v>
      </c>
      <c r="F1131" t="s">
        <v>424</v>
      </c>
      <c r="G1131" t="s">
        <v>425</v>
      </c>
      <c r="H1131">
        <v>804</v>
      </c>
      <c r="I1131" t="s">
        <v>5946</v>
      </c>
      <c r="J1131">
        <v>3329</v>
      </c>
      <c r="K1131" t="s">
        <v>5254</v>
      </c>
      <c r="L1131" t="s">
        <v>387</v>
      </c>
      <c r="M1131" t="s">
        <v>1461</v>
      </c>
      <c r="N1131" t="s">
        <v>1462</v>
      </c>
      <c r="O1131" t="s">
        <v>1463</v>
      </c>
      <c r="R1131">
        <f>1</f>
        <v>1</v>
      </c>
      <c r="S1131">
        <f>15.7</f>
        <v>15.7</v>
      </c>
      <c r="T1131">
        <f>7.3</f>
        <v>7.3</v>
      </c>
      <c r="U1131">
        <f>528</f>
        <v>528</v>
      </c>
      <c r="X1131">
        <f>0</f>
        <v>0</v>
      </c>
      <c r="Y1131" t="s">
        <v>157</v>
      </c>
      <c r="Z1131">
        <f>0</f>
        <v>0</v>
      </c>
      <c r="AA1131" t="s">
        <v>158</v>
      </c>
      <c r="AB1131" t="s">
        <v>158</v>
      </c>
      <c r="AD1131">
        <f>0</f>
        <v>0</v>
      </c>
      <c r="AE1131">
        <f>0</f>
        <v>0</v>
      </c>
      <c r="AG1131" t="s">
        <v>249</v>
      </c>
      <c r="AH1131" t="s">
        <v>157</v>
      </c>
      <c r="AI1131">
        <f>0.6</f>
        <v>0.6</v>
      </c>
      <c r="AL1131" t="s">
        <v>164</v>
      </c>
      <c r="AM1131" t="s">
        <v>165</v>
      </c>
      <c r="AN1131">
        <f>11</f>
        <v>11</v>
      </c>
      <c r="AO1131">
        <f>0.22</f>
        <v>0.22</v>
      </c>
      <c r="AP1131">
        <f>45</f>
        <v>45</v>
      </c>
      <c r="AQ1131">
        <f>17</f>
        <v>17</v>
      </c>
      <c r="AR1131">
        <f>0.1</f>
        <v>0.1</v>
      </c>
      <c r="AS1131">
        <f>14</f>
        <v>14</v>
      </c>
      <c r="AT1131" t="s">
        <v>250</v>
      </c>
      <c r="AY1131">
        <f>2</f>
        <v>2</v>
      </c>
      <c r="AZ1131" t="s">
        <v>158</v>
      </c>
      <c r="BA1131">
        <f>0.042</f>
        <v>4.2000000000000003E-2</v>
      </c>
      <c r="BB1131" t="s">
        <v>158</v>
      </c>
      <c r="BC1131" t="s">
        <v>166</v>
      </c>
      <c r="BD1131" t="s">
        <v>167</v>
      </c>
      <c r="BE1131">
        <f>0.024</f>
        <v>2.4E-2</v>
      </c>
      <c r="BF1131" t="s">
        <v>168</v>
      </c>
      <c r="BG1131" t="s">
        <v>167</v>
      </c>
      <c r="BH1131">
        <f>3.3</f>
        <v>3.3</v>
      </c>
      <c r="BK1131">
        <f>1.3</f>
        <v>1.3</v>
      </c>
      <c r="BL1131" t="s">
        <v>168</v>
      </c>
      <c r="BM1131" t="s">
        <v>168</v>
      </c>
      <c r="BN1131" t="s">
        <v>168</v>
      </c>
      <c r="BO1131" t="s">
        <v>168</v>
      </c>
      <c r="BP1131" t="s">
        <v>168</v>
      </c>
      <c r="BQ1131" t="s">
        <v>168</v>
      </c>
      <c r="BR1131" t="s">
        <v>168</v>
      </c>
      <c r="BS1131" t="s">
        <v>168</v>
      </c>
      <c r="BT1131" t="s">
        <v>216</v>
      </c>
      <c r="BU1131" t="s">
        <v>168</v>
      </c>
      <c r="BV1131" t="s">
        <v>209</v>
      </c>
      <c r="BW1131" t="s">
        <v>209</v>
      </c>
      <c r="BX1131" t="s">
        <v>209</v>
      </c>
      <c r="BY1131" t="s">
        <v>209</v>
      </c>
      <c r="BZ1131" t="s">
        <v>216</v>
      </c>
      <c r="CA1131" t="s">
        <v>216</v>
      </c>
      <c r="CB1131" t="s">
        <v>168</v>
      </c>
      <c r="CC1131" t="s">
        <v>168</v>
      </c>
      <c r="CD1131" t="s">
        <v>216</v>
      </c>
      <c r="CE1131" t="s">
        <v>209</v>
      </c>
      <c r="CF1131" t="s">
        <v>168</v>
      </c>
      <c r="CG1131" t="s">
        <v>168</v>
      </c>
      <c r="CH1131" t="s">
        <v>165</v>
      </c>
      <c r="CI1131" t="s">
        <v>216</v>
      </c>
      <c r="CJ1131" t="s">
        <v>216</v>
      </c>
      <c r="CK1131" t="s">
        <v>216</v>
      </c>
      <c r="CL1131" t="s">
        <v>216</v>
      </c>
      <c r="CM1131" t="s">
        <v>216</v>
      </c>
      <c r="CN1131" t="s">
        <v>216</v>
      </c>
      <c r="CO1131" t="s">
        <v>216</v>
      </c>
      <c r="CP1131" t="s">
        <v>216</v>
      </c>
      <c r="CQ1131" t="s">
        <v>216</v>
      </c>
      <c r="CR1131" t="s">
        <v>216</v>
      </c>
      <c r="CS1131" t="s">
        <v>216</v>
      </c>
      <c r="CT1131" t="s">
        <v>216</v>
      </c>
      <c r="CU1131" t="s">
        <v>216</v>
      </c>
      <c r="CV1131" t="s">
        <v>216</v>
      </c>
      <c r="CW1131" t="s">
        <v>216</v>
      </c>
      <c r="CX1131" t="s">
        <v>216</v>
      </c>
      <c r="CY1131" t="s">
        <v>216</v>
      </c>
      <c r="CZ1131" t="s">
        <v>216</v>
      </c>
      <c r="DA1131" t="s">
        <v>168</v>
      </c>
      <c r="DB1131" t="s">
        <v>216</v>
      </c>
      <c r="DC1131" t="s">
        <v>216</v>
      </c>
      <c r="DD1131" t="s">
        <v>216</v>
      </c>
      <c r="DE1131" t="s">
        <v>168</v>
      </c>
      <c r="DF1131" t="s">
        <v>168</v>
      </c>
      <c r="DG1131" t="s">
        <v>216</v>
      </c>
      <c r="DH1131" t="s">
        <v>216</v>
      </c>
      <c r="DI1131" t="s">
        <v>216</v>
      </c>
      <c r="DJ1131" t="s">
        <v>216</v>
      </c>
      <c r="DK1131" t="s">
        <v>168</v>
      </c>
      <c r="DL1131" t="s">
        <v>216</v>
      </c>
      <c r="DM1131" t="s">
        <v>216</v>
      </c>
      <c r="DN1131" t="s">
        <v>216</v>
      </c>
      <c r="DO1131" t="s">
        <v>216</v>
      </c>
      <c r="DP1131" t="s">
        <v>168</v>
      </c>
      <c r="DQ1131" t="s">
        <v>216</v>
      </c>
      <c r="DR1131" t="s">
        <v>168</v>
      </c>
      <c r="DS1131" t="s">
        <v>168</v>
      </c>
      <c r="DT1131" t="s">
        <v>168</v>
      </c>
      <c r="DU1131" t="s">
        <v>168</v>
      </c>
      <c r="DV1131" t="s">
        <v>168</v>
      </c>
      <c r="DW1131" t="s">
        <v>168</v>
      </c>
      <c r="DX1131" t="s">
        <v>168</v>
      </c>
      <c r="DY1131" t="s">
        <v>168</v>
      </c>
      <c r="DZ1131" t="s">
        <v>209</v>
      </c>
      <c r="EA1131" t="s">
        <v>216</v>
      </c>
      <c r="EB1131" t="s">
        <v>168</v>
      </c>
      <c r="EC1131" t="s">
        <v>168</v>
      </c>
      <c r="ED1131" t="s">
        <v>209</v>
      </c>
      <c r="EE1131" t="s">
        <v>168</v>
      </c>
      <c r="EL1131">
        <f>1.1</f>
        <v>1.1000000000000001</v>
      </c>
      <c r="EM1131">
        <f>0.29</f>
        <v>0.28999999999999998</v>
      </c>
      <c r="EN1131">
        <f>1.5</f>
        <v>1.5</v>
      </c>
      <c r="EO1131">
        <f>1.6</f>
        <v>1.6</v>
      </c>
      <c r="ER1131">
        <f>4.5</f>
        <v>4.5</v>
      </c>
    </row>
    <row r="1132" spans="1:148" x14ac:dyDescent="0.25">
      <c r="A1132" t="s">
        <v>3613</v>
      </c>
      <c r="B1132" t="s">
        <v>148</v>
      </c>
      <c r="C1132" s="1">
        <v>45715</v>
      </c>
      <c r="D1132" t="s">
        <v>311</v>
      </c>
      <c r="E1132" t="s">
        <v>312</v>
      </c>
      <c r="F1132" t="s">
        <v>424</v>
      </c>
      <c r="G1132" t="s">
        <v>425</v>
      </c>
      <c r="H1132">
        <v>802</v>
      </c>
      <c r="I1132" t="s">
        <v>4733</v>
      </c>
      <c r="J1132">
        <v>7796</v>
      </c>
      <c r="K1132" t="s">
        <v>5254</v>
      </c>
      <c r="L1132" t="s">
        <v>439</v>
      </c>
      <c r="M1132" t="s">
        <v>932</v>
      </c>
      <c r="N1132" t="s">
        <v>933</v>
      </c>
      <c r="O1132" t="s">
        <v>934</v>
      </c>
      <c r="R1132">
        <f>1</f>
        <v>1</v>
      </c>
      <c r="S1132">
        <f>7.9</f>
        <v>7.9</v>
      </c>
      <c r="T1132">
        <f>7.3</f>
        <v>7.3</v>
      </c>
      <c r="U1132">
        <f>543</f>
        <v>543</v>
      </c>
      <c r="V1132" t="s">
        <v>157</v>
      </c>
      <c r="X1132">
        <f>0</f>
        <v>0</v>
      </c>
      <c r="Y1132" t="s">
        <v>157</v>
      </c>
      <c r="Z1132">
        <f>0</f>
        <v>0</v>
      </c>
      <c r="AA1132" t="s">
        <v>158</v>
      </c>
      <c r="AB1132" t="s">
        <v>158</v>
      </c>
      <c r="AD1132">
        <f>0</f>
        <v>0</v>
      </c>
      <c r="AE1132">
        <f>0</f>
        <v>0</v>
      </c>
      <c r="AH1132" t="s">
        <v>157</v>
      </c>
    </row>
    <row r="1133" spans="1:148" x14ac:dyDescent="0.25">
      <c r="A1133" t="s">
        <v>3614</v>
      </c>
      <c r="B1133" t="s">
        <v>148</v>
      </c>
      <c r="C1133" s="1">
        <v>45874</v>
      </c>
      <c r="D1133" t="s">
        <v>222</v>
      </c>
      <c r="E1133" t="s">
        <v>223</v>
      </c>
      <c r="F1133" t="s">
        <v>469</v>
      </c>
      <c r="G1133" t="s">
        <v>936</v>
      </c>
      <c r="H1133">
        <v>252</v>
      </c>
      <c r="I1133" t="s">
        <v>936</v>
      </c>
      <c r="J1133">
        <v>800</v>
      </c>
      <c r="K1133" t="s">
        <v>5257</v>
      </c>
      <c r="L1133" t="s">
        <v>393</v>
      </c>
      <c r="M1133" t="s">
        <v>937</v>
      </c>
      <c r="N1133" t="s">
        <v>938</v>
      </c>
      <c r="O1133" t="s">
        <v>939</v>
      </c>
      <c r="R1133">
        <f>1</f>
        <v>1</v>
      </c>
      <c r="S1133">
        <f>18.1</f>
        <v>18.100000000000001</v>
      </c>
      <c r="T1133">
        <f>8</f>
        <v>8</v>
      </c>
      <c r="U1133">
        <f>280</f>
        <v>280</v>
      </c>
      <c r="X1133">
        <f>1</f>
        <v>1</v>
      </c>
      <c r="Y1133">
        <f>0.2</f>
        <v>0.2</v>
      </c>
      <c r="Z1133">
        <f>0</f>
        <v>0</v>
      </c>
      <c r="AA1133">
        <f>1</f>
        <v>1</v>
      </c>
      <c r="AB1133">
        <f>0</f>
        <v>0</v>
      </c>
      <c r="AC1133">
        <f>0</f>
        <v>0</v>
      </c>
      <c r="AD1133">
        <f>0</f>
        <v>0</v>
      </c>
      <c r="AE1133">
        <f>0</f>
        <v>0</v>
      </c>
      <c r="AH1133" t="s">
        <v>166</v>
      </c>
      <c r="AI1133">
        <f>0.35</f>
        <v>0.35</v>
      </c>
      <c r="AL1133" t="s">
        <v>168</v>
      </c>
      <c r="AM1133" t="s">
        <v>164</v>
      </c>
      <c r="AN1133">
        <f>5.3</f>
        <v>5.3</v>
      </c>
      <c r="AO1133">
        <f>0.11</f>
        <v>0.11</v>
      </c>
      <c r="AP1133">
        <f>2.2</f>
        <v>2.2000000000000002</v>
      </c>
      <c r="AQ1133">
        <f>1</f>
        <v>1</v>
      </c>
      <c r="AR1133" t="s">
        <v>167</v>
      </c>
      <c r="AS1133">
        <f>1.9</f>
        <v>1.9</v>
      </c>
      <c r="AY1133">
        <f>0.54</f>
        <v>0.54</v>
      </c>
      <c r="AZ1133" t="s">
        <v>208</v>
      </c>
      <c r="BA1133">
        <f>0.0076</f>
        <v>7.6E-3</v>
      </c>
      <c r="BB1133">
        <f>12</f>
        <v>12</v>
      </c>
      <c r="BC1133">
        <f>0.1</f>
        <v>0.1</v>
      </c>
      <c r="BD1133">
        <f>0.11</f>
        <v>0.11</v>
      </c>
      <c r="BE1133">
        <f>0.00026</f>
        <v>2.5999999999999998E-4</v>
      </c>
      <c r="BF1133" t="s">
        <v>168</v>
      </c>
      <c r="BG1133" t="s">
        <v>237</v>
      </c>
      <c r="BH1133" t="s">
        <v>157</v>
      </c>
      <c r="BK1133">
        <f>0.13</f>
        <v>0.13</v>
      </c>
      <c r="EL1133">
        <f>0.8</f>
        <v>0.8</v>
      </c>
      <c r="EM1133" t="s">
        <v>238</v>
      </c>
      <c r="EN1133" t="s">
        <v>238</v>
      </c>
      <c r="EO1133" t="s">
        <v>238</v>
      </c>
      <c r="ER1133">
        <f>0.8</f>
        <v>0.8</v>
      </c>
    </row>
    <row r="1134" spans="1:148" x14ac:dyDescent="0.25">
      <c r="A1134" t="s">
        <v>3615</v>
      </c>
      <c r="B1134" t="s">
        <v>148</v>
      </c>
      <c r="C1134" s="1">
        <v>45784</v>
      </c>
      <c r="D1134" t="s">
        <v>618</v>
      </c>
      <c r="E1134" t="s">
        <v>619</v>
      </c>
      <c r="F1134" t="s">
        <v>5317</v>
      </c>
      <c r="G1134" t="s">
        <v>5859</v>
      </c>
      <c r="H1134">
        <v>21</v>
      </c>
      <c r="I1134" t="s">
        <v>5139</v>
      </c>
      <c r="J1134">
        <v>3154</v>
      </c>
      <c r="K1134" t="s">
        <v>5254</v>
      </c>
      <c r="L1134" t="s">
        <v>387</v>
      </c>
      <c r="M1134" t="s">
        <v>5140</v>
      </c>
      <c r="N1134" t="s">
        <v>4988</v>
      </c>
      <c r="O1134" t="s">
        <v>1471</v>
      </c>
      <c r="R1134">
        <f>1</f>
        <v>1</v>
      </c>
      <c r="S1134">
        <f>10.6</f>
        <v>10.6</v>
      </c>
      <c r="T1134">
        <f>7.9</f>
        <v>7.9</v>
      </c>
      <c r="U1134">
        <f>203</f>
        <v>203</v>
      </c>
      <c r="X1134">
        <f>0</f>
        <v>0</v>
      </c>
      <c r="Y1134">
        <f>0.1</f>
        <v>0.1</v>
      </c>
      <c r="Z1134">
        <f>0</f>
        <v>0</v>
      </c>
      <c r="AA1134" t="s">
        <v>158</v>
      </c>
      <c r="AB1134" t="s">
        <v>158</v>
      </c>
      <c r="AD1134">
        <f>0</f>
        <v>0</v>
      </c>
      <c r="AE1134">
        <f>0</f>
        <v>0</v>
      </c>
      <c r="AH1134" t="s">
        <v>157</v>
      </c>
      <c r="AI1134" t="s">
        <v>238</v>
      </c>
      <c r="AL1134" t="s">
        <v>164</v>
      </c>
      <c r="AM1134" t="s">
        <v>165</v>
      </c>
      <c r="AN1134">
        <f>3.1</f>
        <v>3.1</v>
      </c>
      <c r="AO1134">
        <f>0.06</f>
        <v>0.06</v>
      </c>
      <c r="AP1134">
        <f>3.1</f>
        <v>3.1</v>
      </c>
      <c r="AQ1134">
        <f>0.5</f>
        <v>0.5</v>
      </c>
      <c r="AR1134" t="s">
        <v>157</v>
      </c>
      <c r="AS1134" t="s">
        <v>3498</v>
      </c>
      <c r="AY1134" t="s">
        <v>167</v>
      </c>
      <c r="AZ1134" t="s">
        <v>158</v>
      </c>
      <c r="BA1134" t="s">
        <v>216</v>
      </c>
      <c r="BB1134" t="s">
        <v>158</v>
      </c>
      <c r="BC1134" t="s">
        <v>166</v>
      </c>
      <c r="BD1134" t="s">
        <v>167</v>
      </c>
      <c r="BE1134">
        <f>0.0021</f>
        <v>2.0999999999999999E-3</v>
      </c>
      <c r="BF1134" t="s">
        <v>168</v>
      </c>
      <c r="BG1134" t="s">
        <v>167</v>
      </c>
      <c r="BH1134" t="s">
        <v>167</v>
      </c>
      <c r="BK1134">
        <f>0.3</f>
        <v>0.3</v>
      </c>
      <c r="EL1134">
        <f>0.15</f>
        <v>0.15</v>
      </c>
      <c r="EM1134" t="s">
        <v>166</v>
      </c>
      <c r="EN1134" t="s">
        <v>166</v>
      </c>
      <c r="EO1134" t="s">
        <v>166</v>
      </c>
      <c r="ER1134" t="s">
        <v>166</v>
      </c>
    </row>
    <row r="1135" spans="1:148" x14ac:dyDescent="0.25">
      <c r="A1135" t="s">
        <v>3616</v>
      </c>
      <c r="B1135" t="s">
        <v>148</v>
      </c>
      <c r="C1135" s="1">
        <v>45817</v>
      </c>
      <c r="D1135" t="s">
        <v>222</v>
      </c>
      <c r="E1135" t="s">
        <v>223</v>
      </c>
      <c r="F1135" t="s">
        <v>469</v>
      </c>
      <c r="G1135" t="s">
        <v>3617</v>
      </c>
      <c r="H1135">
        <v>1399</v>
      </c>
      <c r="I1135" t="s">
        <v>3617</v>
      </c>
      <c r="J1135">
        <v>505</v>
      </c>
      <c r="K1135" t="s">
        <v>5257</v>
      </c>
      <c r="L1135" t="s">
        <v>393</v>
      </c>
      <c r="M1135" t="s">
        <v>6208</v>
      </c>
      <c r="N1135" t="s">
        <v>3618</v>
      </c>
      <c r="O1135" t="s">
        <v>3619</v>
      </c>
      <c r="R1135">
        <f>1</f>
        <v>1</v>
      </c>
      <c r="S1135">
        <f>18</f>
        <v>18</v>
      </c>
      <c r="T1135">
        <f>8.1</f>
        <v>8.1</v>
      </c>
      <c r="U1135">
        <f>225</f>
        <v>225</v>
      </c>
      <c r="X1135">
        <f>1</f>
        <v>1</v>
      </c>
      <c r="Y1135">
        <f>0.05</f>
        <v>0.05</v>
      </c>
      <c r="Z1135">
        <f>0</f>
        <v>0</v>
      </c>
      <c r="AA1135">
        <f>0</f>
        <v>0</v>
      </c>
      <c r="AB1135">
        <f>0</f>
        <v>0</v>
      </c>
      <c r="AC1135">
        <f>0</f>
        <v>0</v>
      </c>
      <c r="AD1135">
        <f>0</f>
        <v>0</v>
      </c>
      <c r="AE1135">
        <f>0</f>
        <v>0</v>
      </c>
      <c r="AH1135" t="s">
        <v>166</v>
      </c>
    </row>
    <row r="1136" spans="1:148" x14ac:dyDescent="0.25">
      <c r="A1136" t="s">
        <v>3620</v>
      </c>
      <c r="B1136" t="s">
        <v>148</v>
      </c>
      <c r="C1136" s="1">
        <v>45873</v>
      </c>
      <c r="D1136" t="s">
        <v>222</v>
      </c>
      <c r="E1136" t="s">
        <v>223</v>
      </c>
      <c r="F1136" t="s">
        <v>429</v>
      </c>
      <c r="G1136" t="s">
        <v>6584</v>
      </c>
      <c r="H1136">
        <v>1351</v>
      </c>
      <c r="I1136" t="s">
        <v>6584</v>
      </c>
      <c r="J1136">
        <v>648</v>
      </c>
      <c r="K1136" t="s">
        <v>5254</v>
      </c>
      <c r="L1136" t="s">
        <v>431</v>
      </c>
      <c r="M1136" t="s">
        <v>4734</v>
      </c>
      <c r="N1136" t="s">
        <v>4735</v>
      </c>
      <c r="O1136" t="s">
        <v>941</v>
      </c>
      <c r="R1136">
        <f>1</f>
        <v>1</v>
      </c>
      <c r="S1136">
        <f>17.9</f>
        <v>17.899999999999999</v>
      </c>
      <c r="T1136">
        <f>7.9</f>
        <v>7.9</v>
      </c>
      <c r="U1136">
        <f>333</f>
        <v>333</v>
      </c>
      <c r="V1136">
        <f>0.15</f>
        <v>0.15</v>
      </c>
      <c r="X1136">
        <f>1</f>
        <v>1</v>
      </c>
      <c r="Y1136">
        <f>0.11</f>
        <v>0.11</v>
      </c>
      <c r="Z1136">
        <f>0</f>
        <v>0</v>
      </c>
      <c r="AA1136">
        <f>0</f>
        <v>0</v>
      </c>
      <c r="AB1136">
        <f>0</f>
        <v>0</v>
      </c>
      <c r="AD1136">
        <f>0</f>
        <v>0</v>
      </c>
      <c r="AE1136">
        <f>0</f>
        <v>0</v>
      </c>
      <c r="AH1136" t="s">
        <v>166</v>
      </c>
      <c r="AI1136" t="s">
        <v>300</v>
      </c>
      <c r="AL1136" t="s">
        <v>168</v>
      </c>
      <c r="AM1136" t="s">
        <v>164</v>
      </c>
      <c r="AN1136">
        <f>2.3</f>
        <v>2.2999999999999998</v>
      </c>
      <c r="AO1136">
        <f>0.05</f>
        <v>0.05</v>
      </c>
      <c r="AP1136">
        <f>17</f>
        <v>17</v>
      </c>
      <c r="AQ1136">
        <f>2.2</f>
        <v>2.2000000000000002</v>
      </c>
      <c r="AR1136" t="s">
        <v>167</v>
      </c>
      <c r="AS1136">
        <f>1.8</f>
        <v>1.8</v>
      </c>
      <c r="AY1136">
        <f>0.15</f>
        <v>0.15</v>
      </c>
      <c r="AZ1136" t="s">
        <v>208</v>
      </c>
      <c r="BA1136">
        <f>0.0074</f>
        <v>7.4000000000000003E-3</v>
      </c>
      <c r="BB1136">
        <f>6.4</f>
        <v>6.4</v>
      </c>
      <c r="BC1136">
        <f>0.12</f>
        <v>0.12</v>
      </c>
      <c r="BD1136">
        <f>0.22</f>
        <v>0.22</v>
      </c>
      <c r="BE1136">
        <f>0.0023</f>
        <v>2.3E-3</v>
      </c>
      <c r="BF1136" t="s">
        <v>168</v>
      </c>
      <c r="BG1136" t="s">
        <v>237</v>
      </c>
      <c r="BH1136" t="s">
        <v>157</v>
      </c>
      <c r="BJ1136">
        <f>0.017</f>
        <v>1.7000000000000001E-2</v>
      </c>
      <c r="BK1136">
        <f>0.73</f>
        <v>0.73</v>
      </c>
      <c r="EL1136" t="s">
        <v>238</v>
      </c>
      <c r="EM1136" t="s">
        <v>238</v>
      </c>
      <c r="EN1136" t="s">
        <v>238</v>
      </c>
      <c r="EO1136" t="s">
        <v>238</v>
      </c>
      <c r="ER1136" t="s">
        <v>238</v>
      </c>
    </row>
    <row r="1137" spans="1:149" x14ac:dyDescent="0.25">
      <c r="A1137" t="s">
        <v>3621</v>
      </c>
      <c r="B1137" t="s">
        <v>148</v>
      </c>
      <c r="C1137" s="1">
        <v>45825</v>
      </c>
      <c r="D1137" t="s">
        <v>311</v>
      </c>
      <c r="E1137" t="s">
        <v>312</v>
      </c>
      <c r="F1137" t="s">
        <v>424</v>
      </c>
      <c r="G1137" t="s">
        <v>425</v>
      </c>
      <c r="H1137">
        <v>801</v>
      </c>
      <c r="I1137" t="s">
        <v>6209</v>
      </c>
      <c r="J1137">
        <v>9276</v>
      </c>
      <c r="K1137" t="s">
        <v>5254</v>
      </c>
      <c r="L1137" t="s">
        <v>387</v>
      </c>
      <c r="M1137" t="s">
        <v>3622</v>
      </c>
      <c r="N1137" t="s">
        <v>5712</v>
      </c>
      <c r="O1137" t="s">
        <v>3623</v>
      </c>
      <c r="Q1137" t="s">
        <v>6459</v>
      </c>
      <c r="R1137">
        <f>1</f>
        <v>1</v>
      </c>
      <c r="S1137">
        <f>25.2</f>
        <v>25.2</v>
      </c>
      <c r="T1137">
        <f>7.5</f>
        <v>7.5</v>
      </c>
      <c r="U1137">
        <f>415</f>
        <v>415</v>
      </c>
      <c r="V1137" t="s">
        <v>157</v>
      </c>
      <c r="X1137">
        <f>0</f>
        <v>0</v>
      </c>
      <c r="Y1137" t="s">
        <v>157</v>
      </c>
      <c r="Z1137">
        <f>0</f>
        <v>0</v>
      </c>
      <c r="AA1137" t="s">
        <v>158</v>
      </c>
      <c r="AB1137" t="s">
        <v>158</v>
      </c>
      <c r="AD1137">
        <f>0</f>
        <v>0</v>
      </c>
      <c r="AE1137">
        <f>0</f>
        <v>0</v>
      </c>
      <c r="AH1137" t="s">
        <v>157</v>
      </c>
    </row>
    <row r="1138" spans="1:149" x14ac:dyDescent="0.25">
      <c r="A1138" t="s">
        <v>3624</v>
      </c>
      <c r="B1138" t="s">
        <v>148</v>
      </c>
      <c r="C1138" s="1">
        <v>45791</v>
      </c>
      <c r="D1138" t="s">
        <v>311</v>
      </c>
      <c r="E1138" t="s">
        <v>312</v>
      </c>
      <c r="F1138" t="s">
        <v>424</v>
      </c>
      <c r="G1138" t="s">
        <v>425</v>
      </c>
      <c r="H1138">
        <v>806</v>
      </c>
      <c r="I1138" t="s">
        <v>4736</v>
      </c>
      <c r="J1138">
        <v>4002</v>
      </c>
      <c r="K1138" t="s">
        <v>5254</v>
      </c>
      <c r="L1138" t="s">
        <v>387</v>
      </c>
      <c r="M1138" t="s">
        <v>4737</v>
      </c>
      <c r="N1138" t="s">
        <v>943</v>
      </c>
      <c r="O1138" t="s">
        <v>944</v>
      </c>
      <c r="R1138">
        <f>1</f>
        <v>1</v>
      </c>
      <c r="S1138">
        <f>15</f>
        <v>15</v>
      </c>
      <c r="T1138">
        <f>7.3</f>
        <v>7.3</v>
      </c>
      <c r="U1138">
        <f>517</f>
        <v>517</v>
      </c>
      <c r="V1138">
        <f>0.12</f>
        <v>0.12</v>
      </c>
      <c r="X1138">
        <f>0</f>
        <v>0</v>
      </c>
      <c r="Y1138" t="s">
        <v>157</v>
      </c>
      <c r="Z1138">
        <f>0</f>
        <v>0</v>
      </c>
      <c r="AA1138" t="s">
        <v>158</v>
      </c>
      <c r="AB1138" t="s">
        <v>158</v>
      </c>
      <c r="AD1138">
        <f>0</f>
        <v>0</v>
      </c>
      <c r="AE1138">
        <f>0</f>
        <v>0</v>
      </c>
      <c r="AH1138" t="s">
        <v>157</v>
      </c>
    </row>
    <row r="1139" spans="1:149" x14ac:dyDescent="0.25">
      <c r="A1139" t="s">
        <v>3625</v>
      </c>
      <c r="B1139" t="s">
        <v>148</v>
      </c>
      <c r="C1139" s="1">
        <v>45769</v>
      </c>
      <c r="D1139" t="s">
        <v>222</v>
      </c>
      <c r="E1139" t="s">
        <v>223</v>
      </c>
      <c r="F1139" t="s">
        <v>224</v>
      </c>
      <c r="G1139" t="s">
        <v>6585</v>
      </c>
      <c r="H1139">
        <v>244</v>
      </c>
      <c r="I1139" t="s">
        <v>6585</v>
      </c>
      <c r="J1139">
        <v>850</v>
      </c>
      <c r="K1139" t="s">
        <v>5257</v>
      </c>
      <c r="L1139" t="s">
        <v>4963</v>
      </c>
      <c r="M1139" t="s">
        <v>5873</v>
      </c>
      <c r="N1139" t="s">
        <v>946</v>
      </c>
      <c r="O1139" t="s">
        <v>947</v>
      </c>
      <c r="Q1139" t="s">
        <v>6297</v>
      </c>
      <c r="R1139">
        <f>1</f>
        <v>1</v>
      </c>
      <c r="S1139">
        <f>9.8</f>
        <v>9.8000000000000007</v>
      </c>
      <c r="T1139">
        <f>8.3</f>
        <v>8.3000000000000007</v>
      </c>
      <c r="U1139">
        <f>324</f>
        <v>324</v>
      </c>
      <c r="X1139">
        <f>1</f>
        <v>1</v>
      </c>
      <c r="Y1139">
        <f>0.15</f>
        <v>0.15</v>
      </c>
      <c r="Z1139">
        <f>0</f>
        <v>0</v>
      </c>
      <c r="AA1139">
        <f>0</f>
        <v>0</v>
      </c>
      <c r="AB1139">
        <f>0</f>
        <v>0</v>
      </c>
      <c r="AC1139">
        <f>0</f>
        <v>0</v>
      </c>
      <c r="AD1139">
        <f>0</f>
        <v>0</v>
      </c>
      <c r="AE1139">
        <f>0</f>
        <v>0</v>
      </c>
      <c r="AH1139" t="s">
        <v>166</v>
      </c>
      <c r="AI1139">
        <f>0.55</f>
        <v>0.55000000000000004</v>
      </c>
      <c r="AL1139" t="s">
        <v>168</v>
      </c>
      <c r="AM1139" t="s">
        <v>164</v>
      </c>
      <c r="AN1139">
        <f>5.5</f>
        <v>5.5</v>
      </c>
      <c r="AO1139">
        <f>0.11</f>
        <v>0.11</v>
      </c>
      <c r="AP1139">
        <f>2.6</f>
        <v>2.6</v>
      </c>
      <c r="AQ1139">
        <f>2.6</f>
        <v>2.6</v>
      </c>
      <c r="AR1139" t="s">
        <v>167</v>
      </c>
      <c r="AS1139">
        <f>1.6</f>
        <v>1.6</v>
      </c>
      <c r="AY1139">
        <f>0.35</f>
        <v>0.35</v>
      </c>
      <c r="AZ1139">
        <f>55</f>
        <v>55</v>
      </c>
      <c r="BA1139">
        <f>0.0011</f>
        <v>1.1000000000000001E-3</v>
      </c>
      <c r="BB1139">
        <f>22</f>
        <v>22</v>
      </c>
      <c r="BC1139">
        <f>0.25</f>
        <v>0.25</v>
      </c>
      <c r="BD1139" t="s">
        <v>157</v>
      </c>
      <c r="BE1139">
        <f>0.013</f>
        <v>1.2999999999999999E-2</v>
      </c>
      <c r="BF1139">
        <f>0.032</f>
        <v>3.2000000000000001E-2</v>
      </c>
      <c r="BG1139">
        <f>0.46</f>
        <v>0.46</v>
      </c>
      <c r="BH1139">
        <f>0.11</f>
        <v>0.11</v>
      </c>
      <c r="BK1139">
        <f>0.23</f>
        <v>0.23</v>
      </c>
      <c r="EL1139">
        <f>6.2</f>
        <v>6.2</v>
      </c>
      <c r="EM1139" t="s">
        <v>238</v>
      </c>
      <c r="EN1139">
        <f>1.8</f>
        <v>1.8</v>
      </c>
      <c r="EO1139" t="s">
        <v>238</v>
      </c>
      <c r="ER1139">
        <f>8</f>
        <v>8</v>
      </c>
    </row>
    <row r="1140" spans="1:149" x14ac:dyDescent="0.25">
      <c r="A1140" t="s">
        <v>3626</v>
      </c>
      <c r="B1140" t="s">
        <v>148</v>
      </c>
      <c r="C1140" s="1">
        <v>45817</v>
      </c>
      <c r="D1140" t="s">
        <v>242</v>
      </c>
      <c r="E1140" t="s">
        <v>295</v>
      </c>
      <c r="F1140" t="s">
        <v>764</v>
      </c>
      <c r="G1140" t="s">
        <v>5142</v>
      </c>
      <c r="H1140">
        <v>1423</v>
      </c>
      <c r="I1140" t="s">
        <v>5142</v>
      </c>
      <c r="J1140">
        <v>1090</v>
      </c>
      <c r="K1140" t="s">
        <v>5254</v>
      </c>
      <c r="L1140" t="s">
        <v>393</v>
      </c>
      <c r="M1140" t="s">
        <v>1495</v>
      </c>
      <c r="N1140" t="s">
        <v>1496</v>
      </c>
      <c r="O1140" t="s">
        <v>1497</v>
      </c>
      <c r="R1140">
        <f>1</f>
        <v>1</v>
      </c>
      <c r="S1140">
        <f>17.3</f>
        <v>17.3</v>
      </c>
      <c r="T1140">
        <f>7.4</f>
        <v>7.4</v>
      </c>
      <c r="U1140">
        <f>530</f>
        <v>530</v>
      </c>
      <c r="X1140">
        <f>1</f>
        <v>1</v>
      </c>
      <c r="Y1140">
        <f>0.36</f>
        <v>0.36</v>
      </c>
      <c r="Z1140">
        <f>0</f>
        <v>0</v>
      </c>
      <c r="AA1140" t="s">
        <v>158</v>
      </c>
      <c r="AB1140" t="s">
        <v>158</v>
      </c>
      <c r="AD1140">
        <f>0</f>
        <v>0</v>
      </c>
      <c r="AE1140">
        <f>0</f>
        <v>0</v>
      </c>
      <c r="AH1140" t="s">
        <v>157</v>
      </c>
    </row>
    <row r="1141" spans="1:149" x14ac:dyDescent="0.25">
      <c r="A1141" t="s">
        <v>3627</v>
      </c>
      <c r="B1141" t="s">
        <v>148</v>
      </c>
      <c r="C1141" s="1">
        <v>45772</v>
      </c>
      <c r="D1141" t="s">
        <v>317</v>
      </c>
      <c r="E1141" t="s">
        <v>318</v>
      </c>
      <c r="F1141" t="s">
        <v>325</v>
      </c>
      <c r="G1141" t="s">
        <v>958</v>
      </c>
      <c r="H1141">
        <v>1498</v>
      </c>
      <c r="I1141" t="s">
        <v>959</v>
      </c>
      <c r="J1141">
        <v>3704</v>
      </c>
      <c r="K1141" t="s">
        <v>5254</v>
      </c>
      <c r="L1141" t="s">
        <v>431</v>
      </c>
      <c r="M1141" t="s">
        <v>4738</v>
      </c>
      <c r="N1141" t="s">
        <v>5363</v>
      </c>
      <c r="O1141" t="s">
        <v>960</v>
      </c>
      <c r="Q1141" t="s">
        <v>6327</v>
      </c>
      <c r="R1141">
        <f>1</f>
        <v>1</v>
      </c>
      <c r="S1141">
        <f>11.9</f>
        <v>11.9</v>
      </c>
      <c r="T1141">
        <f>7.9</f>
        <v>7.9</v>
      </c>
      <c r="U1141">
        <f>235</f>
        <v>235</v>
      </c>
      <c r="V1141" t="s">
        <v>209</v>
      </c>
      <c r="X1141">
        <f>0</f>
        <v>0</v>
      </c>
      <c r="Y1141" t="s">
        <v>157</v>
      </c>
      <c r="Z1141">
        <f>0</f>
        <v>0</v>
      </c>
      <c r="AA1141">
        <f>0</f>
        <v>0</v>
      </c>
      <c r="AB1141">
        <f>0</f>
        <v>0</v>
      </c>
      <c r="AD1141">
        <f>0</f>
        <v>0</v>
      </c>
      <c r="AE1141">
        <f>0</f>
        <v>0</v>
      </c>
      <c r="AH1141" t="s">
        <v>157</v>
      </c>
    </row>
    <row r="1142" spans="1:149" x14ac:dyDescent="0.25">
      <c r="A1142" t="s">
        <v>3628</v>
      </c>
      <c r="B1142" t="s">
        <v>148</v>
      </c>
      <c r="C1142" s="1">
        <v>45782</v>
      </c>
      <c r="D1142" t="s">
        <v>317</v>
      </c>
      <c r="E1142" t="s">
        <v>318</v>
      </c>
      <c r="F1142" t="s">
        <v>338</v>
      </c>
      <c r="G1142" t="s">
        <v>962</v>
      </c>
      <c r="H1142">
        <v>887</v>
      </c>
      <c r="I1142" t="s">
        <v>962</v>
      </c>
      <c r="J1142">
        <v>1025</v>
      </c>
      <c r="K1142" t="s">
        <v>5254</v>
      </c>
      <c r="L1142" t="s">
        <v>180</v>
      </c>
      <c r="M1142" t="s">
        <v>4969</v>
      </c>
      <c r="N1142" t="s">
        <v>5116</v>
      </c>
      <c r="O1142" t="s">
        <v>963</v>
      </c>
      <c r="Q1142" t="s">
        <v>6301</v>
      </c>
      <c r="R1142">
        <f>1</f>
        <v>1</v>
      </c>
      <c r="S1142">
        <f>9.1</f>
        <v>9.1</v>
      </c>
      <c r="T1142">
        <f>8</f>
        <v>8</v>
      </c>
      <c r="U1142">
        <f>200</f>
        <v>200</v>
      </c>
      <c r="X1142">
        <f>0</f>
        <v>0</v>
      </c>
      <c r="Y1142" t="s">
        <v>157</v>
      </c>
      <c r="Z1142">
        <f>0</f>
        <v>0</v>
      </c>
      <c r="AA1142">
        <f>2</f>
        <v>2</v>
      </c>
      <c r="AB1142">
        <f>0</f>
        <v>0</v>
      </c>
      <c r="AD1142">
        <f>0</f>
        <v>0</v>
      </c>
      <c r="AE1142">
        <f>0</f>
        <v>0</v>
      </c>
      <c r="AH1142" t="s">
        <v>157</v>
      </c>
      <c r="AI1142" t="s">
        <v>167</v>
      </c>
      <c r="AL1142" t="s">
        <v>168</v>
      </c>
      <c r="AM1142" t="s">
        <v>216</v>
      </c>
      <c r="AN1142">
        <f>2.5</f>
        <v>2.5</v>
      </c>
      <c r="AO1142">
        <f>0.05</f>
        <v>0.05</v>
      </c>
      <c r="AP1142">
        <f>2</f>
        <v>2</v>
      </c>
      <c r="AQ1142" t="s">
        <v>167</v>
      </c>
      <c r="AR1142" t="s">
        <v>167</v>
      </c>
      <c r="AS1142">
        <f>0.41</f>
        <v>0.41</v>
      </c>
      <c r="AY1142" t="s">
        <v>158</v>
      </c>
      <c r="AZ1142" t="s">
        <v>158</v>
      </c>
      <c r="BA1142" t="s">
        <v>216</v>
      </c>
      <c r="BB1142" t="s">
        <v>158</v>
      </c>
      <c r="BC1142" t="s">
        <v>167</v>
      </c>
      <c r="BD1142" t="s">
        <v>167</v>
      </c>
      <c r="BE1142" t="s">
        <v>216</v>
      </c>
      <c r="BF1142" t="s">
        <v>167</v>
      </c>
      <c r="BG1142" t="s">
        <v>158</v>
      </c>
      <c r="BH1142" t="s">
        <v>167</v>
      </c>
      <c r="BK1142" t="s">
        <v>158</v>
      </c>
      <c r="EP1142" t="s">
        <v>251</v>
      </c>
      <c r="EQ1142" t="s">
        <v>251</v>
      </c>
      <c r="ES1142" t="s">
        <v>251</v>
      </c>
    </row>
    <row r="1143" spans="1:149" x14ac:dyDescent="0.25">
      <c r="A1143" t="s">
        <v>3629</v>
      </c>
      <c r="B1143" t="s">
        <v>148</v>
      </c>
      <c r="C1143" s="1">
        <v>45786</v>
      </c>
      <c r="D1143" t="s">
        <v>175</v>
      </c>
      <c r="E1143" t="s">
        <v>649</v>
      </c>
      <c r="F1143" t="s">
        <v>1191</v>
      </c>
      <c r="G1143" t="s">
        <v>1523</v>
      </c>
      <c r="H1143">
        <v>281</v>
      </c>
      <c r="I1143" t="s">
        <v>1523</v>
      </c>
      <c r="J1143">
        <v>5800</v>
      </c>
      <c r="K1143" t="s">
        <v>5254</v>
      </c>
      <c r="L1143" t="s">
        <v>1524</v>
      </c>
      <c r="M1143" t="s">
        <v>4770</v>
      </c>
      <c r="N1143" t="s">
        <v>1525</v>
      </c>
      <c r="O1143" t="s">
        <v>1526</v>
      </c>
      <c r="R1143">
        <f>1</f>
        <v>1</v>
      </c>
      <c r="S1143">
        <f>17.5</f>
        <v>17.5</v>
      </c>
      <c r="T1143">
        <f>7.9</f>
        <v>7.9</v>
      </c>
      <c r="U1143">
        <f>360</f>
        <v>360</v>
      </c>
      <c r="V1143">
        <f>0.25</f>
        <v>0.25</v>
      </c>
      <c r="X1143">
        <f>1</f>
        <v>1</v>
      </c>
      <c r="Y1143">
        <f>0.14</f>
        <v>0.14000000000000001</v>
      </c>
      <c r="Z1143">
        <f>0</f>
        <v>0</v>
      </c>
      <c r="AA1143" t="s">
        <v>158</v>
      </c>
      <c r="AB1143" t="s">
        <v>158</v>
      </c>
      <c r="AD1143">
        <f>0</f>
        <v>0</v>
      </c>
      <c r="AE1143">
        <f>0</f>
        <v>0</v>
      </c>
      <c r="AH1143" t="s">
        <v>157</v>
      </c>
    </row>
    <row r="1144" spans="1:149" x14ac:dyDescent="0.25">
      <c r="A1144" t="s">
        <v>3630</v>
      </c>
      <c r="B1144" t="s">
        <v>268</v>
      </c>
      <c r="C1144" s="1">
        <v>45875</v>
      </c>
      <c r="D1144" t="s">
        <v>222</v>
      </c>
      <c r="E1144" t="s">
        <v>223</v>
      </c>
      <c r="F1144" t="s">
        <v>469</v>
      </c>
      <c r="G1144" t="s">
        <v>5874</v>
      </c>
      <c r="H1144">
        <v>253</v>
      </c>
      <c r="I1144" t="s">
        <v>5874</v>
      </c>
      <c r="J1144">
        <v>677</v>
      </c>
      <c r="K1144" t="s">
        <v>5257</v>
      </c>
      <c r="L1144" t="s">
        <v>4947</v>
      </c>
      <c r="M1144" t="s">
        <v>5364</v>
      </c>
      <c r="N1144" t="s">
        <v>5875</v>
      </c>
      <c r="O1144" t="s">
        <v>965</v>
      </c>
      <c r="R1144">
        <f>1</f>
        <v>1</v>
      </c>
      <c r="S1144">
        <f>18.2</f>
        <v>18.2</v>
      </c>
      <c r="T1144">
        <f>7.9</f>
        <v>7.9</v>
      </c>
      <c r="U1144">
        <f>390</f>
        <v>390</v>
      </c>
      <c r="X1144">
        <f>1</f>
        <v>1</v>
      </c>
      <c r="Y1144">
        <f>0.2</f>
        <v>0.2</v>
      </c>
      <c r="Z1144">
        <f>0</f>
        <v>0</v>
      </c>
      <c r="AA1144">
        <f>0</f>
        <v>0</v>
      </c>
      <c r="AB1144">
        <f>1</f>
        <v>1</v>
      </c>
      <c r="AC1144">
        <f>1</f>
        <v>1</v>
      </c>
      <c r="AD1144">
        <f>0</f>
        <v>0</v>
      </c>
      <c r="AE1144">
        <f>0</f>
        <v>0</v>
      </c>
      <c r="AH1144" t="s">
        <v>166</v>
      </c>
      <c r="AI1144">
        <f>0.85</f>
        <v>0.85</v>
      </c>
      <c r="AL1144" t="s">
        <v>168</v>
      </c>
      <c r="AM1144" t="s">
        <v>164</v>
      </c>
      <c r="AN1144">
        <f>5.5</f>
        <v>5.5</v>
      </c>
      <c r="AO1144">
        <f>0.11</f>
        <v>0.11</v>
      </c>
      <c r="AP1144">
        <f>2.9</f>
        <v>2.9</v>
      </c>
      <c r="AQ1144">
        <f>1.9</f>
        <v>1.9</v>
      </c>
      <c r="AR1144" t="s">
        <v>167</v>
      </c>
      <c r="AS1144">
        <f>1.5</f>
        <v>1.5</v>
      </c>
      <c r="AY1144">
        <f>0.13</f>
        <v>0.13</v>
      </c>
      <c r="AZ1144" t="s">
        <v>208</v>
      </c>
      <c r="BA1144">
        <f>0.0032</f>
        <v>3.2000000000000002E-3</v>
      </c>
      <c r="BB1144">
        <f>8.9</f>
        <v>8.9</v>
      </c>
      <c r="BC1144">
        <f>0.15</f>
        <v>0.15</v>
      </c>
      <c r="BD1144" t="s">
        <v>157</v>
      </c>
      <c r="BE1144">
        <f>0.0029</f>
        <v>2.8999999999999998E-3</v>
      </c>
      <c r="BF1144" t="s">
        <v>168</v>
      </c>
      <c r="BG1144" t="s">
        <v>237</v>
      </c>
      <c r="BH1144" t="s">
        <v>157</v>
      </c>
      <c r="BK1144">
        <f>0.3</f>
        <v>0.3</v>
      </c>
      <c r="EL1144">
        <f>5.5</f>
        <v>5.5</v>
      </c>
      <c r="EM1144" t="s">
        <v>238</v>
      </c>
      <c r="EN1144">
        <f>1.2</f>
        <v>1.2</v>
      </c>
      <c r="EO1144" t="s">
        <v>238</v>
      </c>
      <c r="ER1144">
        <f>6.7</f>
        <v>6.7</v>
      </c>
    </row>
    <row r="1145" spans="1:149" x14ac:dyDescent="0.25">
      <c r="A1145" t="s">
        <v>3631</v>
      </c>
      <c r="B1145" t="s">
        <v>148</v>
      </c>
      <c r="C1145" s="1">
        <v>45845</v>
      </c>
      <c r="D1145" t="s">
        <v>189</v>
      </c>
      <c r="E1145" t="s">
        <v>284</v>
      </c>
      <c r="F1145" t="s">
        <v>665</v>
      </c>
      <c r="G1145" t="s">
        <v>5143</v>
      </c>
      <c r="H1145">
        <v>326</v>
      </c>
      <c r="I1145" t="s">
        <v>5143</v>
      </c>
      <c r="J1145">
        <v>1042</v>
      </c>
      <c r="K1145" t="s">
        <v>5257</v>
      </c>
      <c r="L1145" t="s">
        <v>393</v>
      </c>
      <c r="M1145" t="s">
        <v>5144</v>
      </c>
      <c r="N1145" t="s">
        <v>5145</v>
      </c>
      <c r="O1145" t="s">
        <v>1528</v>
      </c>
      <c r="R1145">
        <f>1</f>
        <v>1</v>
      </c>
      <c r="S1145">
        <f>22.1</f>
        <v>22.1</v>
      </c>
      <c r="T1145">
        <f>8.1</f>
        <v>8.1</v>
      </c>
      <c r="U1145">
        <f>331</f>
        <v>331</v>
      </c>
      <c r="V1145" t="s">
        <v>1723</v>
      </c>
      <c r="X1145">
        <f>0</f>
        <v>0</v>
      </c>
      <c r="Y1145" t="s">
        <v>207</v>
      </c>
      <c r="Z1145">
        <f>0</f>
        <v>0</v>
      </c>
      <c r="AA1145" t="s">
        <v>158</v>
      </c>
      <c r="AB1145" t="s">
        <v>158</v>
      </c>
      <c r="AC1145">
        <f>0</f>
        <v>0</v>
      </c>
      <c r="AD1145">
        <f>0</f>
        <v>0</v>
      </c>
      <c r="AE1145">
        <f>0</f>
        <v>0</v>
      </c>
      <c r="AH1145" t="s">
        <v>166</v>
      </c>
      <c r="AI1145">
        <f>0.66</f>
        <v>0.66</v>
      </c>
      <c r="AL1145" t="s">
        <v>164</v>
      </c>
      <c r="AM1145" t="s">
        <v>165</v>
      </c>
      <c r="AN1145">
        <f>3.91</f>
        <v>3.91</v>
      </c>
      <c r="AO1145">
        <f>0.078</f>
        <v>7.8E-2</v>
      </c>
      <c r="AP1145">
        <f>2.72</f>
        <v>2.72</v>
      </c>
      <c r="AQ1145">
        <f>2.57</f>
        <v>2.57</v>
      </c>
      <c r="AR1145" t="s">
        <v>209</v>
      </c>
      <c r="AS1145">
        <f>1.5</f>
        <v>1.5</v>
      </c>
      <c r="AY1145">
        <f>0.15</f>
        <v>0.15</v>
      </c>
      <c r="AZ1145" t="s">
        <v>208</v>
      </c>
      <c r="BA1145">
        <f>0.0038</f>
        <v>3.8E-3</v>
      </c>
      <c r="BB1145">
        <f>16</f>
        <v>16</v>
      </c>
      <c r="BC1145" t="s">
        <v>209</v>
      </c>
      <c r="BD1145" t="s">
        <v>157</v>
      </c>
      <c r="BE1145">
        <f>0.012</f>
        <v>1.2E-2</v>
      </c>
      <c r="BF1145" t="s">
        <v>168</v>
      </c>
      <c r="BG1145" t="s">
        <v>237</v>
      </c>
      <c r="BH1145" t="s">
        <v>157</v>
      </c>
      <c r="BK1145">
        <f>0.37</f>
        <v>0.37</v>
      </c>
      <c r="EL1145">
        <f>18</f>
        <v>18</v>
      </c>
      <c r="EM1145" t="s">
        <v>238</v>
      </c>
      <c r="EN1145">
        <f>4.4</f>
        <v>4.4000000000000004</v>
      </c>
      <c r="EO1145">
        <f>0.9</f>
        <v>0.9</v>
      </c>
      <c r="ER1145">
        <f>23</f>
        <v>23</v>
      </c>
    </row>
    <row r="1146" spans="1:149" x14ac:dyDescent="0.25">
      <c r="A1146" t="s">
        <v>3632</v>
      </c>
      <c r="B1146" t="s">
        <v>148</v>
      </c>
      <c r="C1146" s="1">
        <v>45719</v>
      </c>
      <c r="D1146" t="s">
        <v>269</v>
      </c>
      <c r="E1146" t="s">
        <v>270</v>
      </c>
      <c r="F1146" t="s">
        <v>271</v>
      </c>
      <c r="G1146" t="s">
        <v>1530</v>
      </c>
      <c r="H1146">
        <v>595</v>
      </c>
      <c r="I1146" t="s">
        <v>1530</v>
      </c>
      <c r="J1146">
        <v>2058</v>
      </c>
      <c r="K1146" t="s">
        <v>5254</v>
      </c>
      <c r="L1146" t="s">
        <v>154</v>
      </c>
      <c r="M1146" t="s">
        <v>5954</v>
      </c>
      <c r="N1146" t="s">
        <v>5955</v>
      </c>
      <c r="O1146" t="s">
        <v>1531</v>
      </c>
      <c r="R1146">
        <f>1</f>
        <v>1</v>
      </c>
      <c r="S1146">
        <f>8.7</f>
        <v>8.6999999999999993</v>
      </c>
      <c r="T1146">
        <f>7.7</f>
        <v>7.7</v>
      </c>
      <c r="U1146">
        <f>611</f>
        <v>611</v>
      </c>
      <c r="V1146">
        <f>0.21</f>
        <v>0.21</v>
      </c>
      <c r="X1146">
        <f>0</f>
        <v>0</v>
      </c>
      <c r="Y1146" t="s">
        <v>207</v>
      </c>
      <c r="Z1146">
        <f>0</f>
        <v>0</v>
      </c>
      <c r="AA1146" t="s">
        <v>158</v>
      </c>
      <c r="AB1146">
        <f>10</f>
        <v>10</v>
      </c>
      <c r="AD1146">
        <f>0</f>
        <v>0</v>
      </c>
      <c r="AE1146">
        <f>0</f>
        <v>0</v>
      </c>
    </row>
    <row r="1147" spans="1:149" x14ac:dyDescent="0.25">
      <c r="A1147" t="s">
        <v>3633</v>
      </c>
      <c r="B1147" t="s">
        <v>148</v>
      </c>
      <c r="C1147" s="1">
        <v>45791</v>
      </c>
      <c r="D1147" t="s">
        <v>149</v>
      </c>
      <c r="E1147" t="s">
        <v>150</v>
      </c>
      <c r="F1147" t="s">
        <v>613</v>
      </c>
      <c r="G1147" t="s">
        <v>614</v>
      </c>
      <c r="H1147">
        <v>1825</v>
      </c>
      <c r="I1147" t="s">
        <v>6638</v>
      </c>
      <c r="J1147">
        <v>10500</v>
      </c>
      <c r="K1147" t="s">
        <v>5254</v>
      </c>
      <c r="M1147" t="s">
        <v>5430</v>
      </c>
      <c r="N1147" t="s">
        <v>4771</v>
      </c>
      <c r="O1147" t="s">
        <v>1535</v>
      </c>
      <c r="Q1147" t="s">
        <v>6460</v>
      </c>
      <c r="R1147">
        <f>1</f>
        <v>1</v>
      </c>
      <c r="S1147">
        <f>16.9</f>
        <v>16.899999999999999</v>
      </c>
      <c r="T1147">
        <f>7.1</f>
        <v>7.1</v>
      </c>
      <c r="U1147">
        <f>417</f>
        <v>417</v>
      </c>
      <c r="X1147">
        <f>0</f>
        <v>0</v>
      </c>
      <c r="Y1147">
        <f>0.1</f>
        <v>0.1</v>
      </c>
      <c r="Z1147">
        <f>0</f>
        <v>0</v>
      </c>
      <c r="AA1147" t="s">
        <v>158</v>
      </c>
      <c r="AB1147" t="s">
        <v>158</v>
      </c>
      <c r="AD1147">
        <f>0</f>
        <v>0</v>
      </c>
      <c r="AE1147">
        <f>0</f>
        <v>0</v>
      </c>
      <c r="AH1147" t="s">
        <v>157</v>
      </c>
      <c r="AI1147">
        <f>0.8</f>
        <v>0.8</v>
      </c>
      <c r="AL1147" t="s">
        <v>164</v>
      </c>
      <c r="AM1147" t="s">
        <v>165</v>
      </c>
      <c r="AN1147">
        <f>30</f>
        <v>30</v>
      </c>
      <c r="AO1147">
        <f>0.6</f>
        <v>0.6</v>
      </c>
      <c r="AP1147">
        <f>24</f>
        <v>24</v>
      </c>
      <c r="AQ1147">
        <f>26</f>
        <v>26</v>
      </c>
      <c r="AR1147" t="s">
        <v>157</v>
      </c>
      <c r="AS1147">
        <f>9.7</f>
        <v>9.6999999999999993</v>
      </c>
      <c r="AY1147" t="s">
        <v>167</v>
      </c>
      <c r="AZ1147" t="s">
        <v>158</v>
      </c>
      <c r="BA1147">
        <f>0.02</f>
        <v>0.02</v>
      </c>
      <c r="BB1147" t="s">
        <v>158</v>
      </c>
      <c r="BC1147" t="s">
        <v>166</v>
      </c>
      <c r="BD1147" t="s">
        <v>167</v>
      </c>
      <c r="BE1147">
        <f>0.0043</f>
        <v>4.3E-3</v>
      </c>
      <c r="BF1147" t="s">
        <v>168</v>
      </c>
      <c r="BG1147" t="s">
        <v>167</v>
      </c>
      <c r="BH1147" t="s">
        <v>167</v>
      </c>
      <c r="BK1147">
        <f>0.44</f>
        <v>0.44</v>
      </c>
      <c r="BL1147" t="s">
        <v>168</v>
      </c>
      <c r="BM1147" t="s">
        <v>168</v>
      </c>
      <c r="BN1147" t="s">
        <v>168</v>
      </c>
      <c r="BO1147" t="s">
        <v>168</v>
      </c>
      <c r="BP1147" t="s">
        <v>168</v>
      </c>
      <c r="BQ1147" t="s">
        <v>168</v>
      </c>
      <c r="BR1147" t="s">
        <v>168</v>
      </c>
      <c r="BS1147" t="s">
        <v>168</v>
      </c>
      <c r="BT1147" t="s">
        <v>216</v>
      </c>
      <c r="BU1147" t="s">
        <v>168</v>
      </c>
      <c r="BV1147" t="s">
        <v>209</v>
      </c>
      <c r="BW1147" t="s">
        <v>209</v>
      </c>
      <c r="BX1147" t="s">
        <v>209</v>
      </c>
      <c r="BY1147" t="s">
        <v>209</v>
      </c>
      <c r="BZ1147" t="s">
        <v>216</v>
      </c>
      <c r="CA1147" t="s">
        <v>216</v>
      </c>
      <c r="CB1147" t="s">
        <v>168</v>
      </c>
      <c r="CC1147" t="s">
        <v>168</v>
      </c>
      <c r="CD1147" t="s">
        <v>216</v>
      </c>
      <c r="CE1147" t="s">
        <v>209</v>
      </c>
      <c r="CF1147">
        <f>0.042</f>
        <v>4.2000000000000003E-2</v>
      </c>
      <c r="CG1147" t="s">
        <v>168</v>
      </c>
      <c r="CH1147" t="s">
        <v>165</v>
      </c>
      <c r="CI1147" t="s">
        <v>216</v>
      </c>
      <c r="CJ1147" t="s">
        <v>216</v>
      </c>
      <c r="CK1147" t="s">
        <v>216</v>
      </c>
      <c r="CL1147" t="s">
        <v>216</v>
      </c>
      <c r="CM1147" t="s">
        <v>216</v>
      </c>
      <c r="CN1147" t="s">
        <v>216</v>
      </c>
      <c r="CO1147" t="s">
        <v>216</v>
      </c>
      <c r="CP1147" t="s">
        <v>216</v>
      </c>
      <c r="CQ1147" t="s">
        <v>216</v>
      </c>
      <c r="CR1147" t="s">
        <v>216</v>
      </c>
      <c r="CS1147" t="s">
        <v>216</v>
      </c>
      <c r="CT1147" t="s">
        <v>216</v>
      </c>
      <c r="CU1147" t="s">
        <v>216</v>
      </c>
      <c r="CV1147" t="s">
        <v>216</v>
      </c>
      <c r="CW1147" t="s">
        <v>216</v>
      </c>
      <c r="CX1147" t="s">
        <v>216</v>
      </c>
      <c r="CY1147" t="s">
        <v>216</v>
      </c>
      <c r="CZ1147" t="s">
        <v>216</v>
      </c>
      <c r="DA1147" t="s">
        <v>168</v>
      </c>
      <c r="DB1147" t="s">
        <v>216</v>
      </c>
      <c r="DC1147" t="s">
        <v>216</v>
      </c>
      <c r="DD1147" t="s">
        <v>216</v>
      </c>
      <c r="DE1147" t="s">
        <v>168</v>
      </c>
      <c r="DF1147" t="s">
        <v>168</v>
      </c>
      <c r="DG1147" t="s">
        <v>216</v>
      </c>
      <c r="DH1147" t="s">
        <v>216</v>
      </c>
      <c r="DI1147" t="s">
        <v>216</v>
      </c>
      <c r="DJ1147" t="s">
        <v>216</v>
      </c>
      <c r="DK1147" t="s">
        <v>168</v>
      </c>
      <c r="DL1147" t="s">
        <v>216</v>
      </c>
      <c r="DM1147" t="s">
        <v>216</v>
      </c>
      <c r="DN1147" t="s">
        <v>216</v>
      </c>
      <c r="DO1147" t="s">
        <v>216</v>
      </c>
      <c r="DP1147" t="s">
        <v>168</v>
      </c>
      <c r="DQ1147" t="s">
        <v>216</v>
      </c>
      <c r="DR1147" t="s">
        <v>168</v>
      </c>
      <c r="DS1147" t="s">
        <v>168</v>
      </c>
      <c r="DT1147" t="s">
        <v>168</v>
      </c>
      <c r="DU1147" t="s">
        <v>168</v>
      </c>
      <c r="DV1147" t="s">
        <v>168</v>
      </c>
      <c r="DW1147" t="s">
        <v>168</v>
      </c>
      <c r="DX1147" t="s">
        <v>168</v>
      </c>
      <c r="DY1147" t="s">
        <v>168</v>
      </c>
      <c r="DZ1147" t="s">
        <v>209</v>
      </c>
      <c r="EA1147" t="s">
        <v>216</v>
      </c>
      <c r="EB1147" t="s">
        <v>168</v>
      </c>
      <c r="EC1147" t="s">
        <v>168</v>
      </c>
      <c r="ED1147" t="s">
        <v>209</v>
      </c>
      <c r="EE1147" t="s">
        <v>168</v>
      </c>
      <c r="EL1147">
        <f>0.79</f>
        <v>0.79</v>
      </c>
      <c r="EM1147">
        <f>0.39</f>
        <v>0.39</v>
      </c>
      <c r="EN1147">
        <f>1.5</f>
        <v>1.5</v>
      </c>
      <c r="EO1147">
        <f>1.2</f>
        <v>1.2</v>
      </c>
      <c r="EP1147" t="s">
        <v>157</v>
      </c>
      <c r="EQ1147" t="s">
        <v>157</v>
      </c>
      <c r="ER1147">
        <f>3.9</f>
        <v>3.9</v>
      </c>
      <c r="ES1147" t="s">
        <v>166</v>
      </c>
    </row>
    <row r="1148" spans="1:149" x14ac:dyDescent="0.25">
      <c r="A1148" t="s">
        <v>3634</v>
      </c>
      <c r="B1148" t="s">
        <v>268</v>
      </c>
      <c r="C1148" s="1">
        <v>45722</v>
      </c>
      <c r="D1148" t="s">
        <v>242</v>
      </c>
      <c r="E1148" t="s">
        <v>295</v>
      </c>
      <c r="F1148" t="s">
        <v>5366</v>
      </c>
      <c r="G1148" t="s">
        <v>5876</v>
      </c>
      <c r="H1148">
        <v>831</v>
      </c>
      <c r="I1148" t="s">
        <v>5876</v>
      </c>
      <c r="J1148">
        <v>1100</v>
      </c>
      <c r="K1148" t="s">
        <v>5254</v>
      </c>
      <c r="L1148" t="s">
        <v>393</v>
      </c>
      <c r="M1148" t="s">
        <v>970</v>
      </c>
      <c r="N1148" t="s">
        <v>5367</v>
      </c>
      <c r="O1148" t="s">
        <v>971</v>
      </c>
      <c r="R1148">
        <f>1</f>
        <v>1</v>
      </c>
      <c r="S1148">
        <f>9.3</f>
        <v>9.3000000000000007</v>
      </c>
      <c r="T1148">
        <f>7.7</f>
        <v>7.7</v>
      </c>
      <c r="U1148">
        <f>451</f>
        <v>451</v>
      </c>
      <c r="X1148">
        <f>0</f>
        <v>0</v>
      </c>
      <c r="Y1148" t="s">
        <v>157</v>
      </c>
      <c r="Z1148">
        <f>0</f>
        <v>0</v>
      </c>
      <c r="AA1148">
        <f>182</f>
        <v>182</v>
      </c>
      <c r="AB1148" t="s">
        <v>158</v>
      </c>
      <c r="AD1148">
        <f>0</f>
        <v>0</v>
      </c>
      <c r="AE1148">
        <f>0</f>
        <v>0</v>
      </c>
      <c r="AH1148" t="s">
        <v>157</v>
      </c>
    </row>
    <row r="1149" spans="1:149" x14ac:dyDescent="0.25">
      <c r="A1149" t="s">
        <v>3635</v>
      </c>
      <c r="B1149" t="s">
        <v>148</v>
      </c>
      <c r="C1149" s="1">
        <v>45789</v>
      </c>
      <c r="D1149" t="s">
        <v>175</v>
      </c>
      <c r="E1149" t="s">
        <v>649</v>
      </c>
      <c r="F1149" t="s">
        <v>685</v>
      </c>
      <c r="G1149" t="s">
        <v>6559</v>
      </c>
      <c r="H1149">
        <v>1022</v>
      </c>
      <c r="I1149" t="s">
        <v>6559</v>
      </c>
      <c r="J1149">
        <v>8960</v>
      </c>
      <c r="K1149" t="s">
        <v>5257</v>
      </c>
      <c r="L1149" t="s">
        <v>154</v>
      </c>
      <c r="M1149" t="s">
        <v>973</v>
      </c>
      <c r="N1149" t="s">
        <v>974</v>
      </c>
      <c r="O1149" t="s">
        <v>975</v>
      </c>
      <c r="Q1149" t="s">
        <v>6461</v>
      </c>
      <c r="R1149">
        <f>1</f>
        <v>1</v>
      </c>
      <c r="S1149">
        <f>14.5</f>
        <v>14.5</v>
      </c>
      <c r="T1149">
        <f>7.6</f>
        <v>7.6</v>
      </c>
      <c r="U1149">
        <f>531</f>
        <v>531</v>
      </c>
      <c r="V1149">
        <f>0.18</f>
        <v>0.18</v>
      </c>
      <c r="X1149">
        <f>0</f>
        <v>0</v>
      </c>
      <c r="Y1149" t="s">
        <v>157</v>
      </c>
      <c r="Z1149">
        <f>0</f>
        <v>0</v>
      </c>
      <c r="AA1149" t="s">
        <v>158</v>
      </c>
      <c r="AB1149" t="s">
        <v>158</v>
      </c>
      <c r="AC1149">
        <f>0</f>
        <v>0</v>
      </c>
      <c r="AD1149">
        <f>0</f>
        <v>0</v>
      </c>
      <c r="AE1149">
        <f>0</f>
        <v>0</v>
      </c>
      <c r="AH1149" t="s">
        <v>157</v>
      </c>
    </row>
    <row r="1150" spans="1:149" x14ac:dyDescent="0.25">
      <c r="A1150" t="s">
        <v>3636</v>
      </c>
      <c r="B1150" t="s">
        <v>148</v>
      </c>
      <c r="C1150" s="1">
        <v>45726</v>
      </c>
      <c r="D1150" t="s">
        <v>269</v>
      </c>
      <c r="E1150" t="s">
        <v>295</v>
      </c>
      <c r="F1150" t="s">
        <v>331</v>
      </c>
      <c r="G1150" t="s">
        <v>1556</v>
      </c>
      <c r="H1150">
        <v>305</v>
      </c>
      <c r="I1150" t="s">
        <v>1556</v>
      </c>
      <c r="J1150">
        <v>1959</v>
      </c>
      <c r="K1150" t="s">
        <v>5254</v>
      </c>
      <c r="L1150" t="s">
        <v>431</v>
      </c>
      <c r="M1150" t="s">
        <v>5963</v>
      </c>
      <c r="N1150" t="s">
        <v>1557</v>
      </c>
      <c r="O1150" t="s">
        <v>1558</v>
      </c>
      <c r="R1150">
        <f>1</f>
        <v>1</v>
      </c>
      <c r="S1150">
        <f>11.5</f>
        <v>11.5</v>
      </c>
      <c r="T1150">
        <f>7.8</f>
        <v>7.8</v>
      </c>
      <c r="U1150">
        <f>515</f>
        <v>515</v>
      </c>
      <c r="V1150">
        <f>0.12</f>
        <v>0.12</v>
      </c>
      <c r="X1150">
        <f>0</f>
        <v>0</v>
      </c>
      <c r="Y1150">
        <f>0.31</f>
        <v>0.31</v>
      </c>
      <c r="Z1150">
        <f>0</f>
        <v>0</v>
      </c>
      <c r="AA1150" t="s">
        <v>158</v>
      </c>
      <c r="AB1150" t="s">
        <v>158</v>
      </c>
      <c r="AD1150">
        <f>0</f>
        <v>0</v>
      </c>
      <c r="AE1150">
        <f>0</f>
        <v>0</v>
      </c>
    </row>
    <row r="1151" spans="1:149" x14ac:dyDescent="0.25">
      <c r="A1151" t="s">
        <v>3637</v>
      </c>
      <c r="B1151" t="s">
        <v>148</v>
      </c>
      <c r="C1151" s="1">
        <v>45880</v>
      </c>
      <c r="D1151" t="s">
        <v>618</v>
      </c>
      <c r="E1151" t="s">
        <v>619</v>
      </c>
      <c r="F1151" t="s">
        <v>620</v>
      </c>
      <c r="G1151" t="s">
        <v>6556</v>
      </c>
      <c r="H1151">
        <v>8</v>
      </c>
      <c r="I1151" t="s">
        <v>6556</v>
      </c>
      <c r="J1151">
        <v>4770</v>
      </c>
      <c r="K1151" t="s">
        <v>5257</v>
      </c>
      <c r="L1151" t="s">
        <v>387</v>
      </c>
      <c r="M1151" t="s">
        <v>5877</v>
      </c>
      <c r="N1151" t="s">
        <v>5878</v>
      </c>
      <c r="O1151" t="s">
        <v>984</v>
      </c>
      <c r="R1151">
        <f>1</f>
        <v>1</v>
      </c>
      <c r="S1151">
        <f>20.1</f>
        <v>20.100000000000001</v>
      </c>
      <c r="T1151">
        <f>7.5</f>
        <v>7.5</v>
      </c>
      <c r="U1151">
        <f>627</f>
        <v>627</v>
      </c>
      <c r="X1151">
        <f>0</f>
        <v>0</v>
      </c>
      <c r="Y1151" t="s">
        <v>157</v>
      </c>
      <c r="Z1151">
        <f>0</f>
        <v>0</v>
      </c>
      <c r="AA1151" t="s">
        <v>158</v>
      </c>
      <c r="AB1151" t="s">
        <v>158</v>
      </c>
      <c r="AD1151">
        <f>0</f>
        <v>0</v>
      </c>
      <c r="AE1151">
        <f>0</f>
        <v>0</v>
      </c>
      <c r="AH1151" t="s">
        <v>157</v>
      </c>
    </row>
    <row r="1152" spans="1:149" x14ac:dyDescent="0.25">
      <c r="A1152" t="s">
        <v>3638</v>
      </c>
      <c r="B1152" t="s">
        <v>148</v>
      </c>
      <c r="C1152" s="1">
        <v>45714</v>
      </c>
      <c r="D1152" t="s">
        <v>311</v>
      </c>
      <c r="E1152" t="s">
        <v>312</v>
      </c>
      <c r="F1152" t="s">
        <v>418</v>
      </c>
      <c r="G1152" t="s">
        <v>419</v>
      </c>
      <c r="H1152">
        <v>1587</v>
      </c>
      <c r="I1152" t="s">
        <v>5319</v>
      </c>
      <c r="J1152">
        <v>9300</v>
      </c>
      <c r="K1152" t="s">
        <v>5254</v>
      </c>
      <c r="M1152" t="s">
        <v>5713</v>
      </c>
      <c r="N1152" t="s">
        <v>5714</v>
      </c>
      <c r="O1152" t="s">
        <v>3639</v>
      </c>
      <c r="R1152">
        <f>1</f>
        <v>1</v>
      </c>
      <c r="S1152">
        <f>7.4</f>
        <v>7.4</v>
      </c>
      <c r="T1152">
        <f>7.3</f>
        <v>7.3</v>
      </c>
      <c r="U1152">
        <f>458</f>
        <v>458</v>
      </c>
      <c r="X1152">
        <f>0</f>
        <v>0</v>
      </c>
      <c r="Y1152" t="s">
        <v>157</v>
      </c>
      <c r="Z1152">
        <f>0</f>
        <v>0</v>
      </c>
      <c r="AA1152" t="s">
        <v>158</v>
      </c>
      <c r="AB1152" t="s">
        <v>158</v>
      </c>
      <c r="AD1152">
        <f>0</f>
        <v>0</v>
      </c>
      <c r="AE1152">
        <f>0</f>
        <v>0</v>
      </c>
      <c r="AH1152" t="s">
        <v>157</v>
      </c>
    </row>
    <row r="1153" spans="1:149" x14ac:dyDescent="0.25">
      <c r="A1153" t="s">
        <v>3640</v>
      </c>
      <c r="B1153" t="s">
        <v>148</v>
      </c>
      <c r="C1153" s="1">
        <v>45824</v>
      </c>
      <c r="D1153" t="s">
        <v>269</v>
      </c>
      <c r="E1153" t="s">
        <v>270</v>
      </c>
      <c r="F1153" t="s">
        <v>271</v>
      </c>
      <c r="G1153" t="s">
        <v>5967</v>
      </c>
      <c r="H1153">
        <v>187</v>
      </c>
      <c r="I1153" t="s">
        <v>5968</v>
      </c>
      <c r="J1153">
        <v>2014</v>
      </c>
      <c r="K1153" t="s">
        <v>5257</v>
      </c>
      <c r="L1153" t="s">
        <v>154</v>
      </c>
      <c r="M1153" t="s">
        <v>1572</v>
      </c>
      <c r="N1153" t="s">
        <v>5969</v>
      </c>
      <c r="O1153" t="s">
        <v>1573</v>
      </c>
      <c r="Q1153" t="s">
        <v>2878</v>
      </c>
      <c r="R1153">
        <f>1</f>
        <v>1</v>
      </c>
      <c r="S1153">
        <f>15.7</f>
        <v>15.7</v>
      </c>
      <c r="T1153">
        <f>7.6</f>
        <v>7.6</v>
      </c>
      <c r="U1153">
        <f>509</f>
        <v>509</v>
      </c>
      <c r="X1153">
        <f>0</f>
        <v>0</v>
      </c>
      <c r="Y1153">
        <f>0.41</f>
        <v>0.41</v>
      </c>
      <c r="Z1153">
        <f>0</f>
        <v>0</v>
      </c>
      <c r="AA1153" t="s">
        <v>158</v>
      </c>
      <c r="AB1153" t="s">
        <v>158</v>
      </c>
      <c r="AC1153">
        <f>0</f>
        <v>0</v>
      </c>
      <c r="AD1153">
        <f>0</f>
        <v>0</v>
      </c>
      <c r="AE1153">
        <f>0</f>
        <v>0</v>
      </c>
      <c r="AH1153" t="s">
        <v>166</v>
      </c>
      <c r="AI1153" t="s">
        <v>300</v>
      </c>
      <c r="AL1153" t="s">
        <v>216</v>
      </c>
      <c r="AM1153" t="s">
        <v>266</v>
      </c>
      <c r="AN1153">
        <f>5.21</f>
        <v>5.21</v>
      </c>
      <c r="AO1153">
        <f>0.104</f>
        <v>0.104</v>
      </c>
      <c r="AP1153">
        <f>3.3</f>
        <v>3.3</v>
      </c>
      <c r="AQ1153">
        <f>1.88</f>
        <v>1.88</v>
      </c>
      <c r="AR1153">
        <f>0.053</f>
        <v>5.2999999999999999E-2</v>
      </c>
      <c r="AS1153">
        <f>1.2</f>
        <v>1.2</v>
      </c>
      <c r="AY1153" t="s">
        <v>157</v>
      </c>
      <c r="AZ1153" t="s">
        <v>208</v>
      </c>
      <c r="BA1153">
        <f>0.0014</f>
        <v>1.4E-3</v>
      </c>
      <c r="BB1153" t="s">
        <v>1417</v>
      </c>
      <c r="BC1153" t="s">
        <v>209</v>
      </c>
      <c r="BD1153">
        <f>0.16</f>
        <v>0.16</v>
      </c>
      <c r="BE1153">
        <f>0.0029</f>
        <v>2.8999999999999998E-3</v>
      </c>
      <c r="BF1153">
        <f>0.021</f>
        <v>2.1000000000000001E-2</v>
      </c>
      <c r="BG1153">
        <f>0.49</f>
        <v>0.49</v>
      </c>
      <c r="BH1153" t="s">
        <v>157</v>
      </c>
      <c r="BK1153">
        <f>0.3</f>
        <v>0.3</v>
      </c>
      <c r="BL1153" t="s">
        <v>3641</v>
      </c>
      <c r="BM1153" t="s">
        <v>209</v>
      </c>
      <c r="BN1153" t="s">
        <v>164</v>
      </c>
      <c r="BO1153" t="s">
        <v>164</v>
      </c>
      <c r="BP1153" t="s">
        <v>1921</v>
      </c>
      <c r="BQ1153" t="s">
        <v>164</v>
      </c>
      <c r="BR1153" t="s">
        <v>165</v>
      </c>
      <c r="BS1153" t="s">
        <v>209</v>
      </c>
      <c r="BT1153" t="s">
        <v>266</v>
      </c>
      <c r="BU1153" t="s">
        <v>1922</v>
      </c>
      <c r="BV1153" t="s">
        <v>207</v>
      </c>
      <c r="BW1153" t="s">
        <v>207</v>
      </c>
      <c r="BX1153" t="s">
        <v>207</v>
      </c>
      <c r="BY1153" t="s">
        <v>207</v>
      </c>
      <c r="BZ1153" t="s">
        <v>217</v>
      </c>
      <c r="CA1153" t="s">
        <v>266</v>
      </c>
      <c r="CB1153" t="s">
        <v>1923</v>
      </c>
      <c r="CC1153" t="s">
        <v>1924</v>
      </c>
      <c r="CD1153" t="s">
        <v>216</v>
      </c>
      <c r="CE1153" t="s">
        <v>207</v>
      </c>
      <c r="CF1153" t="s">
        <v>3642</v>
      </c>
      <c r="CG1153" t="s">
        <v>1925</v>
      </c>
      <c r="CH1153" t="s">
        <v>216</v>
      </c>
      <c r="CI1153">
        <f>0.02</f>
        <v>0.02</v>
      </c>
      <c r="CJ1153" t="s">
        <v>216</v>
      </c>
      <c r="CK1153" t="s">
        <v>1924</v>
      </c>
      <c r="CL1153" t="s">
        <v>1926</v>
      </c>
      <c r="CM1153" t="s">
        <v>1924</v>
      </c>
      <c r="CN1153" t="s">
        <v>266</v>
      </c>
      <c r="CO1153" t="s">
        <v>266</v>
      </c>
      <c r="CP1153" t="s">
        <v>216</v>
      </c>
      <c r="CQ1153" t="s">
        <v>217</v>
      </c>
      <c r="CR1153">
        <f>0.039</f>
        <v>3.9E-2</v>
      </c>
      <c r="CS1153" t="s">
        <v>1927</v>
      </c>
      <c r="CT1153" t="s">
        <v>1925</v>
      </c>
      <c r="CU1153" t="s">
        <v>1926</v>
      </c>
      <c r="CV1153" t="s">
        <v>266</v>
      </c>
      <c r="CW1153" t="s">
        <v>1928</v>
      </c>
      <c r="CX1153" t="s">
        <v>1924</v>
      </c>
      <c r="CY1153" t="s">
        <v>216</v>
      </c>
      <c r="CZ1153" t="s">
        <v>217</v>
      </c>
      <c r="DA1153" t="s">
        <v>1926</v>
      </c>
      <c r="DB1153" t="s">
        <v>1922</v>
      </c>
      <c r="DC1153" t="s">
        <v>1924</v>
      </c>
      <c r="DD1153" t="s">
        <v>1922</v>
      </c>
      <c r="DE1153" t="s">
        <v>216</v>
      </c>
      <c r="DF1153" t="s">
        <v>216</v>
      </c>
      <c r="DG1153" t="s">
        <v>1924</v>
      </c>
      <c r="DH1153" t="s">
        <v>1928</v>
      </c>
      <c r="DI1153" t="s">
        <v>1922</v>
      </c>
      <c r="DJ1153" t="s">
        <v>249</v>
      </c>
      <c r="DK1153" t="s">
        <v>1928</v>
      </c>
      <c r="DL1153" t="s">
        <v>1929</v>
      </c>
      <c r="DM1153" t="s">
        <v>1922</v>
      </c>
      <c r="DN1153" t="s">
        <v>165</v>
      </c>
      <c r="DO1153" t="s">
        <v>249</v>
      </c>
      <c r="DP1153" t="s">
        <v>165</v>
      </c>
      <c r="DQ1153" t="s">
        <v>1927</v>
      </c>
      <c r="DR1153" t="s">
        <v>1928</v>
      </c>
      <c r="DS1153" t="s">
        <v>1928</v>
      </c>
      <c r="DT1153" t="s">
        <v>249</v>
      </c>
      <c r="DU1153" t="s">
        <v>1922</v>
      </c>
      <c r="DV1153" t="s">
        <v>1930</v>
      </c>
      <c r="DW1153" t="s">
        <v>216</v>
      </c>
      <c r="DX1153" t="s">
        <v>216</v>
      </c>
      <c r="DY1153" t="s">
        <v>216</v>
      </c>
      <c r="DZ1153" t="s">
        <v>157</v>
      </c>
      <c r="EA1153" t="s">
        <v>1922</v>
      </c>
      <c r="EB1153" t="s">
        <v>1927</v>
      </c>
      <c r="EC1153" t="s">
        <v>207</v>
      </c>
      <c r="ED1153" t="s">
        <v>207</v>
      </c>
      <c r="EE1153" t="s">
        <v>1928</v>
      </c>
      <c r="EL1153" t="s">
        <v>237</v>
      </c>
      <c r="EM1153" t="s">
        <v>238</v>
      </c>
      <c r="EN1153" t="s">
        <v>300</v>
      </c>
      <c r="EO1153" t="s">
        <v>300</v>
      </c>
      <c r="ER1153" t="s">
        <v>238</v>
      </c>
    </row>
    <row r="1154" spans="1:149" x14ac:dyDescent="0.25">
      <c r="A1154" t="s">
        <v>3643</v>
      </c>
      <c r="B1154" t="s">
        <v>148</v>
      </c>
      <c r="C1154" s="1">
        <v>45867</v>
      </c>
      <c r="D1154" t="s">
        <v>269</v>
      </c>
      <c r="E1154" t="s">
        <v>270</v>
      </c>
      <c r="F1154" t="s">
        <v>754</v>
      </c>
      <c r="G1154" t="s">
        <v>1575</v>
      </c>
      <c r="H1154">
        <v>227</v>
      </c>
      <c r="I1154" t="s">
        <v>1576</v>
      </c>
      <c r="J1154">
        <v>1865</v>
      </c>
      <c r="K1154" t="s">
        <v>5254</v>
      </c>
      <c r="L1154" t="s">
        <v>431</v>
      </c>
      <c r="M1154" t="s">
        <v>1577</v>
      </c>
      <c r="N1154" t="s">
        <v>4772</v>
      </c>
      <c r="O1154" t="s">
        <v>1578</v>
      </c>
      <c r="R1154">
        <f>1</f>
        <v>1</v>
      </c>
      <c r="S1154">
        <f>20.1</f>
        <v>20.100000000000001</v>
      </c>
      <c r="T1154">
        <f>7.7</f>
        <v>7.7</v>
      </c>
      <c r="U1154">
        <f>533</f>
        <v>533</v>
      </c>
      <c r="X1154">
        <f>0</f>
        <v>0</v>
      </c>
      <c r="Y1154">
        <f>0.1</f>
        <v>0.1</v>
      </c>
      <c r="Z1154">
        <f>0</f>
        <v>0</v>
      </c>
      <c r="AA1154" t="s">
        <v>158</v>
      </c>
      <c r="AB1154" t="s">
        <v>158</v>
      </c>
      <c r="AD1154">
        <f>0</f>
        <v>0</v>
      </c>
      <c r="AE1154">
        <f>0</f>
        <v>0</v>
      </c>
      <c r="AH1154" t="s">
        <v>166</v>
      </c>
      <c r="AI1154" t="s">
        <v>300</v>
      </c>
      <c r="AL1154" t="s">
        <v>216</v>
      </c>
      <c r="AM1154" t="s">
        <v>266</v>
      </c>
      <c r="AN1154">
        <f>6.6</f>
        <v>6.6</v>
      </c>
      <c r="AO1154">
        <f>0.132</f>
        <v>0.13200000000000001</v>
      </c>
      <c r="AP1154">
        <f>8.7</f>
        <v>8.6999999999999993</v>
      </c>
      <c r="AQ1154">
        <f>4.98</f>
        <v>4.9800000000000004</v>
      </c>
      <c r="AR1154" t="s">
        <v>209</v>
      </c>
      <c r="AS1154">
        <f>2.4</f>
        <v>2.4</v>
      </c>
      <c r="AY1154" t="s">
        <v>157</v>
      </c>
      <c r="AZ1154" t="s">
        <v>208</v>
      </c>
      <c r="BA1154">
        <f>0.0055</f>
        <v>5.4999999999999997E-3</v>
      </c>
      <c r="BB1154">
        <f>3</f>
        <v>3</v>
      </c>
      <c r="BC1154" t="s">
        <v>209</v>
      </c>
      <c r="BD1154">
        <f>0.55</f>
        <v>0.55000000000000004</v>
      </c>
      <c r="BE1154">
        <f>0.00084</f>
        <v>8.4000000000000003E-4</v>
      </c>
      <c r="BF1154" t="s">
        <v>168</v>
      </c>
      <c r="BG1154" t="s">
        <v>237</v>
      </c>
      <c r="BH1154">
        <f>0.14</f>
        <v>0.14000000000000001</v>
      </c>
      <c r="BK1154">
        <f>0.65</f>
        <v>0.65</v>
      </c>
      <c r="EL1154">
        <f>1</f>
        <v>1</v>
      </c>
      <c r="EM1154" t="s">
        <v>238</v>
      </c>
      <c r="EN1154">
        <f>1.1</f>
        <v>1.1000000000000001</v>
      </c>
      <c r="EO1154">
        <f>0.9</f>
        <v>0.9</v>
      </c>
      <c r="ER1154">
        <f>3</f>
        <v>3</v>
      </c>
    </row>
    <row r="1155" spans="1:149" x14ac:dyDescent="0.25">
      <c r="A1155" t="s">
        <v>3644</v>
      </c>
      <c r="B1155" t="s">
        <v>148</v>
      </c>
      <c r="C1155" s="1">
        <v>45790</v>
      </c>
      <c r="D1155" t="s">
        <v>175</v>
      </c>
      <c r="E1155" t="s">
        <v>284</v>
      </c>
      <c r="F1155" t="s">
        <v>678</v>
      </c>
      <c r="G1155" t="s">
        <v>679</v>
      </c>
      <c r="H1155">
        <v>642</v>
      </c>
      <c r="I1155" t="s">
        <v>680</v>
      </c>
      <c r="J1155">
        <v>9359</v>
      </c>
      <c r="K1155" t="s">
        <v>5257</v>
      </c>
      <c r="L1155" t="s">
        <v>681</v>
      </c>
      <c r="M1155" t="s">
        <v>999</v>
      </c>
      <c r="N1155" t="s">
        <v>1000</v>
      </c>
      <c r="O1155" t="s">
        <v>1001</v>
      </c>
      <c r="Q1155" t="s">
        <v>6311</v>
      </c>
      <c r="R1155">
        <f>1</f>
        <v>1</v>
      </c>
      <c r="S1155">
        <f>14.3</f>
        <v>14.3</v>
      </c>
      <c r="T1155">
        <f>7.7</f>
        <v>7.7</v>
      </c>
      <c r="U1155">
        <f>479</f>
        <v>479</v>
      </c>
      <c r="V1155">
        <f>0.06</f>
        <v>0.06</v>
      </c>
      <c r="W1155">
        <f>0.16</f>
        <v>0.16</v>
      </c>
      <c r="X1155">
        <f>0</f>
        <v>0</v>
      </c>
      <c r="Y1155" t="s">
        <v>157</v>
      </c>
      <c r="Z1155">
        <f>0</f>
        <v>0</v>
      </c>
      <c r="AA1155" t="s">
        <v>158</v>
      </c>
      <c r="AB1155" t="s">
        <v>158</v>
      </c>
      <c r="AC1155">
        <f>0</f>
        <v>0</v>
      </c>
      <c r="AD1155">
        <f>0</f>
        <v>0</v>
      </c>
      <c r="AE1155">
        <f>0</f>
        <v>0</v>
      </c>
      <c r="AH1155" t="s">
        <v>157</v>
      </c>
    </row>
    <row r="1156" spans="1:149" x14ac:dyDescent="0.25">
      <c r="A1156" t="s">
        <v>3645</v>
      </c>
      <c r="B1156" t="s">
        <v>148</v>
      </c>
      <c r="C1156" s="1">
        <v>45880</v>
      </c>
      <c r="D1156" t="s">
        <v>618</v>
      </c>
      <c r="E1156" t="s">
        <v>619</v>
      </c>
      <c r="F1156" t="s">
        <v>620</v>
      </c>
      <c r="G1156" t="s">
        <v>6556</v>
      </c>
      <c r="H1156">
        <v>8</v>
      </c>
      <c r="I1156" t="s">
        <v>6556</v>
      </c>
      <c r="J1156">
        <v>4770</v>
      </c>
      <c r="K1156" t="s">
        <v>5257</v>
      </c>
      <c r="L1156" t="s">
        <v>387</v>
      </c>
      <c r="M1156" t="s">
        <v>1003</v>
      </c>
      <c r="N1156" t="s">
        <v>5884</v>
      </c>
      <c r="O1156" t="s">
        <v>1004</v>
      </c>
      <c r="R1156">
        <f>1</f>
        <v>1</v>
      </c>
      <c r="S1156">
        <f>20.5</f>
        <v>20.5</v>
      </c>
      <c r="T1156">
        <f>7.5</f>
        <v>7.5</v>
      </c>
      <c r="U1156">
        <f>629</f>
        <v>629</v>
      </c>
      <c r="X1156">
        <f>0</f>
        <v>0</v>
      </c>
      <c r="Y1156" t="s">
        <v>157</v>
      </c>
      <c r="Z1156">
        <f>0</f>
        <v>0</v>
      </c>
      <c r="AA1156" t="s">
        <v>158</v>
      </c>
      <c r="AB1156" t="s">
        <v>158</v>
      </c>
      <c r="AC1156">
        <f>0</f>
        <v>0</v>
      </c>
      <c r="AD1156">
        <f>0</f>
        <v>0</v>
      </c>
      <c r="AE1156">
        <f>0</f>
        <v>0</v>
      </c>
      <c r="AH1156" t="s">
        <v>157</v>
      </c>
    </row>
    <row r="1157" spans="1:149" x14ac:dyDescent="0.25">
      <c r="A1157" t="s">
        <v>3646</v>
      </c>
      <c r="B1157" t="s">
        <v>148</v>
      </c>
      <c r="C1157" s="1">
        <v>45785</v>
      </c>
      <c r="D1157" t="s">
        <v>149</v>
      </c>
      <c r="E1157" t="s">
        <v>150</v>
      </c>
      <c r="F1157" t="s">
        <v>625</v>
      </c>
      <c r="G1157" t="s">
        <v>626</v>
      </c>
      <c r="H1157">
        <v>1680</v>
      </c>
      <c r="I1157" t="s">
        <v>5373</v>
      </c>
      <c r="J1157">
        <v>5580</v>
      </c>
      <c r="K1157" t="s">
        <v>5254</v>
      </c>
      <c r="L1157" t="s">
        <v>431</v>
      </c>
      <c r="M1157" t="s">
        <v>5885</v>
      </c>
      <c r="N1157" t="s">
        <v>6586</v>
      </c>
      <c r="Q1157" t="s">
        <v>6462</v>
      </c>
      <c r="R1157">
        <f>1</f>
        <v>1</v>
      </c>
      <c r="S1157">
        <f>16.7</f>
        <v>16.7</v>
      </c>
      <c r="T1157">
        <f>7.4</f>
        <v>7.4</v>
      </c>
      <c r="U1157">
        <f>259</f>
        <v>259</v>
      </c>
      <c r="X1157">
        <f>0</f>
        <v>0</v>
      </c>
      <c r="Y1157">
        <f>0.1</f>
        <v>0.1</v>
      </c>
      <c r="Z1157">
        <f>0</f>
        <v>0</v>
      </c>
      <c r="AA1157" t="s">
        <v>158</v>
      </c>
      <c r="AB1157" t="s">
        <v>158</v>
      </c>
      <c r="AD1157">
        <f>0</f>
        <v>0</v>
      </c>
      <c r="AE1157">
        <f>0</f>
        <v>0</v>
      </c>
      <c r="AH1157" t="s">
        <v>157</v>
      </c>
      <c r="BL1157" t="s">
        <v>168</v>
      </c>
      <c r="BM1157" t="s">
        <v>168</v>
      </c>
      <c r="BN1157" t="s">
        <v>168</v>
      </c>
      <c r="BO1157" t="s">
        <v>168</v>
      </c>
      <c r="BP1157" t="s">
        <v>168</v>
      </c>
      <c r="BQ1157" t="s">
        <v>168</v>
      </c>
      <c r="BR1157" t="s">
        <v>168</v>
      </c>
      <c r="BS1157" t="s">
        <v>168</v>
      </c>
      <c r="BT1157" t="s">
        <v>209</v>
      </c>
      <c r="BU1157" t="s">
        <v>168</v>
      </c>
      <c r="BV1157" t="s">
        <v>209</v>
      </c>
      <c r="BW1157" t="s">
        <v>209</v>
      </c>
      <c r="BX1157" t="s">
        <v>209</v>
      </c>
      <c r="BY1157" t="s">
        <v>209</v>
      </c>
      <c r="BZ1157" t="s">
        <v>216</v>
      </c>
      <c r="CA1157" t="s">
        <v>216</v>
      </c>
      <c r="CB1157" t="s">
        <v>168</v>
      </c>
      <c r="CC1157" t="s">
        <v>168</v>
      </c>
      <c r="CD1157" t="s">
        <v>216</v>
      </c>
      <c r="CE1157" t="s">
        <v>209</v>
      </c>
      <c r="CF1157">
        <f>0.025</f>
        <v>2.5000000000000001E-2</v>
      </c>
      <c r="CG1157" t="s">
        <v>168</v>
      </c>
      <c r="CH1157" t="s">
        <v>165</v>
      </c>
      <c r="CI1157" t="s">
        <v>216</v>
      </c>
      <c r="CJ1157" t="s">
        <v>216</v>
      </c>
      <c r="CK1157" t="s">
        <v>216</v>
      </c>
      <c r="CL1157" t="s">
        <v>216</v>
      </c>
      <c r="CM1157" t="s">
        <v>216</v>
      </c>
      <c r="CN1157" t="s">
        <v>216</v>
      </c>
      <c r="CO1157" t="s">
        <v>216</v>
      </c>
      <c r="CP1157" t="s">
        <v>216</v>
      </c>
      <c r="CQ1157" t="s">
        <v>216</v>
      </c>
      <c r="CR1157" t="s">
        <v>216</v>
      </c>
      <c r="CS1157" t="s">
        <v>216</v>
      </c>
      <c r="CT1157" t="s">
        <v>216</v>
      </c>
      <c r="CU1157" t="s">
        <v>216</v>
      </c>
      <c r="CV1157" t="s">
        <v>216</v>
      </c>
      <c r="CW1157" t="s">
        <v>216</v>
      </c>
      <c r="CX1157" t="s">
        <v>216</v>
      </c>
      <c r="CY1157" t="s">
        <v>216</v>
      </c>
      <c r="CZ1157" t="s">
        <v>216</v>
      </c>
      <c r="DA1157" t="s">
        <v>168</v>
      </c>
      <c r="DB1157" t="s">
        <v>216</v>
      </c>
      <c r="DC1157" t="s">
        <v>216</v>
      </c>
      <c r="DD1157" t="s">
        <v>216</v>
      </c>
      <c r="DE1157" t="s">
        <v>168</v>
      </c>
      <c r="DF1157" t="s">
        <v>168</v>
      </c>
      <c r="DG1157" t="s">
        <v>216</v>
      </c>
      <c r="DH1157" t="s">
        <v>216</v>
      </c>
      <c r="DI1157" t="s">
        <v>216</v>
      </c>
      <c r="DJ1157" t="s">
        <v>216</v>
      </c>
      <c r="DK1157" t="s">
        <v>168</v>
      </c>
      <c r="DL1157" t="s">
        <v>216</v>
      </c>
      <c r="DM1157" t="s">
        <v>216</v>
      </c>
      <c r="DN1157" t="s">
        <v>216</v>
      </c>
      <c r="DO1157" t="s">
        <v>216</v>
      </c>
      <c r="DP1157" t="s">
        <v>168</v>
      </c>
      <c r="DQ1157" t="s">
        <v>216</v>
      </c>
      <c r="DR1157" t="s">
        <v>168</v>
      </c>
      <c r="DS1157" t="s">
        <v>168</v>
      </c>
      <c r="DT1157" t="s">
        <v>168</v>
      </c>
      <c r="DU1157" t="s">
        <v>168</v>
      </c>
      <c r="DV1157" t="s">
        <v>168</v>
      </c>
      <c r="DW1157" t="s">
        <v>168</v>
      </c>
      <c r="DX1157" t="s">
        <v>168</v>
      </c>
      <c r="DY1157" t="s">
        <v>168</v>
      </c>
      <c r="DZ1157" t="s">
        <v>209</v>
      </c>
      <c r="EA1157" t="s">
        <v>216</v>
      </c>
      <c r="EB1157" t="s">
        <v>168</v>
      </c>
      <c r="EC1157" t="s">
        <v>168</v>
      </c>
      <c r="ED1157" t="s">
        <v>209</v>
      </c>
      <c r="EE1157" t="s">
        <v>168</v>
      </c>
      <c r="EP1157" t="s">
        <v>157</v>
      </c>
      <c r="EQ1157" t="s">
        <v>157</v>
      </c>
      <c r="ES1157" t="s">
        <v>166</v>
      </c>
    </row>
    <row r="1158" spans="1:149" x14ac:dyDescent="0.25">
      <c r="A1158" t="s">
        <v>3647</v>
      </c>
      <c r="B1158" t="s">
        <v>148</v>
      </c>
      <c r="C1158" s="1">
        <v>45783</v>
      </c>
      <c r="D1158" t="s">
        <v>175</v>
      </c>
      <c r="E1158" t="s">
        <v>176</v>
      </c>
      <c r="F1158" t="s">
        <v>370</v>
      </c>
      <c r="G1158" t="s">
        <v>6210</v>
      </c>
      <c r="H1158">
        <v>1629</v>
      </c>
      <c r="I1158" t="s">
        <v>5715</v>
      </c>
      <c r="J1158">
        <v>2615</v>
      </c>
      <c r="K1158" t="s">
        <v>5254</v>
      </c>
      <c r="L1158" t="s">
        <v>4966</v>
      </c>
      <c r="M1158" t="s">
        <v>5716</v>
      </c>
      <c r="N1158" t="s">
        <v>5717</v>
      </c>
      <c r="O1158" t="s">
        <v>1596</v>
      </c>
      <c r="Q1158" t="s">
        <v>329</v>
      </c>
      <c r="R1158">
        <f>1</f>
        <v>1</v>
      </c>
      <c r="S1158">
        <f>16.5</f>
        <v>16.5</v>
      </c>
      <c r="T1158">
        <f>7.5</f>
        <v>7.5</v>
      </c>
      <c r="U1158">
        <f>414</f>
        <v>414</v>
      </c>
      <c r="X1158">
        <f>0</f>
        <v>0</v>
      </c>
      <c r="Y1158" t="s">
        <v>157</v>
      </c>
      <c r="Z1158">
        <f>0</f>
        <v>0</v>
      </c>
      <c r="AA1158">
        <f>3</f>
        <v>3</v>
      </c>
      <c r="AB1158">
        <f>2</f>
        <v>2</v>
      </c>
      <c r="AD1158">
        <f>0</f>
        <v>0</v>
      </c>
      <c r="AE1158">
        <f>0</f>
        <v>0</v>
      </c>
      <c r="AH1158" t="s">
        <v>157</v>
      </c>
    </row>
    <row r="1159" spans="1:149" x14ac:dyDescent="0.25">
      <c r="A1159" t="s">
        <v>3648</v>
      </c>
      <c r="B1159" t="s">
        <v>148</v>
      </c>
      <c r="C1159" s="1">
        <v>45867</v>
      </c>
      <c r="D1159" t="s">
        <v>242</v>
      </c>
      <c r="E1159" t="s">
        <v>243</v>
      </c>
      <c r="F1159" t="s">
        <v>5098</v>
      </c>
      <c r="G1159" t="s">
        <v>5118</v>
      </c>
      <c r="H1159">
        <v>1147</v>
      </c>
      <c r="I1159" t="s">
        <v>5118</v>
      </c>
      <c r="J1159">
        <v>2266</v>
      </c>
      <c r="K1159" t="s">
        <v>5254</v>
      </c>
      <c r="L1159" t="s">
        <v>387</v>
      </c>
      <c r="M1159" t="s">
        <v>4739</v>
      </c>
      <c r="N1159" t="s">
        <v>4972</v>
      </c>
      <c r="O1159" t="s">
        <v>1009</v>
      </c>
      <c r="R1159">
        <f>1</f>
        <v>1</v>
      </c>
      <c r="S1159">
        <f>19.4</f>
        <v>19.399999999999999</v>
      </c>
      <c r="T1159">
        <f>7.6</f>
        <v>7.6</v>
      </c>
      <c r="U1159">
        <f>396</f>
        <v>396</v>
      </c>
      <c r="X1159">
        <f>0</f>
        <v>0</v>
      </c>
      <c r="Y1159">
        <f>0.34</f>
        <v>0.34</v>
      </c>
      <c r="Z1159">
        <f>0</f>
        <v>0</v>
      </c>
      <c r="AA1159" t="s">
        <v>158</v>
      </c>
      <c r="AB1159" t="s">
        <v>158</v>
      </c>
      <c r="AD1159">
        <f>0</f>
        <v>0</v>
      </c>
      <c r="AE1159">
        <f>0</f>
        <v>0</v>
      </c>
      <c r="AH1159" t="s">
        <v>157</v>
      </c>
    </row>
    <row r="1160" spans="1:149" x14ac:dyDescent="0.25">
      <c r="A1160" t="s">
        <v>3649</v>
      </c>
      <c r="B1160" t="s">
        <v>148</v>
      </c>
      <c r="C1160" s="1">
        <v>45748</v>
      </c>
      <c r="D1160" t="s">
        <v>175</v>
      </c>
      <c r="E1160" t="s">
        <v>284</v>
      </c>
      <c r="F1160" t="s">
        <v>4774</v>
      </c>
      <c r="G1160" t="s">
        <v>5973</v>
      </c>
      <c r="H1160">
        <v>1071</v>
      </c>
      <c r="I1160" t="s">
        <v>5973</v>
      </c>
      <c r="J1160">
        <v>1678</v>
      </c>
      <c r="K1160" t="s">
        <v>5254</v>
      </c>
      <c r="L1160" t="s">
        <v>431</v>
      </c>
      <c r="M1160" t="s">
        <v>1601</v>
      </c>
      <c r="N1160" t="s">
        <v>1602</v>
      </c>
      <c r="O1160" t="s">
        <v>1603</v>
      </c>
      <c r="R1160">
        <f>1</f>
        <v>1</v>
      </c>
      <c r="S1160">
        <f>10</f>
        <v>10</v>
      </c>
      <c r="T1160">
        <f>7.5</f>
        <v>7.5</v>
      </c>
      <c r="U1160">
        <f>473</f>
        <v>473</v>
      </c>
      <c r="X1160">
        <f>0</f>
        <v>0</v>
      </c>
      <c r="Y1160" t="s">
        <v>207</v>
      </c>
      <c r="Z1160">
        <f>0</f>
        <v>0</v>
      </c>
      <c r="AA1160" t="s">
        <v>158</v>
      </c>
      <c r="AB1160" t="s">
        <v>158</v>
      </c>
      <c r="AD1160">
        <f>0</f>
        <v>0</v>
      </c>
      <c r="AE1160">
        <f>0</f>
        <v>0</v>
      </c>
    </row>
    <row r="1161" spans="1:149" x14ac:dyDescent="0.25">
      <c r="A1161" t="s">
        <v>3650</v>
      </c>
      <c r="B1161" t="s">
        <v>148</v>
      </c>
      <c r="C1161" s="1">
        <v>45793</v>
      </c>
      <c r="D1161" t="s">
        <v>175</v>
      </c>
      <c r="E1161" t="s">
        <v>176</v>
      </c>
      <c r="F1161" t="s">
        <v>1209</v>
      </c>
      <c r="G1161" t="s">
        <v>1210</v>
      </c>
      <c r="H1161">
        <v>175</v>
      </c>
      <c r="I1161" t="s">
        <v>1210</v>
      </c>
      <c r="J1161">
        <v>4798</v>
      </c>
      <c r="K1161" t="s">
        <v>5254</v>
      </c>
      <c r="L1161" t="s">
        <v>431</v>
      </c>
      <c r="M1161" t="s">
        <v>5442</v>
      </c>
      <c r="N1161" t="s">
        <v>5975</v>
      </c>
      <c r="O1161" t="s">
        <v>1607</v>
      </c>
      <c r="Q1161" t="s">
        <v>347</v>
      </c>
      <c r="R1161">
        <f>1</f>
        <v>1</v>
      </c>
      <c r="S1161">
        <f>12.9</f>
        <v>12.9</v>
      </c>
      <c r="T1161">
        <f>8.1</f>
        <v>8.1</v>
      </c>
      <c r="U1161">
        <f>269</f>
        <v>269</v>
      </c>
      <c r="X1161">
        <f>0</f>
        <v>0</v>
      </c>
      <c r="Y1161">
        <f>0.12</f>
        <v>0.12</v>
      </c>
      <c r="Z1161">
        <f>0</f>
        <v>0</v>
      </c>
      <c r="AA1161">
        <f>1</f>
        <v>1</v>
      </c>
      <c r="AB1161">
        <f>0</f>
        <v>0</v>
      </c>
      <c r="AD1161">
        <f>0</f>
        <v>0</v>
      </c>
      <c r="AE1161">
        <f>0</f>
        <v>0</v>
      </c>
      <c r="AH1161" t="s">
        <v>157</v>
      </c>
      <c r="AI1161" t="s">
        <v>167</v>
      </c>
      <c r="AL1161" t="s">
        <v>168</v>
      </c>
      <c r="AM1161" t="s">
        <v>216</v>
      </c>
      <c r="AN1161">
        <f>4.9</f>
        <v>4.9000000000000004</v>
      </c>
      <c r="AO1161">
        <f>0.098</f>
        <v>9.8000000000000004E-2</v>
      </c>
      <c r="AP1161">
        <f>4.1</f>
        <v>4.0999999999999996</v>
      </c>
      <c r="AQ1161">
        <f>4.5</f>
        <v>4.5</v>
      </c>
      <c r="AR1161" t="s">
        <v>167</v>
      </c>
      <c r="AS1161">
        <f>1.7</f>
        <v>1.7</v>
      </c>
      <c r="AY1161" t="s">
        <v>158</v>
      </c>
      <c r="AZ1161" t="s">
        <v>158</v>
      </c>
      <c r="BA1161" t="s">
        <v>216</v>
      </c>
      <c r="BB1161" t="s">
        <v>158</v>
      </c>
      <c r="BC1161" t="s">
        <v>167</v>
      </c>
      <c r="BD1161" t="s">
        <v>167</v>
      </c>
      <c r="BE1161" t="s">
        <v>216</v>
      </c>
      <c r="BF1161" t="s">
        <v>167</v>
      </c>
      <c r="BG1161" t="s">
        <v>158</v>
      </c>
      <c r="BH1161" t="s">
        <v>167</v>
      </c>
      <c r="BK1161" t="s">
        <v>158</v>
      </c>
      <c r="EP1161" t="s">
        <v>251</v>
      </c>
      <c r="EQ1161" t="s">
        <v>251</v>
      </c>
      <c r="ES1161" t="s">
        <v>251</v>
      </c>
    </row>
    <row r="1162" spans="1:149" x14ac:dyDescent="0.25">
      <c r="A1162" t="s">
        <v>3651</v>
      </c>
      <c r="B1162" t="s">
        <v>148</v>
      </c>
      <c r="C1162" s="1">
        <v>45834</v>
      </c>
      <c r="D1162" t="s">
        <v>175</v>
      </c>
      <c r="E1162" t="s">
        <v>649</v>
      </c>
      <c r="F1162" t="s">
        <v>918</v>
      </c>
      <c r="G1162" t="s">
        <v>919</v>
      </c>
      <c r="H1162">
        <v>128</v>
      </c>
      <c r="I1162" t="s">
        <v>1424</v>
      </c>
      <c r="J1162">
        <v>2430</v>
      </c>
      <c r="K1162" t="s">
        <v>5254</v>
      </c>
      <c r="L1162" t="s">
        <v>431</v>
      </c>
      <c r="M1162" t="s">
        <v>1609</v>
      </c>
      <c r="N1162" t="s">
        <v>1610</v>
      </c>
      <c r="O1162" t="s">
        <v>1611</v>
      </c>
      <c r="Q1162" t="s">
        <v>6463</v>
      </c>
      <c r="R1162">
        <f>1</f>
        <v>1</v>
      </c>
      <c r="S1162">
        <f>25.2</f>
        <v>25.2</v>
      </c>
      <c r="T1162">
        <f>7.7</f>
        <v>7.7</v>
      </c>
      <c r="U1162">
        <f>361</f>
        <v>361</v>
      </c>
      <c r="V1162">
        <f>0.19</f>
        <v>0.19</v>
      </c>
      <c r="X1162">
        <f>0</f>
        <v>0</v>
      </c>
      <c r="Y1162">
        <f>0.39</f>
        <v>0.39</v>
      </c>
      <c r="Z1162">
        <f>0</f>
        <v>0</v>
      </c>
      <c r="AA1162" t="s">
        <v>158</v>
      </c>
      <c r="AB1162" t="s">
        <v>158</v>
      </c>
      <c r="AD1162">
        <f>0</f>
        <v>0</v>
      </c>
      <c r="AE1162">
        <f>0</f>
        <v>0</v>
      </c>
      <c r="AH1162" t="s">
        <v>157</v>
      </c>
      <c r="AI1162" t="s">
        <v>238</v>
      </c>
      <c r="AL1162" t="s">
        <v>164</v>
      </c>
      <c r="AM1162" t="s">
        <v>165</v>
      </c>
      <c r="AN1162">
        <f>7.1</f>
        <v>7.1</v>
      </c>
      <c r="AO1162">
        <f>0.14</f>
        <v>0.14000000000000001</v>
      </c>
      <c r="AP1162">
        <f>11</f>
        <v>11</v>
      </c>
      <c r="AQ1162">
        <f>3.3</f>
        <v>3.3</v>
      </c>
      <c r="AR1162" t="s">
        <v>157</v>
      </c>
      <c r="AS1162">
        <f>2.3</f>
        <v>2.2999999999999998</v>
      </c>
      <c r="AY1162" t="s">
        <v>167</v>
      </c>
      <c r="AZ1162" t="s">
        <v>158</v>
      </c>
      <c r="BA1162" t="s">
        <v>216</v>
      </c>
      <c r="BB1162" t="s">
        <v>158</v>
      </c>
      <c r="BC1162" t="s">
        <v>166</v>
      </c>
      <c r="BD1162" t="s">
        <v>167</v>
      </c>
      <c r="BE1162">
        <f>0.0091</f>
        <v>9.1000000000000004E-3</v>
      </c>
      <c r="BF1162" t="s">
        <v>168</v>
      </c>
      <c r="BG1162" t="s">
        <v>167</v>
      </c>
      <c r="BH1162">
        <f>1.3</f>
        <v>1.3</v>
      </c>
      <c r="BK1162">
        <f>0.44</f>
        <v>0.44</v>
      </c>
      <c r="EL1162">
        <f>0.48</f>
        <v>0.48</v>
      </c>
      <c r="EM1162" t="s">
        <v>166</v>
      </c>
      <c r="EN1162">
        <f>0.64</f>
        <v>0.64</v>
      </c>
      <c r="EO1162">
        <f>0.64</f>
        <v>0.64</v>
      </c>
      <c r="ER1162">
        <f>1.8</f>
        <v>1.8</v>
      </c>
    </row>
    <row r="1163" spans="1:149" x14ac:dyDescent="0.25">
      <c r="A1163" t="s">
        <v>3652</v>
      </c>
      <c r="B1163" t="s">
        <v>148</v>
      </c>
      <c r="C1163" s="1">
        <v>45721</v>
      </c>
      <c r="D1163" t="s">
        <v>175</v>
      </c>
      <c r="E1163" t="s">
        <v>284</v>
      </c>
      <c r="F1163" t="s">
        <v>678</v>
      </c>
      <c r="G1163" t="s">
        <v>3653</v>
      </c>
      <c r="H1163">
        <v>1554</v>
      </c>
      <c r="I1163" t="s">
        <v>3653</v>
      </c>
      <c r="J1163">
        <v>1081</v>
      </c>
      <c r="K1163" t="s">
        <v>5254</v>
      </c>
      <c r="L1163" t="s">
        <v>302</v>
      </c>
      <c r="M1163" t="s">
        <v>6211</v>
      </c>
      <c r="N1163" t="s">
        <v>3654</v>
      </c>
      <c r="O1163" t="s">
        <v>3655</v>
      </c>
      <c r="R1163">
        <f>1</f>
        <v>1</v>
      </c>
      <c r="S1163">
        <f>9.7</f>
        <v>9.6999999999999993</v>
      </c>
      <c r="T1163">
        <f>7.6</f>
        <v>7.6</v>
      </c>
      <c r="U1163">
        <f>430</f>
        <v>430</v>
      </c>
      <c r="W1163">
        <f>0.12</f>
        <v>0.12</v>
      </c>
      <c r="X1163">
        <f>0</f>
        <v>0</v>
      </c>
      <c r="Y1163" t="s">
        <v>157</v>
      </c>
      <c r="Z1163">
        <f>0</f>
        <v>0</v>
      </c>
      <c r="AA1163" t="s">
        <v>158</v>
      </c>
      <c r="AB1163" t="s">
        <v>158</v>
      </c>
      <c r="AD1163">
        <f>0</f>
        <v>0</v>
      </c>
      <c r="AE1163">
        <f>0</f>
        <v>0</v>
      </c>
    </row>
    <row r="1164" spans="1:149" x14ac:dyDescent="0.25">
      <c r="A1164" t="s">
        <v>3656</v>
      </c>
      <c r="B1164" t="s">
        <v>148</v>
      </c>
      <c r="C1164" s="1">
        <v>45728</v>
      </c>
      <c r="D1164" t="s">
        <v>242</v>
      </c>
      <c r="E1164" t="s">
        <v>243</v>
      </c>
      <c r="F1164" t="s">
        <v>4727</v>
      </c>
      <c r="G1164" t="s">
        <v>6587</v>
      </c>
      <c r="H1164">
        <v>1652</v>
      </c>
      <c r="I1164" t="s">
        <v>6588</v>
      </c>
      <c r="J1164">
        <v>1160</v>
      </c>
      <c r="K1164" t="s">
        <v>5254</v>
      </c>
      <c r="L1164" t="s">
        <v>393</v>
      </c>
      <c r="M1164" t="s">
        <v>5374</v>
      </c>
      <c r="N1164" t="s">
        <v>4740</v>
      </c>
      <c r="O1164" t="s">
        <v>1016</v>
      </c>
      <c r="R1164">
        <f>1</f>
        <v>1</v>
      </c>
      <c r="S1164">
        <f>11.9</f>
        <v>11.9</v>
      </c>
      <c r="T1164">
        <f>7.5</f>
        <v>7.5</v>
      </c>
      <c r="U1164">
        <f>378</f>
        <v>378</v>
      </c>
      <c r="X1164">
        <f>1</f>
        <v>1</v>
      </c>
      <c r="Y1164" t="s">
        <v>157</v>
      </c>
      <c r="Z1164">
        <f>0</f>
        <v>0</v>
      </c>
      <c r="AA1164" t="s">
        <v>158</v>
      </c>
      <c r="AB1164" t="s">
        <v>158</v>
      </c>
      <c r="AD1164">
        <f>0</f>
        <v>0</v>
      </c>
      <c r="AE1164">
        <f>0</f>
        <v>0</v>
      </c>
      <c r="AH1164" t="s">
        <v>157</v>
      </c>
    </row>
    <row r="1165" spans="1:149" x14ac:dyDescent="0.25">
      <c r="A1165" t="s">
        <v>3657</v>
      </c>
      <c r="B1165" t="s">
        <v>148</v>
      </c>
      <c r="C1165" s="1">
        <v>45728</v>
      </c>
      <c r="D1165" t="s">
        <v>175</v>
      </c>
      <c r="E1165" t="s">
        <v>176</v>
      </c>
      <c r="F1165" t="s">
        <v>343</v>
      </c>
      <c r="G1165" t="s">
        <v>6647</v>
      </c>
      <c r="H1165">
        <v>1097</v>
      </c>
      <c r="I1165" t="s">
        <v>6647</v>
      </c>
      <c r="J1165">
        <v>2700</v>
      </c>
      <c r="K1165" t="s">
        <v>5257</v>
      </c>
      <c r="L1165" t="s">
        <v>4966</v>
      </c>
      <c r="M1165" t="s">
        <v>5443</v>
      </c>
      <c r="N1165" t="s">
        <v>1613</v>
      </c>
      <c r="O1165" t="s">
        <v>1614</v>
      </c>
      <c r="Q1165" t="s">
        <v>6357</v>
      </c>
      <c r="R1165">
        <f>1</f>
        <v>1</v>
      </c>
      <c r="S1165">
        <f>8.4</f>
        <v>8.4</v>
      </c>
      <c r="T1165">
        <f>8</f>
        <v>8</v>
      </c>
      <c r="U1165">
        <f>226</f>
        <v>226</v>
      </c>
      <c r="X1165">
        <f>0</f>
        <v>0</v>
      </c>
      <c r="Y1165" t="s">
        <v>157</v>
      </c>
      <c r="Z1165">
        <f>0</f>
        <v>0</v>
      </c>
      <c r="AA1165">
        <f>5</f>
        <v>5</v>
      </c>
      <c r="AB1165">
        <f>0</f>
        <v>0</v>
      </c>
      <c r="AC1165">
        <f>0</f>
        <v>0</v>
      </c>
      <c r="AD1165">
        <f>0</f>
        <v>0</v>
      </c>
      <c r="AE1165">
        <f>0</f>
        <v>0</v>
      </c>
      <c r="AH1165" t="s">
        <v>157</v>
      </c>
    </row>
    <row r="1166" spans="1:149" x14ac:dyDescent="0.25">
      <c r="A1166" t="s">
        <v>3658</v>
      </c>
      <c r="B1166" t="s">
        <v>148</v>
      </c>
      <c r="C1166" s="1">
        <v>45784</v>
      </c>
      <c r="D1166" t="s">
        <v>269</v>
      </c>
      <c r="E1166" t="s">
        <v>295</v>
      </c>
      <c r="F1166" t="s">
        <v>331</v>
      </c>
      <c r="G1166" t="s">
        <v>1018</v>
      </c>
      <c r="H1166">
        <v>150</v>
      </c>
      <c r="I1166" t="s">
        <v>1018</v>
      </c>
      <c r="J1166">
        <v>3950</v>
      </c>
      <c r="K1166" t="s">
        <v>5254</v>
      </c>
      <c r="L1166" t="s">
        <v>191</v>
      </c>
      <c r="M1166" t="s">
        <v>1019</v>
      </c>
      <c r="N1166" t="s">
        <v>1020</v>
      </c>
      <c r="O1166" t="s">
        <v>1021</v>
      </c>
      <c r="R1166">
        <f>1</f>
        <v>1</v>
      </c>
      <c r="S1166">
        <f>13</f>
        <v>13</v>
      </c>
      <c r="T1166">
        <f>7.7</f>
        <v>7.7</v>
      </c>
      <c r="U1166">
        <f>415</f>
        <v>415</v>
      </c>
      <c r="X1166">
        <f>0</f>
        <v>0</v>
      </c>
      <c r="Y1166">
        <f>0.05</f>
        <v>0.05</v>
      </c>
      <c r="Z1166">
        <f>0</f>
        <v>0</v>
      </c>
      <c r="AA1166" t="s">
        <v>158</v>
      </c>
      <c r="AB1166" t="s">
        <v>158</v>
      </c>
      <c r="AD1166">
        <f>0</f>
        <v>0</v>
      </c>
      <c r="AE1166">
        <f>0</f>
        <v>0</v>
      </c>
      <c r="AH1166" t="s">
        <v>166</v>
      </c>
      <c r="AI1166">
        <f>0.49</f>
        <v>0.49</v>
      </c>
      <c r="AL1166" t="s">
        <v>216</v>
      </c>
      <c r="AM1166" t="s">
        <v>266</v>
      </c>
      <c r="AN1166">
        <f>5.52</f>
        <v>5.52</v>
      </c>
      <c r="AO1166">
        <f>0.11</f>
        <v>0.11</v>
      </c>
      <c r="AP1166">
        <f>8.24</f>
        <v>8.24</v>
      </c>
      <c r="AQ1166">
        <f>3.25</f>
        <v>3.25</v>
      </c>
      <c r="AR1166" t="s">
        <v>209</v>
      </c>
      <c r="AS1166">
        <f>1.9</f>
        <v>1.9</v>
      </c>
      <c r="AY1166" t="s">
        <v>157</v>
      </c>
      <c r="AZ1166" t="s">
        <v>208</v>
      </c>
      <c r="BA1166">
        <f>0.0041</f>
        <v>4.1000000000000003E-3</v>
      </c>
      <c r="BB1166">
        <f>32</f>
        <v>32</v>
      </c>
      <c r="BC1166" t="s">
        <v>209</v>
      </c>
      <c r="BD1166">
        <f>0.17</f>
        <v>0.17</v>
      </c>
      <c r="BE1166">
        <f>0.0032</f>
        <v>3.2000000000000002E-3</v>
      </c>
      <c r="BF1166" t="s">
        <v>168</v>
      </c>
      <c r="BG1166" t="s">
        <v>237</v>
      </c>
      <c r="BH1166" t="s">
        <v>157</v>
      </c>
      <c r="BK1166">
        <f>0.42</f>
        <v>0.42</v>
      </c>
      <c r="EL1166">
        <f>1.1</f>
        <v>1.1000000000000001</v>
      </c>
      <c r="EM1166" t="s">
        <v>238</v>
      </c>
      <c r="EN1166">
        <f>0.7</f>
        <v>0.7</v>
      </c>
      <c r="EO1166">
        <f>0.4</f>
        <v>0.4</v>
      </c>
      <c r="ER1166">
        <f>2.2</f>
        <v>2.2000000000000002</v>
      </c>
    </row>
    <row r="1167" spans="1:149" x14ac:dyDescent="0.25">
      <c r="A1167" t="s">
        <v>3659</v>
      </c>
      <c r="B1167" t="s">
        <v>148</v>
      </c>
      <c r="C1167" s="1">
        <v>45825</v>
      </c>
      <c r="D1167" t="s">
        <v>317</v>
      </c>
      <c r="E1167" t="s">
        <v>318</v>
      </c>
      <c r="F1167" t="s">
        <v>360</v>
      </c>
      <c r="G1167" t="s">
        <v>1023</v>
      </c>
      <c r="H1167">
        <v>59</v>
      </c>
      <c r="I1167" t="s">
        <v>1023</v>
      </c>
      <c r="J1167">
        <v>1289</v>
      </c>
      <c r="K1167" t="s">
        <v>5254</v>
      </c>
      <c r="L1167" t="s">
        <v>180</v>
      </c>
      <c r="M1167" t="s">
        <v>5888</v>
      </c>
      <c r="N1167" t="s">
        <v>1024</v>
      </c>
      <c r="O1167" t="s">
        <v>1025</v>
      </c>
      <c r="Q1167" t="s">
        <v>845</v>
      </c>
      <c r="R1167">
        <f>1</f>
        <v>1</v>
      </c>
      <c r="S1167">
        <f>17.7</f>
        <v>17.7</v>
      </c>
      <c r="T1167">
        <f>7.6</f>
        <v>7.6</v>
      </c>
      <c r="U1167">
        <f>336</f>
        <v>336</v>
      </c>
      <c r="X1167">
        <f>0</f>
        <v>0</v>
      </c>
      <c r="Y1167">
        <f>0.12</f>
        <v>0.12</v>
      </c>
      <c r="Z1167">
        <f>0</f>
        <v>0</v>
      </c>
      <c r="AA1167">
        <f>0</f>
        <v>0</v>
      </c>
      <c r="AB1167">
        <f>0</f>
        <v>0</v>
      </c>
      <c r="AD1167">
        <f>0</f>
        <v>0</v>
      </c>
      <c r="AE1167">
        <f>0</f>
        <v>0</v>
      </c>
      <c r="AH1167" t="s">
        <v>157</v>
      </c>
    </row>
    <row r="1168" spans="1:149" x14ac:dyDescent="0.25">
      <c r="A1168" t="s">
        <v>3660</v>
      </c>
      <c r="B1168" t="s">
        <v>148</v>
      </c>
      <c r="C1168" s="1">
        <v>45820</v>
      </c>
      <c r="D1168" t="s">
        <v>175</v>
      </c>
      <c r="E1168" t="s">
        <v>270</v>
      </c>
      <c r="F1168" t="s">
        <v>354</v>
      </c>
      <c r="G1168" t="s">
        <v>6540</v>
      </c>
      <c r="H1168">
        <v>692</v>
      </c>
      <c r="I1168" t="s">
        <v>779</v>
      </c>
      <c r="J1168">
        <v>9259</v>
      </c>
      <c r="K1168" t="s">
        <v>5257</v>
      </c>
      <c r="L1168" t="s">
        <v>355</v>
      </c>
      <c r="M1168" t="s">
        <v>1037</v>
      </c>
      <c r="N1168" t="s">
        <v>1038</v>
      </c>
      <c r="O1168" t="s">
        <v>1039</v>
      </c>
      <c r="R1168">
        <f>1</f>
        <v>1</v>
      </c>
      <c r="S1168">
        <f>15.3</f>
        <v>15.3</v>
      </c>
      <c r="T1168">
        <f>7.4</f>
        <v>7.4</v>
      </c>
      <c r="U1168">
        <f>500</f>
        <v>500</v>
      </c>
      <c r="X1168">
        <f>0</f>
        <v>0</v>
      </c>
      <c r="Y1168" t="s">
        <v>207</v>
      </c>
      <c r="Z1168">
        <f>0</f>
        <v>0</v>
      </c>
      <c r="AA1168" t="s">
        <v>158</v>
      </c>
      <c r="AB1168" t="s">
        <v>158</v>
      </c>
      <c r="AC1168">
        <f>0</f>
        <v>0</v>
      </c>
      <c r="AD1168">
        <f>0</f>
        <v>0</v>
      </c>
      <c r="AE1168">
        <f>0</f>
        <v>0</v>
      </c>
      <c r="AH1168" t="s">
        <v>166</v>
      </c>
    </row>
    <row r="1169" spans="1:149" x14ac:dyDescent="0.25">
      <c r="A1169" t="s">
        <v>3661</v>
      </c>
      <c r="B1169" t="s">
        <v>148</v>
      </c>
      <c r="C1169" s="1">
        <v>45818</v>
      </c>
      <c r="D1169" t="s">
        <v>242</v>
      </c>
      <c r="E1169" t="s">
        <v>243</v>
      </c>
      <c r="F1169" t="s">
        <v>244</v>
      </c>
      <c r="G1169" t="s">
        <v>1041</v>
      </c>
      <c r="H1169">
        <v>721</v>
      </c>
      <c r="I1169" t="s">
        <v>5376</v>
      </c>
      <c r="J1169">
        <v>1167</v>
      </c>
      <c r="K1169" t="s">
        <v>5257</v>
      </c>
      <c r="L1169" t="s">
        <v>1042</v>
      </c>
      <c r="M1169" t="s">
        <v>1043</v>
      </c>
      <c r="N1169" t="s">
        <v>1044</v>
      </c>
      <c r="O1169" t="s">
        <v>1045</v>
      </c>
      <c r="Q1169" t="s">
        <v>6464</v>
      </c>
      <c r="R1169">
        <f>1</f>
        <v>1</v>
      </c>
      <c r="S1169">
        <f>15</f>
        <v>15</v>
      </c>
      <c r="T1169">
        <f>7.5</f>
        <v>7.5</v>
      </c>
      <c r="U1169">
        <f>427</f>
        <v>427</v>
      </c>
      <c r="X1169">
        <f>1</f>
        <v>1</v>
      </c>
      <c r="Y1169" t="s">
        <v>157</v>
      </c>
      <c r="Z1169">
        <f>0</f>
        <v>0</v>
      </c>
      <c r="AA1169" t="s">
        <v>158</v>
      </c>
      <c r="AB1169" t="s">
        <v>158</v>
      </c>
      <c r="AD1169">
        <f>0</f>
        <v>0</v>
      </c>
      <c r="AE1169">
        <f>0</f>
        <v>0</v>
      </c>
      <c r="AH1169" t="s">
        <v>157</v>
      </c>
      <c r="AI1169" t="s">
        <v>238</v>
      </c>
      <c r="AL1169" t="s">
        <v>164</v>
      </c>
      <c r="AM1169" t="s">
        <v>165</v>
      </c>
      <c r="AN1169">
        <f>12</f>
        <v>12</v>
      </c>
      <c r="AO1169">
        <f>0.24</f>
        <v>0.24</v>
      </c>
      <c r="AP1169">
        <f>12</f>
        <v>12</v>
      </c>
      <c r="AQ1169">
        <f>5.6</f>
        <v>5.6</v>
      </c>
      <c r="AR1169" t="s">
        <v>157</v>
      </c>
      <c r="AS1169">
        <f>6.4</f>
        <v>6.4</v>
      </c>
      <c r="AY1169" t="s">
        <v>167</v>
      </c>
      <c r="AZ1169" t="s">
        <v>158</v>
      </c>
      <c r="BA1169" t="s">
        <v>216</v>
      </c>
      <c r="BB1169" t="s">
        <v>158</v>
      </c>
      <c r="BC1169" t="s">
        <v>166</v>
      </c>
      <c r="BD1169" t="s">
        <v>167</v>
      </c>
      <c r="BE1169">
        <f>0.0016</f>
        <v>1.6000000000000001E-3</v>
      </c>
      <c r="BF1169" t="s">
        <v>168</v>
      </c>
      <c r="BG1169" t="s">
        <v>167</v>
      </c>
      <c r="BH1169">
        <f>1.3</f>
        <v>1.3</v>
      </c>
      <c r="BK1169">
        <f>0.48</f>
        <v>0.48</v>
      </c>
    </row>
    <row r="1170" spans="1:149" x14ac:dyDescent="0.25">
      <c r="A1170" t="s">
        <v>3662</v>
      </c>
      <c r="B1170" t="s">
        <v>148</v>
      </c>
      <c r="C1170" s="1">
        <v>45895</v>
      </c>
      <c r="D1170" t="s">
        <v>222</v>
      </c>
      <c r="E1170" t="s">
        <v>223</v>
      </c>
      <c r="F1170" t="s">
        <v>429</v>
      </c>
      <c r="G1170" t="s">
        <v>1047</v>
      </c>
      <c r="H1170">
        <v>1282</v>
      </c>
      <c r="I1170" t="s">
        <v>1047</v>
      </c>
      <c r="J1170">
        <v>1458</v>
      </c>
      <c r="K1170" t="s">
        <v>5254</v>
      </c>
      <c r="L1170" t="s">
        <v>4947</v>
      </c>
      <c r="M1170" t="s">
        <v>5377</v>
      </c>
      <c r="N1170" t="s">
        <v>5889</v>
      </c>
      <c r="O1170" t="s">
        <v>1048</v>
      </c>
      <c r="Q1170" t="s">
        <v>6298</v>
      </c>
      <c r="R1170">
        <f>1</f>
        <v>1</v>
      </c>
      <c r="S1170">
        <f>16.5</f>
        <v>16.5</v>
      </c>
      <c r="T1170">
        <f>7.9</f>
        <v>7.9</v>
      </c>
      <c r="U1170">
        <f>388</f>
        <v>388</v>
      </c>
      <c r="X1170">
        <f>1</f>
        <v>1</v>
      </c>
      <c r="Y1170">
        <f>0.12</f>
        <v>0.12</v>
      </c>
      <c r="Z1170">
        <f>0</f>
        <v>0</v>
      </c>
      <c r="AA1170">
        <f>0</f>
        <v>0</v>
      </c>
      <c r="AB1170">
        <f>0</f>
        <v>0</v>
      </c>
      <c r="AD1170">
        <f>0</f>
        <v>0</v>
      </c>
      <c r="AE1170">
        <f>0</f>
        <v>0</v>
      </c>
      <c r="AH1170" t="s">
        <v>166</v>
      </c>
      <c r="AI1170">
        <f>0.62</f>
        <v>0.62</v>
      </c>
      <c r="AL1170" t="s">
        <v>168</v>
      </c>
      <c r="AM1170" t="s">
        <v>164</v>
      </c>
      <c r="AN1170">
        <f>3.3</f>
        <v>3.3</v>
      </c>
      <c r="AO1170">
        <f>0.07</f>
        <v>7.0000000000000007E-2</v>
      </c>
      <c r="AP1170">
        <f>3.4</f>
        <v>3.4</v>
      </c>
      <c r="AQ1170">
        <f>1.7</f>
        <v>1.7</v>
      </c>
      <c r="AR1170" t="s">
        <v>167</v>
      </c>
      <c r="AS1170">
        <f>1.1</f>
        <v>1.1000000000000001</v>
      </c>
      <c r="AY1170" t="s">
        <v>157</v>
      </c>
      <c r="AZ1170" t="s">
        <v>208</v>
      </c>
      <c r="BA1170">
        <f>0.0012</f>
        <v>1.1999999999999999E-3</v>
      </c>
      <c r="BB1170">
        <f>4.3</f>
        <v>4.3</v>
      </c>
      <c r="BC1170" t="s">
        <v>209</v>
      </c>
      <c r="BD1170" t="s">
        <v>157</v>
      </c>
      <c r="BE1170">
        <f>0.0056</f>
        <v>5.5999999999999999E-3</v>
      </c>
      <c r="BF1170" t="s">
        <v>168</v>
      </c>
      <c r="BG1170" t="s">
        <v>237</v>
      </c>
      <c r="BH1170" t="s">
        <v>157</v>
      </c>
      <c r="BJ1170" t="s">
        <v>216</v>
      </c>
      <c r="BK1170">
        <f>0.44</f>
        <v>0.44</v>
      </c>
      <c r="EL1170">
        <f>2.4</f>
        <v>2.4</v>
      </c>
      <c r="EM1170" t="s">
        <v>238</v>
      </c>
      <c r="EN1170">
        <f>1</f>
        <v>1</v>
      </c>
      <c r="EO1170" t="s">
        <v>238</v>
      </c>
      <c r="ER1170">
        <f>3.4</f>
        <v>3.4</v>
      </c>
    </row>
    <row r="1171" spans="1:149" x14ac:dyDescent="0.25">
      <c r="A1171" t="s">
        <v>3663</v>
      </c>
      <c r="B1171" t="s">
        <v>148</v>
      </c>
      <c r="C1171" s="1">
        <v>45761</v>
      </c>
      <c r="D1171" t="s">
        <v>222</v>
      </c>
      <c r="E1171" t="s">
        <v>223</v>
      </c>
      <c r="F1171" t="s">
        <v>469</v>
      </c>
      <c r="G1171" t="s">
        <v>1050</v>
      </c>
      <c r="H1171">
        <v>373</v>
      </c>
      <c r="I1171" t="s">
        <v>1050</v>
      </c>
      <c r="J1171">
        <v>1489</v>
      </c>
      <c r="K1171" t="s">
        <v>5257</v>
      </c>
      <c r="L1171" t="s">
        <v>393</v>
      </c>
      <c r="M1171" t="s">
        <v>1051</v>
      </c>
      <c r="N1171" t="s">
        <v>4742</v>
      </c>
      <c r="O1171" t="s">
        <v>1052</v>
      </c>
      <c r="Q1171" t="s">
        <v>6298</v>
      </c>
      <c r="R1171">
        <f>1</f>
        <v>1</v>
      </c>
      <c r="S1171">
        <f>12.6</f>
        <v>12.6</v>
      </c>
      <c r="T1171">
        <f>8</f>
        <v>8</v>
      </c>
      <c r="U1171">
        <f>225</f>
        <v>225</v>
      </c>
      <c r="X1171">
        <f>1</f>
        <v>1</v>
      </c>
      <c r="Y1171">
        <f>0.08</f>
        <v>0.08</v>
      </c>
      <c r="Z1171">
        <f>0</f>
        <v>0</v>
      </c>
      <c r="AA1171">
        <f>0</f>
        <v>0</v>
      </c>
      <c r="AB1171">
        <f>0</f>
        <v>0</v>
      </c>
      <c r="AC1171">
        <f>0</f>
        <v>0</v>
      </c>
      <c r="AD1171">
        <f>0</f>
        <v>0</v>
      </c>
      <c r="AE1171">
        <f>0</f>
        <v>0</v>
      </c>
      <c r="AH1171" t="s">
        <v>166</v>
      </c>
      <c r="AI1171">
        <f>0.31</f>
        <v>0.31</v>
      </c>
      <c r="AL1171" t="s">
        <v>168</v>
      </c>
      <c r="AM1171" t="s">
        <v>164</v>
      </c>
      <c r="AN1171">
        <f>2.2</f>
        <v>2.2000000000000002</v>
      </c>
      <c r="AO1171">
        <f>0.04</f>
        <v>0.04</v>
      </c>
      <c r="AP1171">
        <f>1.5</f>
        <v>1.5</v>
      </c>
      <c r="AQ1171">
        <f>1.2</f>
        <v>1.2</v>
      </c>
      <c r="AR1171" t="s">
        <v>167</v>
      </c>
      <c r="AS1171">
        <f>1.4</f>
        <v>1.4</v>
      </c>
      <c r="AY1171">
        <f>0.26</f>
        <v>0.26</v>
      </c>
      <c r="AZ1171" t="s">
        <v>208</v>
      </c>
      <c r="BA1171">
        <f>0.0023</f>
        <v>2.3E-3</v>
      </c>
      <c r="BB1171">
        <f>11</f>
        <v>11</v>
      </c>
      <c r="BC1171" t="s">
        <v>209</v>
      </c>
      <c r="BD1171" t="s">
        <v>157</v>
      </c>
      <c r="BE1171">
        <f>0.0012</f>
        <v>1.1999999999999999E-3</v>
      </c>
      <c r="BF1171" t="s">
        <v>168</v>
      </c>
      <c r="BG1171" t="s">
        <v>237</v>
      </c>
      <c r="BH1171" t="s">
        <v>157</v>
      </c>
      <c r="BK1171" t="s">
        <v>157</v>
      </c>
      <c r="EL1171">
        <f>1</f>
        <v>1</v>
      </c>
      <c r="EM1171" t="s">
        <v>238</v>
      </c>
      <c r="EN1171">
        <f>0.5</f>
        <v>0.5</v>
      </c>
      <c r="EO1171" t="s">
        <v>238</v>
      </c>
      <c r="ER1171">
        <f>1.5</f>
        <v>1.5</v>
      </c>
    </row>
    <row r="1172" spans="1:149" x14ac:dyDescent="0.25">
      <c r="A1172" t="s">
        <v>3664</v>
      </c>
      <c r="B1172" t="s">
        <v>148</v>
      </c>
      <c r="C1172" s="1">
        <v>45782</v>
      </c>
      <c r="D1172" t="s">
        <v>222</v>
      </c>
      <c r="E1172" t="s">
        <v>223</v>
      </c>
      <c r="F1172" t="s">
        <v>224</v>
      </c>
      <c r="G1172" t="s">
        <v>1054</v>
      </c>
      <c r="H1172">
        <v>1392</v>
      </c>
      <c r="I1172" t="s">
        <v>1054</v>
      </c>
      <c r="J1172">
        <v>601</v>
      </c>
      <c r="K1172" t="s">
        <v>5254</v>
      </c>
      <c r="L1172" t="s">
        <v>4947</v>
      </c>
      <c r="M1172" t="s">
        <v>5378</v>
      </c>
      <c r="N1172" t="s">
        <v>5890</v>
      </c>
      <c r="O1172" t="s">
        <v>1055</v>
      </c>
      <c r="R1172">
        <f>1</f>
        <v>1</v>
      </c>
      <c r="S1172">
        <f>17.9</f>
        <v>17.899999999999999</v>
      </c>
      <c r="T1172">
        <f>8</f>
        <v>8</v>
      </c>
      <c r="U1172">
        <f>263</f>
        <v>263</v>
      </c>
      <c r="V1172">
        <f>0.11</f>
        <v>0.11</v>
      </c>
      <c r="X1172">
        <f>1</f>
        <v>1</v>
      </c>
      <c r="Y1172">
        <f>0.14</f>
        <v>0.14000000000000001</v>
      </c>
      <c r="Z1172">
        <f>0</f>
        <v>0</v>
      </c>
      <c r="AA1172">
        <f>0</f>
        <v>0</v>
      </c>
      <c r="AB1172">
        <f>0</f>
        <v>0</v>
      </c>
      <c r="AD1172">
        <f>0</f>
        <v>0</v>
      </c>
      <c r="AE1172">
        <f>0</f>
        <v>0</v>
      </c>
      <c r="AH1172" t="s">
        <v>166</v>
      </c>
      <c r="AI1172">
        <f>0.37</f>
        <v>0.37</v>
      </c>
      <c r="AL1172" t="s">
        <v>168</v>
      </c>
      <c r="AM1172" t="s">
        <v>164</v>
      </c>
      <c r="AN1172">
        <f>2.5</f>
        <v>2.5</v>
      </c>
      <c r="AO1172">
        <f>0.05</f>
        <v>0.05</v>
      </c>
      <c r="AP1172">
        <f>3.7</f>
        <v>3.7</v>
      </c>
      <c r="AQ1172">
        <f>2</f>
        <v>2</v>
      </c>
      <c r="AR1172" t="s">
        <v>167</v>
      </c>
      <c r="AS1172">
        <f>1.9</f>
        <v>1.9</v>
      </c>
      <c r="AY1172" t="s">
        <v>157</v>
      </c>
      <c r="AZ1172" t="s">
        <v>208</v>
      </c>
      <c r="BA1172">
        <f>0.0039</f>
        <v>3.8999999999999998E-3</v>
      </c>
      <c r="BB1172">
        <f>2</f>
        <v>2</v>
      </c>
      <c r="BC1172" t="s">
        <v>209</v>
      </c>
      <c r="BD1172" t="s">
        <v>157</v>
      </c>
      <c r="BE1172">
        <f>0.0037</f>
        <v>3.7000000000000002E-3</v>
      </c>
      <c r="BF1172" t="s">
        <v>168</v>
      </c>
      <c r="BG1172" t="s">
        <v>237</v>
      </c>
      <c r="BH1172" t="s">
        <v>157</v>
      </c>
      <c r="BK1172">
        <f>0.24</f>
        <v>0.24</v>
      </c>
      <c r="EL1172" t="s">
        <v>238</v>
      </c>
      <c r="EM1172" t="s">
        <v>238</v>
      </c>
      <c r="EN1172" t="s">
        <v>238</v>
      </c>
      <c r="EO1172">
        <f>0.5</f>
        <v>0.5</v>
      </c>
      <c r="ER1172">
        <f>0.5</f>
        <v>0.5</v>
      </c>
    </row>
    <row r="1173" spans="1:149" x14ac:dyDescent="0.25">
      <c r="A1173" t="s">
        <v>3665</v>
      </c>
      <c r="B1173" t="s">
        <v>148</v>
      </c>
      <c r="C1173" s="1">
        <v>45817</v>
      </c>
      <c r="D1173" t="s">
        <v>175</v>
      </c>
      <c r="E1173" t="s">
        <v>176</v>
      </c>
      <c r="F1173" t="s">
        <v>1637</v>
      </c>
      <c r="G1173" t="s">
        <v>6653</v>
      </c>
      <c r="H1173">
        <v>1688</v>
      </c>
      <c r="I1173" t="s">
        <v>6653</v>
      </c>
      <c r="J1173">
        <v>2568</v>
      </c>
      <c r="K1173" t="s">
        <v>5254</v>
      </c>
      <c r="L1173" t="s">
        <v>387</v>
      </c>
      <c r="M1173" t="s">
        <v>5445</v>
      </c>
      <c r="N1173" t="s">
        <v>5980</v>
      </c>
      <c r="O1173" t="s">
        <v>1638</v>
      </c>
      <c r="R1173">
        <f>1</f>
        <v>1</v>
      </c>
      <c r="S1173">
        <f>14.7</f>
        <v>14.7</v>
      </c>
      <c r="T1173">
        <f>7</f>
        <v>7</v>
      </c>
      <c r="U1173">
        <f>546</f>
        <v>546</v>
      </c>
      <c r="X1173">
        <f>1</f>
        <v>1</v>
      </c>
      <c r="Y1173" t="s">
        <v>157</v>
      </c>
      <c r="Z1173">
        <f>0</f>
        <v>0</v>
      </c>
      <c r="AA1173" t="s">
        <v>158</v>
      </c>
      <c r="AB1173" t="s">
        <v>158</v>
      </c>
      <c r="AD1173">
        <f>0</f>
        <v>0</v>
      </c>
      <c r="AE1173">
        <f>0</f>
        <v>0</v>
      </c>
      <c r="AH1173" t="s">
        <v>157</v>
      </c>
      <c r="AI1173" t="s">
        <v>238</v>
      </c>
      <c r="AL1173" t="s">
        <v>164</v>
      </c>
      <c r="AM1173" t="s">
        <v>165</v>
      </c>
      <c r="AN1173">
        <f>3</f>
        <v>3</v>
      </c>
      <c r="AO1173">
        <f>0.06</f>
        <v>0.06</v>
      </c>
      <c r="AP1173">
        <f>4.3</f>
        <v>4.3</v>
      </c>
      <c r="AQ1173">
        <f>9</f>
        <v>9</v>
      </c>
      <c r="AR1173" t="s">
        <v>157</v>
      </c>
      <c r="AS1173">
        <f>4.4</f>
        <v>4.4000000000000004</v>
      </c>
      <c r="AY1173" t="s">
        <v>167</v>
      </c>
      <c r="AZ1173" t="s">
        <v>158</v>
      </c>
      <c r="BA1173" t="s">
        <v>216</v>
      </c>
      <c r="BB1173" t="s">
        <v>158</v>
      </c>
      <c r="BC1173" t="s">
        <v>166</v>
      </c>
      <c r="BD1173" t="s">
        <v>167</v>
      </c>
      <c r="BE1173">
        <f>0.0023</f>
        <v>2.3E-3</v>
      </c>
      <c r="BF1173" t="s">
        <v>168</v>
      </c>
      <c r="BG1173" t="s">
        <v>167</v>
      </c>
      <c r="BH1173" t="s">
        <v>167</v>
      </c>
      <c r="BK1173">
        <f>0.49</f>
        <v>0.49</v>
      </c>
      <c r="EL1173">
        <f>0.25</f>
        <v>0.25</v>
      </c>
      <c r="EM1173" t="s">
        <v>166</v>
      </c>
      <c r="EN1173">
        <f>0.41</f>
        <v>0.41</v>
      </c>
      <c r="EO1173">
        <f>0.29</f>
        <v>0.28999999999999998</v>
      </c>
      <c r="ER1173">
        <f>0.95</f>
        <v>0.95</v>
      </c>
    </row>
    <row r="1174" spans="1:149" x14ac:dyDescent="0.25">
      <c r="A1174" t="s">
        <v>3666</v>
      </c>
      <c r="B1174" t="s">
        <v>148</v>
      </c>
      <c r="C1174" s="1">
        <v>45806</v>
      </c>
      <c r="D1174" t="s">
        <v>242</v>
      </c>
      <c r="E1174" t="s">
        <v>295</v>
      </c>
      <c r="F1174" t="s">
        <v>4944</v>
      </c>
      <c r="G1174" t="s">
        <v>1068</v>
      </c>
      <c r="H1174">
        <v>827</v>
      </c>
      <c r="I1174" t="s">
        <v>1068</v>
      </c>
      <c r="J1174">
        <v>1697</v>
      </c>
      <c r="K1174" t="s">
        <v>5254</v>
      </c>
      <c r="L1174" t="s">
        <v>180</v>
      </c>
      <c r="M1174" t="s">
        <v>5379</v>
      </c>
      <c r="N1174" t="s">
        <v>1069</v>
      </c>
      <c r="O1174" t="s">
        <v>1070</v>
      </c>
      <c r="R1174">
        <f>1</f>
        <v>1</v>
      </c>
      <c r="S1174">
        <f>15.2</f>
        <v>15.2</v>
      </c>
      <c r="T1174">
        <f>7.1</f>
        <v>7.1</v>
      </c>
      <c r="U1174">
        <f>550</f>
        <v>550</v>
      </c>
      <c r="X1174">
        <f>0</f>
        <v>0</v>
      </c>
      <c r="Y1174">
        <f>0.3</f>
        <v>0.3</v>
      </c>
      <c r="Z1174">
        <f>0</f>
        <v>0</v>
      </c>
      <c r="AA1174" t="s">
        <v>158</v>
      </c>
      <c r="AB1174" t="s">
        <v>158</v>
      </c>
      <c r="AD1174">
        <f>0</f>
        <v>0</v>
      </c>
      <c r="AE1174">
        <f>0</f>
        <v>0</v>
      </c>
      <c r="AH1174" t="s">
        <v>166</v>
      </c>
    </row>
    <row r="1175" spans="1:149" x14ac:dyDescent="0.25">
      <c r="A1175" t="s">
        <v>3667</v>
      </c>
      <c r="B1175" t="s">
        <v>148</v>
      </c>
      <c r="C1175" s="1">
        <v>45756</v>
      </c>
      <c r="D1175" t="s">
        <v>149</v>
      </c>
      <c r="E1175" t="s">
        <v>150</v>
      </c>
      <c r="F1175" t="s">
        <v>5770</v>
      </c>
      <c r="G1175" t="s">
        <v>170</v>
      </c>
      <c r="H1175">
        <v>1818</v>
      </c>
      <c r="I1175" t="s">
        <v>1072</v>
      </c>
      <c r="J1175">
        <v>2700</v>
      </c>
      <c r="K1175" t="s">
        <v>5254</v>
      </c>
      <c r="M1175" t="s">
        <v>6589</v>
      </c>
      <c r="N1175" t="s">
        <v>6590</v>
      </c>
      <c r="O1175" t="s">
        <v>1073</v>
      </c>
      <c r="R1175">
        <f>1</f>
        <v>1</v>
      </c>
      <c r="S1175">
        <f>11.8</f>
        <v>11.8</v>
      </c>
      <c r="T1175">
        <f>7.6</f>
        <v>7.6</v>
      </c>
      <c r="U1175">
        <f>530</f>
        <v>530</v>
      </c>
      <c r="X1175">
        <f>0</f>
        <v>0</v>
      </c>
      <c r="Y1175">
        <f>0.1</f>
        <v>0.1</v>
      </c>
      <c r="Z1175">
        <f>0</f>
        <v>0</v>
      </c>
      <c r="AA1175">
        <f>75</f>
        <v>75</v>
      </c>
      <c r="AB1175">
        <f>87</f>
        <v>87</v>
      </c>
      <c r="AD1175">
        <f>0</f>
        <v>0</v>
      </c>
      <c r="AE1175">
        <f>0</f>
        <v>0</v>
      </c>
      <c r="AH1175" t="s">
        <v>157</v>
      </c>
      <c r="EP1175" t="s">
        <v>157</v>
      </c>
      <c r="EQ1175" t="s">
        <v>157</v>
      </c>
      <c r="ES1175" t="s">
        <v>166</v>
      </c>
    </row>
    <row r="1176" spans="1:149" x14ac:dyDescent="0.25">
      <c r="A1176" t="s">
        <v>3668</v>
      </c>
      <c r="B1176" t="s">
        <v>148</v>
      </c>
      <c r="C1176" s="1">
        <v>45791</v>
      </c>
      <c r="D1176" t="s">
        <v>269</v>
      </c>
      <c r="E1176" t="s">
        <v>270</v>
      </c>
      <c r="F1176" t="s">
        <v>271</v>
      </c>
      <c r="G1176" t="s">
        <v>5120</v>
      </c>
      <c r="H1176">
        <v>1699</v>
      </c>
      <c r="I1176" t="s">
        <v>5121</v>
      </c>
      <c r="J1176">
        <v>2681</v>
      </c>
      <c r="K1176" t="s">
        <v>5254</v>
      </c>
      <c r="L1176" t="s">
        <v>387</v>
      </c>
      <c r="M1176" t="s">
        <v>5892</v>
      </c>
      <c r="N1176" t="s">
        <v>1077</v>
      </c>
      <c r="O1176" t="s">
        <v>1078</v>
      </c>
      <c r="R1176">
        <f>1</f>
        <v>1</v>
      </c>
      <c r="S1176">
        <f>17</f>
        <v>17</v>
      </c>
      <c r="T1176">
        <f>7.3</f>
        <v>7.3</v>
      </c>
      <c r="U1176">
        <f>418</f>
        <v>418</v>
      </c>
      <c r="X1176">
        <f>0</f>
        <v>0</v>
      </c>
      <c r="Y1176" t="s">
        <v>207</v>
      </c>
      <c r="Z1176">
        <f>0</f>
        <v>0</v>
      </c>
      <c r="AA1176" t="s">
        <v>158</v>
      </c>
      <c r="AB1176">
        <f>10</f>
        <v>10</v>
      </c>
      <c r="AD1176">
        <f>0</f>
        <v>0</v>
      </c>
      <c r="AE1176">
        <f>0</f>
        <v>0</v>
      </c>
      <c r="AH1176" t="s">
        <v>166</v>
      </c>
    </row>
    <row r="1177" spans="1:149" x14ac:dyDescent="0.25">
      <c r="A1177" t="s">
        <v>3669</v>
      </c>
      <c r="B1177" t="s">
        <v>148</v>
      </c>
      <c r="C1177" s="1">
        <v>45783</v>
      </c>
      <c r="D1177" t="s">
        <v>618</v>
      </c>
      <c r="E1177" t="s">
        <v>619</v>
      </c>
      <c r="F1177" t="s">
        <v>620</v>
      </c>
      <c r="G1177" t="s">
        <v>1149</v>
      </c>
      <c r="H1177">
        <v>29</v>
      </c>
      <c r="I1177" t="s">
        <v>1660</v>
      </c>
      <c r="J1177">
        <v>2164</v>
      </c>
      <c r="K1177" t="s">
        <v>5257</v>
      </c>
      <c r="L1177" t="s">
        <v>393</v>
      </c>
      <c r="M1177" t="s">
        <v>5984</v>
      </c>
      <c r="N1177" t="s">
        <v>5985</v>
      </c>
      <c r="O1177" t="s">
        <v>1661</v>
      </c>
      <c r="R1177">
        <f>1</f>
        <v>1</v>
      </c>
      <c r="S1177">
        <f>14.1</f>
        <v>14.1</v>
      </c>
      <c r="T1177">
        <f>7.7</f>
        <v>7.7</v>
      </c>
      <c r="U1177">
        <f>142</f>
        <v>142</v>
      </c>
      <c r="V1177">
        <f>0.07</f>
        <v>7.0000000000000007E-2</v>
      </c>
      <c r="X1177">
        <f>0</f>
        <v>0</v>
      </c>
      <c r="Y1177">
        <f>0.1</f>
        <v>0.1</v>
      </c>
      <c r="Z1177">
        <f>0</f>
        <v>0</v>
      </c>
      <c r="AA1177" t="s">
        <v>158</v>
      </c>
      <c r="AB1177" t="s">
        <v>158</v>
      </c>
      <c r="AC1177">
        <f>0</f>
        <v>0</v>
      </c>
      <c r="AD1177">
        <f>0</f>
        <v>0</v>
      </c>
      <c r="AE1177">
        <f>0</f>
        <v>0</v>
      </c>
      <c r="AH1177" t="s">
        <v>157</v>
      </c>
    </row>
    <row r="1178" spans="1:149" x14ac:dyDescent="0.25">
      <c r="A1178" t="s">
        <v>3670</v>
      </c>
      <c r="B1178" t="s">
        <v>148</v>
      </c>
      <c r="C1178" s="1">
        <v>45783</v>
      </c>
      <c r="D1178" t="s">
        <v>618</v>
      </c>
      <c r="E1178" t="s">
        <v>619</v>
      </c>
      <c r="F1178" t="s">
        <v>620</v>
      </c>
      <c r="G1178" t="s">
        <v>1080</v>
      </c>
      <c r="H1178">
        <v>42</v>
      </c>
      <c r="I1178" t="s">
        <v>1081</v>
      </c>
      <c r="J1178">
        <v>5500</v>
      </c>
      <c r="K1178" t="s">
        <v>5254</v>
      </c>
      <c r="L1178" t="s">
        <v>180</v>
      </c>
      <c r="M1178" t="s">
        <v>6212</v>
      </c>
      <c r="N1178" t="s">
        <v>5718</v>
      </c>
      <c r="O1178" t="s">
        <v>3671</v>
      </c>
      <c r="R1178">
        <f>1</f>
        <v>1</v>
      </c>
      <c r="S1178">
        <f>13.7</f>
        <v>13.7</v>
      </c>
      <c r="T1178">
        <f>7.6</f>
        <v>7.6</v>
      </c>
      <c r="U1178">
        <f>514</f>
        <v>514</v>
      </c>
      <c r="X1178">
        <f>0</f>
        <v>0</v>
      </c>
      <c r="Y1178">
        <f>0.1</f>
        <v>0.1</v>
      </c>
      <c r="Z1178">
        <f>0</f>
        <v>0</v>
      </c>
      <c r="AA1178" t="s">
        <v>158</v>
      </c>
      <c r="AB1178" t="s">
        <v>158</v>
      </c>
      <c r="AD1178">
        <f>0</f>
        <v>0</v>
      </c>
      <c r="AE1178">
        <f>0</f>
        <v>0</v>
      </c>
      <c r="AH1178" t="s">
        <v>157</v>
      </c>
      <c r="AI1178" t="s">
        <v>238</v>
      </c>
      <c r="AL1178" t="s">
        <v>164</v>
      </c>
      <c r="AM1178" t="s">
        <v>165</v>
      </c>
      <c r="AN1178">
        <f>22</f>
        <v>22</v>
      </c>
      <c r="AO1178">
        <f>0.44</f>
        <v>0.44</v>
      </c>
      <c r="AP1178">
        <f>16</f>
        <v>16</v>
      </c>
      <c r="AQ1178">
        <f>33</f>
        <v>33</v>
      </c>
      <c r="AR1178" t="s">
        <v>157</v>
      </c>
      <c r="AS1178">
        <f>17</f>
        <v>17</v>
      </c>
      <c r="AY1178" t="s">
        <v>167</v>
      </c>
      <c r="AZ1178" t="s">
        <v>158</v>
      </c>
      <c r="BA1178">
        <f>0.02</f>
        <v>0.02</v>
      </c>
      <c r="BB1178" t="s">
        <v>158</v>
      </c>
      <c r="BC1178" t="s">
        <v>166</v>
      </c>
      <c r="BD1178" t="s">
        <v>167</v>
      </c>
      <c r="BE1178">
        <f>0.0041</f>
        <v>4.1000000000000003E-3</v>
      </c>
      <c r="BF1178" t="s">
        <v>168</v>
      </c>
      <c r="BG1178" t="s">
        <v>167</v>
      </c>
      <c r="BH1178" t="s">
        <v>167</v>
      </c>
      <c r="BK1178">
        <f>0.42</f>
        <v>0.42</v>
      </c>
      <c r="BL1178" t="s">
        <v>168</v>
      </c>
      <c r="BM1178" t="s">
        <v>168</v>
      </c>
      <c r="BN1178" t="s">
        <v>168</v>
      </c>
      <c r="BO1178" t="s">
        <v>168</v>
      </c>
      <c r="BP1178" t="s">
        <v>168</v>
      </c>
      <c r="BQ1178" t="s">
        <v>168</v>
      </c>
      <c r="BR1178" t="s">
        <v>168</v>
      </c>
      <c r="BS1178" t="s">
        <v>168</v>
      </c>
      <c r="BT1178" t="s">
        <v>209</v>
      </c>
      <c r="BU1178" t="s">
        <v>168</v>
      </c>
      <c r="BV1178" t="s">
        <v>209</v>
      </c>
      <c r="BW1178" t="s">
        <v>209</v>
      </c>
      <c r="BX1178" t="s">
        <v>209</v>
      </c>
      <c r="BY1178" t="s">
        <v>209</v>
      </c>
      <c r="BZ1178" t="s">
        <v>216</v>
      </c>
      <c r="CA1178" t="s">
        <v>216</v>
      </c>
      <c r="CB1178" t="s">
        <v>168</v>
      </c>
      <c r="CC1178" t="s">
        <v>168</v>
      </c>
      <c r="CD1178" t="s">
        <v>216</v>
      </c>
      <c r="CE1178" t="s">
        <v>209</v>
      </c>
      <c r="CF1178">
        <f>0.053</f>
        <v>5.2999999999999999E-2</v>
      </c>
      <c r="CG1178" t="s">
        <v>168</v>
      </c>
      <c r="CH1178" t="s">
        <v>165</v>
      </c>
      <c r="CI1178">
        <f>0.031</f>
        <v>3.1E-2</v>
      </c>
      <c r="CJ1178" t="s">
        <v>216</v>
      </c>
      <c r="CK1178" t="s">
        <v>216</v>
      </c>
      <c r="CL1178" t="s">
        <v>216</v>
      </c>
      <c r="CM1178" t="s">
        <v>216</v>
      </c>
      <c r="CN1178" t="s">
        <v>216</v>
      </c>
      <c r="CO1178" t="s">
        <v>216</v>
      </c>
      <c r="CP1178" t="s">
        <v>216</v>
      </c>
      <c r="CQ1178" t="s">
        <v>216</v>
      </c>
      <c r="CR1178">
        <f>0.015</f>
        <v>1.4999999999999999E-2</v>
      </c>
      <c r="CS1178" t="s">
        <v>216</v>
      </c>
      <c r="CT1178" t="s">
        <v>216</v>
      </c>
      <c r="CU1178" t="s">
        <v>216</v>
      </c>
      <c r="CV1178" t="s">
        <v>216</v>
      </c>
      <c r="CW1178" t="s">
        <v>216</v>
      </c>
      <c r="CX1178" t="s">
        <v>216</v>
      </c>
      <c r="CY1178" t="s">
        <v>216</v>
      </c>
      <c r="CZ1178" t="s">
        <v>216</v>
      </c>
      <c r="DA1178" t="s">
        <v>168</v>
      </c>
      <c r="DB1178" t="s">
        <v>216</v>
      </c>
      <c r="DC1178" t="s">
        <v>216</v>
      </c>
      <c r="DD1178" t="s">
        <v>216</v>
      </c>
      <c r="DE1178" t="s">
        <v>168</v>
      </c>
      <c r="DF1178" t="s">
        <v>168</v>
      </c>
      <c r="DG1178" t="s">
        <v>216</v>
      </c>
      <c r="DH1178" t="s">
        <v>216</v>
      </c>
      <c r="DI1178" t="s">
        <v>216</v>
      </c>
      <c r="DJ1178" t="s">
        <v>216</v>
      </c>
      <c r="DK1178" t="s">
        <v>168</v>
      </c>
      <c r="DL1178" t="s">
        <v>216</v>
      </c>
      <c r="DM1178" t="s">
        <v>216</v>
      </c>
      <c r="DN1178" t="s">
        <v>216</v>
      </c>
      <c r="DO1178" t="s">
        <v>216</v>
      </c>
      <c r="DP1178" t="s">
        <v>168</v>
      </c>
      <c r="DQ1178" t="s">
        <v>216</v>
      </c>
      <c r="DR1178" t="s">
        <v>168</v>
      </c>
      <c r="DS1178" t="s">
        <v>168</v>
      </c>
      <c r="DT1178" t="s">
        <v>168</v>
      </c>
      <c r="DU1178" t="s">
        <v>168</v>
      </c>
      <c r="DV1178" t="s">
        <v>168</v>
      </c>
      <c r="DW1178" t="s">
        <v>168</v>
      </c>
      <c r="DX1178" t="s">
        <v>168</v>
      </c>
      <c r="DY1178" t="s">
        <v>168</v>
      </c>
      <c r="DZ1178" t="s">
        <v>209</v>
      </c>
      <c r="EA1178" t="s">
        <v>216</v>
      </c>
      <c r="EB1178" t="s">
        <v>168</v>
      </c>
      <c r="EC1178" t="s">
        <v>168</v>
      </c>
      <c r="ED1178" t="s">
        <v>209</v>
      </c>
      <c r="EE1178" t="s">
        <v>168</v>
      </c>
    </row>
    <row r="1179" spans="1:149" x14ac:dyDescent="0.25">
      <c r="A1179" t="s">
        <v>3672</v>
      </c>
      <c r="B1179" t="s">
        <v>148</v>
      </c>
      <c r="C1179" s="1">
        <v>45751</v>
      </c>
      <c r="D1179" t="s">
        <v>618</v>
      </c>
      <c r="E1179" t="s">
        <v>619</v>
      </c>
      <c r="F1179" t="s">
        <v>620</v>
      </c>
      <c r="G1179" t="s">
        <v>1080</v>
      </c>
      <c r="H1179">
        <v>42</v>
      </c>
      <c r="I1179" t="s">
        <v>1081</v>
      </c>
      <c r="J1179">
        <v>5500</v>
      </c>
      <c r="K1179" t="s">
        <v>5254</v>
      </c>
      <c r="L1179" t="s">
        <v>180</v>
      </c>
      <c r="M1179" t="s">
        <v>5380</v>
      </c>
      <c r="N1179" t="s">
        <v>5381</v>
      </c>
      <c r="O1179" t="s">
        <v>1082</v>
      </c>
      <c r="R1179">
        <f>1</f>
        <v>1</v>
      </c>
      <c r="S1179">
        <f>11.6</f>
        <v>11.6</v>
      </c>
      <c r="T1179">
        <f>7.6</f>
        <v>7.6</v>
      </c>
      <c r="U1179">
        <f>530</f>
        <v>530</v>
      </c>
      <c r="X1179">
        <f>0</f>
        <v>0</v>
      </c>
      <c r="Y1179">
        <f>0.1</f>
        <v>0.1</v>
      </c>
      <c r="Z1179">
        <f>0</f>
        <v>0</v>
      </c>
      <c r="AA1179" t="s">
        <v>158</v>
      </c>
      <c r="AB1179" t="s">
        <v>158</v>
      </c>
      <c r="AD1179">
        <f>0</f>
        <v>0</v>
      </c>
      <c r="AE1179">
        <f>0</f>
        <v>0</v>
      </c>
      <c r="AH1179" t="s">
        <v>157</v>
      </c>
    </row>
    <row r="1180" spans="1:149" x14ac:dyDescent="0.25">
      <c r="A1180" t="s">
        <v>3673</v>
      </c>
      <c r="B1180" t="s">
        <v>148</v>
      </c>
      <c r="C1180" s="1">
        <v>45873</v>
      </c>
      <c r="D1180" t="s">
        <v>317</v>
      </c>
      <c r="E1180" t="s">
        <v>318</v>
      </c>
      <c r="F1180" t="s">
        <v>847</v>
      </c>
      <c r="G1180" t="s">
        <v>848</v>
      </c>
      <c r="H1180">
        <v>988</v>
      </c>
      <c r="I1180" t="s">
        <v>849</v>
      </c>
      <c r="J1180">
        <v>3256</v>
      </c>
      <c r="K1180" t="s">
        <v>5254</v>
      </c>
      <c r="L1180" t="s">
        <v>4967</v>
      </c>
      <c r="M1180" t="s">
        <v>1084</v>
      </c>
      <c r="N1180" t="s">
        <v>1085</v>
      </c>
      <c r="O1180" t="s">
        <v>1086</v>
      </c>
      <c r="Q1180" t="s">
        <v>1087</v>
      </c>
      <c r="R1180">
        <f>1</f>
        <v>1</v>
      </c>
      <c r="S1180">
        <f>13.6</f>
        <v>13.6</v>
      </c>
      <c r="T1180">
        <f>7.8</f>
        <v>7.8</v>
      </c>
      <c r="U1180">
        <f>333</f>
        <v>333</v>
      </c>
      <c r="X1180">
        <f>0</f>
        <v>0</v>
      </c>
      <c r="Y1180" t="s">
        <v>157</v>
      </c>
      <c r="Z1180">
        <f>0</f>
        <v>0</v>
      </c>
      <c r="AA1180">
        <f>1</f>
        <v>1</v>
      </c>
      <c r="AB1180">
        <f>1</f>
        <v>1</v>
      </c>
      <c r="AD1180">
        <f>0</f>
        <v>0</v>
      </c>
      <c r="AE1180">
        <f>0</f>
        <v>0</v>
      </c>
      <c r="AH1180" t="s">
        <v>157</v>
      </c>
    </row>
    <row r="1181" spans="1:149" x14ac:dyDescent="0.25">
      <c r="A1181" t="s">
        <v>3674</v>
      </c>
      <c r="B1181" t="s">
        <v>148</v>
      </c>
      <c r="C1181" s="1">
        <v>45810</v>
      </c>
      <c r="D1181" t="s">
        <v>175</v>
      </c>
      <c r="E1181" t="s">
        <v>176</v>
      </c>
      <c r="F1181" t="s">
        <v>556</v>
      </c>
      <c r="G1181" t="s">
        <v>557</v>
      </c>
      <c r="H1181">
        <v>1707</v>
      </c>
      <c r="I1181" t="s">
        <v>6655</v>
      </c>
      <c r="J1181">
        <v>4171</v>
      </c>
      <c r="K1181" t="s">
        <v>5254</v>
      </c>
      <c r="M1181" t="s">
        <v>4781</v>
      </c>
      <c r="N1181" t="s">
        <v>4782</v>
      </c>
      <c r="O1181" t="s">
        <v>1674</v>
      </c>
      <c r="Q1181" t="s">
        <v>6311</v>
      </c>
      <c r="R1181">
        <f>1</f>
        <v>1</v>
      </c>
      <c r="S1181">
        <f>17.6</f>
        <v>17.600000000000001</v>
      </c>
      <c r="T1181">
        <f>7.4</f>
        <v>7.4</v>
      </c>
      <c r="U1181">
        <f>545</f>
        <v>545</v>
      </c>
      <c r="X1181">
        <f>0</f>
        <v>0</v>
      </c>
      <c r="Y1181" t="s">
        <v>157</v>
      </c>
      <c r="Z1181">
        <f>0</f>
        <v>0</v>
      </c>
      <c r="AA1181" t="s">
        <v>158</v>
      </c>
      <c r="AB1181" t="s">
        <v>158</v>
      </c>
      <c r="AD1181">
        <f>0</f>
        <v>0</v>
      </c>
      <c r="AE1181">
        <f>0</f>
        <v>0</v>
      </c>
      <c r="AH1181" t="s">
        <v>157</v>
      </c>
      <c r="AI1181" t="s">
        <v>238</v>
      </c>
      <c r="AL1181" t="s">
        <v>164</v>
      </c>
      <c r="AM1181" t="s">
        <v>165</v>
      </c>
      <c r="AN1181">
        <f>19</f>
        <v>19</v>
      </c>
      <c r="AO1181">
        <f>0.38</f>
        <v>0.38</v>
      </c>
      <c r="AP1181">
        <f>18</f>
        <v>18</v>
      </c>
      <c r="AQ1181">
        <f>32</f>
        <v>32</v>
      </c>
      <c r="AR1181" t="s">
        <v>157</v>
      </c>
      <c r="AS1181">
        <f>20</f>
        <v>20</v>
      </c>
      <c r="AY1181" t="s">
        <v>167</v>
      </c>
      <c r="AZ1181" t="s">
        <v>158</v>
      </c>
      <c r="BA1181">
        <f>0.046</f>
        <v>4.5999999999999999E-2</v>
      </c>
      <c r="BB1181" t="s">
        <v>158</v>
      </c>
      <c r="BC1181" t="s">
        <v>166</v>
      </c>
      <c r="BD1181" t="s">
        <v>167</v>
      </c>
      <c r="BE1181">
        <f>0.0022</f>
        <v>2.2000000000000001E-3</v>
      </c>
      <c r="BF1181" t="s">
        <v>168</v>
      </c>
      <c r="BG1181">
        <f>12</f>
        <v>12</v>
      </c>
      <c r="BH1181">
        <f>1.8</f>
        <v>1.8</v>
      </c>
      <c r="BK1181">
        <f>0.6</f>
        <v>0.6</v>
      </c>
      <c r="BL1181" t="s">
        <v>168</v>
      </c>
      <c r="BM1181" t="s">
        <v>168</v>
      </c>
      <c r="BN1181" t="s">
        <v>168</v>
      </c>
      <c r="BO1181" t="s">
        <v>168</v>
      </c>
      <c r="BP1181" t="s">
        <v>168</v>
      </c>
      <c r="BQ1181" t="s">
        <v>168</v>
      </c>
      <c r="BR1181" t="s">
        <v>168</v>
      </c>
      <c r="BS1181" t="s">
        <v>168</v>
      </c>
      <c r="BT1181" t="s">
        <v>216</v>
      </c>
      <c r="BU1181" t="s">
        <v>168</v>
      </c>
      <c r="BV1181" t="s">
        <v>209</v>
      </c>
      <c r="BW1181" t="s">
        <v>209</v>
      </c>
      <c r="BX1181" t="s">
        <v>209</v>
      </c>
      <c r="BY1181" t="s">
        <v>209</v>
      </c>
      <c r="BZ1181" t="s">
        <v>216</v>
      </c>
      <c r="CA1181" t="s">
        <v>216</v>
      </c>
      <c r="CB1181" t="s">
        <v>168</v>
      </c>
      <c r="CC1181" t="s">
        <v>168</v>
      </c>
      <c r="CD1181" t="s">
        <v>216</v>
      </c>
      <c r="CE1181" t="s">
        <v>209</v>
      </c>
      <c r="CF1181" t="s">
        <v>168</v>
      </c>
      <c r="CG1181" t="s">
        <v>168</v>
      </c>
      <c r="CH1181" t="s">
        <v>165</v>
      </c>
      <c r="CI1181">
        <f>0.023</f>
        <v>2.3E-2</v>
      </c>
      <c r="CJ1181" t="s">
        <v>216</v>
      </c>
      <c r="CK1181" t="s">
        <v>216</v>
      </c>
      <c r="CL1181" t="s">
        <v>216</v>
      </c>
      <c r="CM1181" t="s">
        <v>216</v>
      </c>
      <c r="CN1181" t="s">
        <v>216</v>
      </c>
      <c r="CO1181" t="s">
        <v>216</v>
      </c>
      <c r="CP1181" t="s">
        <v>216</v>
      </c>
      <c r="CQ1181" t="s">
        <v>216</v>
      </c>
      <c r="CR1181">
        <f>0.027</f>
        <v>2.7E-2</v>
      </c>
      <c r="CS1181" t="s">
        <v>216</v>
      </c>
      <c r="CT1181" t="s">
        <v>216</v>
      </c>
      <c r="CU1181" t="s">
        <v>216</v>
      </c>
      <c r="CV1181" t="s">
        <v>216</v>
      </c>
      <c r="CW1181" t="s">
        <v>216</v>
      </c>
      <c r="CX1181" t="s">
        <v>216</v>
      </c>
      <c r="CY1181" t="s">
        <v>216</v>
      </c>
      <c r="CZ1181" t="s">
        <v>216</v>
      </c>
      <c r="DA1181" t="s">
        <v>168</v>
      </c>
      <c r="DB1181" t="s">
        <v>216</v>
      </c>
      <c r="DC1181" t="s">
        <v>216</v>
      </c>
      <c r="DD1181" t="s">
        <v>216</v>
      </c>
      <c r="DE1181" t="s">
        <v>168</v>
      </c>
      <c r="DF1181" t="s">
        <v>168</v>
      </c>
      <c r="DG1181" t="s">
        <v>216</v>
      </c>
      <c r="DH1181" t="s">
        <v>216</v>
      </c>
      <c r="DI1181" t="s">
        <v>216</v>
      </c>
      <c r="DJ1181" t="s">
        <v>216</v>
      </c>
      <c r="DK1181" t="s">
        <v>168</v>
      </c>
      <c r="DL1181" t="s">
        <v>216</v>
      </c>
      <c r="DM1181" t="s">
        <v>216</v>
      </c>
      <c r="DN1181" t="s">
        <v>216</v>
      </c>
      <c r="DO1181" t="s">
        <v>216</v>
      </c>
      <c r="DP1181" t="s">
        <v>168</v>
      </c>
      <c r="DQ1181" t="s">
        <v>216</v>
      </c>
      <c r="DR1181" t="s">
        <v>168</v>
      </c>
      <c r="DS1181" t="s">
        <v>168</v>
      </c>
      <c r="DT1181" t="s">
        <v>168</v>
      </c>
      <c r="DU1181" t="s">
        <v>168</v>
      </c>
      <c r="DV1181" t="s">
        <v>168</v>
      </c>
      <c r="DW1181" t="s">
        <v>168</v>
      </c>
      <c r="DX1181" t="s">
        <v>168</v>
      </c>
      <c r="DY1181" t="s">
        <v>168</v>
      </c>
      <c r="DZ1181" t="s">
        <v>209</v>
      </c>
      <c r="EA1181" t="s">
        <v>216</v>
      </c>
      <c r="EB1181" t="s">
        <v>168</v>
      </c>
      <c r="EC1181" t="s">
        <v>168</v>
      </c>
      <c r="ED1181" t="s">
        <v>209</v>
      </c>
      <c r="EE1181" t="s">
        <v>168</v>
      </c>
    </row>
    <row r="1182" spans="1:149" x14ac:dyDescent="0.25">
      <c r="A1182" t="s">
        <v>3675</v>
      </c>
      <c r="B1182" t="s">
        <v>148</v>
      </c>
      <c r="C1182" s="1">
        <v>45783</v>
      </c>
      <c r="D1182" t="s">
        <v>618</v>
      </c>
      <c r="E1182" t="s">
        <v>619</v>
      </c>
      <c r="F1182" t="s">
        <v>620</v>
      </c>
      <c r="G1182" t="s">
        <v>1149</v>
      </c>
      <c r="H1182">
        <v>30</v>
      </c>
      <c r="I1182" t="s">
        <v>1150</v>
      </c>
      <c r="J1182">
        <v>501</v>
      </c>
      <c r="K1182" t="s">
        <v>5257</v>
      </c>
      <c r="L1182" t="s">
        <v>393</v>
      </c>
      <c r="M1182" t="s">
        <v>1151</v>
      </c>
      <c r="N1182" t="s">
        <v>1152</v>
      </c>
      <c r="O1182" t="s">
        <v>1153</v>
      </c>
      <c r="R1182">
        <f>1</f>
        <v>1</v>
      </c>
      <c r="S1182">
        <f>13.3</f>
        <v>13.3</v>
      </c>
      <c r="T1182">
        <f>7.5</f>
        <v>7.5</v>
      </c>
      <c r="U1182">
        <f>145</f>
        <v>145</v>
      </c>
      <c r="V1182">
        <f>0.07</f>
        <v>7.0000000000000007E-2</v>
      </c>
      <c r="X1182">
        <f>0</f>
        <v>0</v>
      </c>
      <c r="Y1182">
        <f>0.1</f>
        <v>0.1</v>
      </c>
      <c r="Z1182">
        <f>0</f>
        <v>0</v>
      </c>
      <c r="AA1182" t="s">
        <v>158</v>
      </c>
      <c r="AB1182" t="s">
        <v>158</v>
      </c>
      <c r="AC1182">
        <f>0</f>
        <v>0</v>
      </c>
      <c r="AD1182">
        <f>0</f>
        <v>0</v>
      </c>
      <c r="AE1182">
        <f>0</f>
        <v>0</v>
      </c>
      <c r="AH1182" t="s">
        <v>157</v>
      </c>
      <c r="AI1182" t="s">
        <v>238</v>
      </c>
      <c r="AL1182" t="s">
        <v>164</v>
      </c>
      <c r="AM1182" t="s">
        <v>165</v>
      </c>
      <c r="AN1182">
        <f>3.5</f>
        <v>3.5</v>
      </c>
      <c r="AO1182">
        <f>0.07</f>
        <v>7.0000000000000007E-2</v>
      </c>
      <c r="AP1182">
        <f>10</f>
        <v>10</v>
      </c>
      <c r="AQ1182">
        <f>1</f>
        <v>1</v>
      </c>
      <c r="AR1182" t="s">
        <v>157</v>
      </c>
      <c r="AS1182">
        <f>2</f>
        <v>2</v>
      </c>
      <c r="AY1182" t="s">
        <v>167</v>
      </c>
      <c r="AZ1182" t="s">
        <v>158</v>
      </c>
      <c r="BA1182" t="s">
        <v>216</v>
      </c>
      <c r="BB1182" t="s">
        <v>158</v>
      </c>
      <c r="BC1182" t="s">
        <v>166</v>
      </c>
      <c r="BD1182" t="s">
        <v>167</v>
      </c>
      <c r="BE1182">
        <f>0.0014</f>
        <v>1.4E-3</v>
      </c>
      <c r="BF1182" t="s">
        <v>168</v>
      </c>
      <c r="BG1182" t="s">
        <v>167</v>
      </c>
      <c r="BH1182" t="s">
        <v>167</v>
      </c>
      <c r="BK1182">
        <f>0.094</f>
        <v>9.4E-2</v>
      </c>
      <c r="EL1182">
        <f>0.3</f>
        <v>0.3</v>
      </c>
      <c r="EM1182">
        <f>0.26</f>
        <v>0.26</v>
      </c>
      <c r="EN1182">
        <f>0.42</f>
        <v>0.42</v>
      </c>
      <c r="EO1182">
        <f>0.54</f>
        <v>0.54</v>
      </c>
      <c r="ER1182">
        <f>1.5</f>
        <v>1.5</v>
      </c>
    </row>
    <row r="1183" spans="1:149" x14ac:dyDescent="0.25">
      <c r="A1183" t="s">
        <v>3676</v>
      </c>
      <c r="B1183" t="s">
        <v>148</v>
      </c>
      <c r="C1183" s="1">
        <v>45793</v>
      </c>
      <c r="D1183" t="s">
        <v>175</v>
      </c>
      <c r="E1183" t="s">
        <v>176</v>
      </c>
      <c r="F1183" t="s">
        <v>630</v>
      </c>
      <c r="G1183" t="s">
        <v>6594</v>
      </c>
      <c r="H1183">
        <v>28</v>
      </c>
      <c r="I1183" t="s">
        <v>6594</v>
      </c>
      <c r="J1183">
        <v>1000</v>
      </c>
      <c r="K1183" t="s">
        <v>5257</v>
      </c>
      <c r="L1183" t="s">
        <v>154</v>
      </c>
      <c r="M1183" t="s">
        <v>5899</v>
      </c>
      <c r="N1183" t="s">
        <v>5125</v>
      </c>
      <c r="O1183" t="s">
        <v>1155</v>
      </c>
      <c r="Q1183" t="s">
        <v>1097</v>
      </c>
      <c r="R1183">
        <f>1</f>
        <v>1</v>
      </c>
      <c r="S1183">
        <f>16.1</f>
        <v>16.100000000000001</v>
      </c>
      <c r="T1183">
        <f>7.7</f>
        <v>7.7</v>
      </c>
      <c r="U1183">
        <f>428</f>
        <v>428</v>
      </c>
      <c r="X1183">
        <f>0</f>
        <v>0</v>
      </c>
      <c r="Y1183">
        <f>0.2</f>
        <v>0.2</v>
      </c>
      <c r="Z1183">
        <f>0</f>
        <v>0</v>
      </c>
      <c r="AA1183" t="s">
        <v>158</v>
      </c>
      <c r="AB1183" t="s">
        <v>158</v>
      </c>
      <c r="AD1183">
        <f>0</f>
        <v>0</v>
      </c>
      <c r="AE1183">
        <f>0</f>
        <v>0</v>
      </c>
      <c r="AH1183" t="s">
        <v>157</v>
      </c>
    </row>
    <row r="1184" spans="1:149" x14ac:dyDescent="0.25">
      <c r="A1184" t="s">
        <v>3677</v>
      </c>
      <c r="B1184" t="s">
        <v>148</v>
      </c>
      <c r="C1184" s="1">
        <v>45783</v>
      </c>
      <c r="D1184" t="s">
        <v>618</v>
      </c>
      <c r="E1184" t="s">
        <v>619</v>
      </c>
      <c r="F1184" t="s">
        <v>730</v>
      </c>
      <c r="G1184" t="s">
        <v>1168</v>
      </c>
      <c r="H1184">
        <v>51</v>
      </c>
      <c r="I1184" t="s">
        <v>1168</v>
      </c>
      <c r="J1184">
        <v>1140</v>
      </c>
      <c r="K1184" t="s">
        <v>5257</v>
      </c>
      <c r="L1184" t="s">
        <v>431</v>
      </c>
      <c r="M1184" t="s">
        <v>5901</v>
      </c>
      <c r="N1184" t="s">
        <v>5902</v>
      </c>
      <c r="O1184" t="s">
        <v>1169</v>
      </c>
      <c r="R1184">
        <f>1</f>
        <v>1</v>
      </c>
      <c r="S1184">
        <f>12.4</f>
        <v>12.4</v>
      </c>
      <c r="T1184">
        <f>7.8</f>
        <v>7.8</v>
      </c>
      <c r="U1184">
        <f>84</f>
        <v>84</v>
      </c>
      <c r="V1184">
        <f>0.12</f>
        <v>0.12</v>
      </c>
      <c r="X1184">
        <f>0</f>
        <v>0</v>
      </c>
      <c r="Y1184">
        <f>0.1</f>
        <v>0.1</v>
      </c>
      <c r="Z1184">
        <f>0</f>
        <v>0</v>
      </c>
      <c r="AA1184" t="s">
        <v>158</v>
      </c>
      <c r="AB1184" t="s">
        <v>158</v>
      </c>
      <c r="AC1184">
        <f>0</f>
        <v>0</v>
      </c>
      <c r="AD1184">
        <f>0</f>
        <v>0</v>
      </c>
      <c r="AE1184">
        <f>0</f>
        <v>0</v>
      </c>
      <c r="AH1184" t="s">
        <v>157</v>
      </c>
      <c r="AI1184" t="s">
        <v>238</v>
      </c>
      <c r="AL1184" t="s">
        <v>164</v>
      </c>
      <c r="AM1184" t="s">
        <v>165</v>
      </c>
      <c r="AN1184">
        <f>2.7</f>
        <v>2.7</v>
      </c>
      <c r="AO1184">
        <f>0.05</f>
        <v>0.05</v>
      </c>
      <c r="AP1184">
        <f>9</f>
        <v>9</v>
      </c>
      <c r="AQ1184">
        <f>1</f>
        <v>1</v>
      </c>
      <c r="AR1184" t="s">
        <v>157</v>
      </c>
      <c r="AS1184">
        <f>2.5</f>
        <v>2.5</v>
      </c>
      <c r="AY1184" t="s">
        <v>167</v>
      </c>
      <c r="AZ1184" t="s">
        <v>158</v>
      </c>
      <c r="BA1184" t="s">
        <v>216</v>
      </c>
      <c r="BB1184" t="s">
        <v>158</v>
      </c>
      <c r="BC1184" t="s">
        <v>166</v>
      </c>
      <c r="BD1184" t="s">
        <v>167</v>
      </c>
      <c r="BE1184">
        <f>0.0017</f>
        <v>1.6999999999999999E-3</v>
      </c>
      <c r="BF1184" t="s">
        <v>168</v>
      </c>
      <c r="BG1184" t="s">
        <v>167</v>
      </c>
      <c r="BH1184" t="s">
        <v>167</v>
      </c>
      <c r="BK1184">
        <f>0.18</f>
        <v>0.18</v>
      </c>
      <c r="EL1184">
        <f>0.2</f>
        <v>0.2</v>
      </c>
      <c r="EM1184">
        <f>0.2</f>
        <v>0.2</v>
      </c>
      <c r="EN1184">
        <f>0.25</f>
        <v>0.25</v>
      </c>
      <c r="EO1184">
        <f>0.29</f>
        <v>0.28999999999999998</v>
      </c>
      <c r="ER1184">
        <f>0.94</f>
        <v>0.94</v>
      </c>
    </row>
    <row r="1185" spans="1:149" x14ac:dyDescent="0.25">
      <c r="A1185" t="s">
        <v>3678</v>
      </c>
      <c r="B1185" t="s">
        <v>148</v>
      </c>
      <c r="C1185" s="1">
        <v>45714</v>
      </c>
      <c r="D1185" t="s">
        <v>149</v>
      </c>
      <c r="E1185" t="s">
        <v>150</v>
      </c>
      <c r="F1185" t="s">
        <v>151</v>
      </c>
      <c r="G1185" t="s">
        <v>152</v>
      </c>
      <c r="H1185">
        <v>10</v>
      </c>
      <c r="I1185" t="s">
        <v>153</v>
      </c>
      <c r="J1185">
        <v>41336</v>
      </c>
      <c r="K1185" t="s">
        <v>5254</v>
      </c>
      <c r="L1185" t="s">
        <v>154</v>
      </c>
      <c r="M1185" t="s">
        <v>5903</v>
      </c>
      <c r="N1185" t="s">
        <v>5385</v>
      </c>
      <c r="Q1185" t="s">
        <v>3679</v>
      </c>
      <c r="R1185">
        <f>1</f>
        <v>1</v>
      </c>
      <c r="S1185">
        <f>7.6</f>
        <v>7.6</v>
      </c>
      <c r="T1185">
        <f>7.3</f>
        <v>7.3</v>
      </c>
      <c r="U1185">
        <f>572</f>
        <v>572</v>
      </c>
      <c r="V1185" t="s">
        <v>157</v>
      </c>
      <c r="X1185">
        <f>0</f>
        <v>0</v>
      </c>
      <c r="Y1185">
        <f>0.1</f>
        <v>0.1</v>
      </c>
      <c r="Z1185">
        <f>0</f>
        <v>0</v>
      </c>
      <c r="AA1185" t="s">
        <v>158</v>
      </c>
      <c r="AB1185" t="s">
        <v>158</v>
      </c>
      <c r="AD1185">
        <f>0</f>
        <v>0</v>
      </c>
      <c r="AE1185">
        <f>0</f>
        <v>0</v>
      </c>
      <c r="AH1185" t="s">
        <v>157</v>
      </c>
    </row>
    <row r="1186" spans="1:149" x14ac:dyDescent="0.25">
      <c r="A1186" t="s">
        <v>3680</v>
      </c>
      <c r="B1186" t="s">
        <v>148</v>
      </c>
      <c r="C1186" s="1">
        <v>45790</v>
      </c>
      <c r="D1186" t="s">
        <v>149</v>
      </c>
      <c r="E1186" t="s">
        <v>150</v>
      </c>
      <c r="F1186" t="s">
        <v>151</v>
      </c>
      <c r="G1186" t="s">
        <v>5126</v>
      </c>
      <c r="H1186">
        <v>222</v>
      </c>
      <c r="I1186" t="s">
        <v>5126</v>
      </c>
      <c r="J1186">
        <v>811</v>
      </c>
      <c r="K1186" t="s">
        <v>5254</v>
      </c>
      <c r="L1186" t="s">
        <v>431</v>
      </c>
      <c r="M1186" t="s">
        <v>4976</v>
      </c>
      <c r="N1186" t="s">
        <v>4977</v>
      </c>
      <c r="O1186" t="s">
        <v>1180</v>
      </c>
      <c r="Q1186" t="s">
        <v>6465</v>
      </c>
      <c r="R1186">
        <f>1</f>
        <v>1</v>
      </c>
      <c r="S1186">
        <f>14.7</f>
        <v>14.7</v>
      </c>
      <c r="T1186">
        <f>7</f>
        <v>7</v>
      </c>
      <c r="U1186">
        <f>467</f>
        <v>467</v>
      </c>
      <c r="X1186">
        <f>0</f>
        <v>0</v>
      </c>
      <c r="Y1186">
        <f>0.1</f>
        <v>0.1</v>
      </c>
      <c r="Z1186">
        <f>0</f>
        <v>0</v>
      </c>
      <c r="AA1186" t="s">
        <v>158</v>
      </c>
      <c r="AB1186" t="s">
        <v>158</v>
      </c>
      <c r="AD1186">
        <f>0</f>
        <v>0</v>
      </c>
      <c r="AE1186">
        <f>0</f>
        <v>0</v>
      </c>
      <c r="AH1186" t="s">
        <v>157</v>
      </c>
      <c r="AI1186" t="s">
        <v>238</v>
      </c>
      <c r="AL1186" t="s">
        <v>164</v>
      </c>
      <c r="AM1186" t="s">
        <v>165</v>
      </c>
      <c r="AN1186">
        <f>23</f>
        <v>23</v>
      </c>
      <c r="AO1186">
        <f>0.46</f>
        <v>0.46</v>
      </c>
      <c r="AP1186">
        <f>35</f>
        <v>35</v>
      </c>
      <c r="AQ1186">
        <f>29</f>
        <v>29</v>
      </c>
      <c r="AR1186" t="s">
        <v>157</v>
      </c>
      <c r="AS1186">
        <f>17</f>
        <v>17</v>
      </c>
      <c r="AY1186" t="s">
        <v>167</v>
      </c>
      <c r="AZ1186" t="s">
        <v>158</v>
      </c>
      <c r="BA1186">
        <f>0.047</f>
        <v>4.7E-2</v>
      </c>
      <c r="BB1186" t="s">
        <v>158</v>
      </c>
      <c r="BC1186" t="s">
        <v>166</v>
      </c>
      <c r="BD1186" t="s">
        <v>167</v>
      </c>
      <c r="BE1186">
        <f>0.0073</f>
        <v>7.3000000000000001E-3</v>
      </c>
      <c r="BF1186" t="s">
        <v>168</v>
      </c>
      <c r="BG1186" t="s">
        <v>167</v>
      </c>
      <c r="BH1186" t="s">
        <v>167</v>
      </c>
      <c r="BK1186">
        <f>0.75</f>
        <v>0.75</v>
      </c>
      <c r="EL1186">
        <f>0.13</f>
        <v>0.13</v>
      </c>
      <c r="EM1186">
        <f>0.29</f>
        <v>0.28999999999999998</v>
      </c>
      <c r="EN1186" t="s">
        <v>166</v>
      </c>
      <c r="EO1186">
        <f>0.3</f>
        <v>0.3</v>
      </c>
      <c r="EP1186">
        <f>0.1</f>
        <v>0.1</v>
      </c>
      <c r="EQ1186" t="s">
        <v>157</v>
      </c>
      <c r="ER1186">
        <f>0.72</f>
        <v>0.72</v>
      </c>
      <c r="ES1186" t="s">
        <v>166</v>
      </c>
    </row>
    <row r="1187" spans="1:149" x14ac:dyDescent="0.25">
      <c r="A1187" t="s">
        <v>3681</v>
      </c>
      <c r="B1187" t="s">
        <v>148</v>
      </c>
      <c r="C1187" s="1">
        <v>45806</v>
      </c>
      <c r="D1187" t="s">
        <v>175</v>
      </c>
      <c r="E1187" t="s">
        <v>176</v>
      </c>
      <c r="F1187" t="s">
        <v>556</v>
      </c>
      <c r="G1187" t="s">
        <v>5150</v>
      </c>
      <c r="H1187">
        <v>318</v>
      </c>
      <c r="I1187" t="s">
        <v>5150</v>
      </c>
      <c r="J1187">
        <v>721</v>
      </c>
      <c r="K1187" t="s">
        <v>5254</v>
      </c>
      <c r="L1187" t="s">
        <v>431</v>
      </c>
      <c r="M1187" t="s">
        <v>5384</v>
      </c>
      <c r="N1187" t="s">
        <v>5989</v>
      </c>
      <c r="O1187" t="s">
        <v>1687</v>
      </c>
      <c r="Q1187" t="s">
        <v>1097</v>
      </c>
      <c r="R1187">
        <f>1</f>
        <v>1</v>
      </c>
      <c r="S1187">
        <f>16.1</f>
        <v>16.100000000000001</v>
      </c>
      <c r="T1187">
        <f>7.5</f>
        <v>7.5</v>
      </c>
      <c r="U1187">
        <f>511</f>
        <v>511</v>
      </c>
      <c r="X1187">
        <f>0</f>
        <v>0</v>
      </c>
      <c r="Y1187" t="s">
        <v>157</v>
      </c>
      <c r="Z1187">
        <f>0</f>
        <v>0</v>
      </c>
      <c r="AA1187" t="s">
        <v>158</v>
      </c>
      <c r="AB1187">
        <f>13</f>
        <v>13</v>
      </c>
      <c r="AD1187">
        <f>0</f>
        <v>0</v>
      </c>
      <c r="AE1187">
        <f>0</f>
        <v>0</v>
      </c>
      <c r="AH1187" t="s">
        <v>157</v>
      </c>
    </row>
    <row r="1188" spans="1:149" x14ac:dyDescent="0.25">
      <c r="A1188" t="s">
        <v>3682</v>
      </c>
      <c r="B1188" t="s">
        <v>148</v>
      </c>
      <c r="C1188" s="1">
        <v>45834</v>
      </c>
      <c r="D1188" t="s">
        <v>175</v>
      </c>
      <c r="E1188" t="s">
        <v>649</v>
      </c>
      <c r="F1188" t="s">
        <v>650</v>
      </c>
      <c r="G1188" t="s">
        <v>3683</v>
      </c>
      <c r="H1188">
        <v>732</v>
      </c>
      <c r="I1188" t="s">
        <v>3683</v>
      </c>
      <c r="J1188">
        <v>991</v>
      </c>
      <c r="K1188" t="s">
        <v>5254</v>
      </c>
      <c r="L1188" t="s">
        <v>154</v>
      </c>
      <c r="M1188" t="s">
        <v>3684</v>
      </c>
      <c r="N1188" t="s">
        <v>3685</v>
      </c>
      <c r="O1188" t="s">
        <v>3686</v>
      </c>
      <c r="R1188">
        <f>1</f>
        <v>1</v>
      </c>
      <c r="S1188">
        <f>16.8</f>
        <v>16.8</v>
      </c>
      <c r="T1188">
        <f>7.3</f>
        <v>7.3</v>
      </c>
      <c r="U1188">
        <f>482</f>
        <v>482</v>
      </c>
      <c r="X1188">
        <f>0</f>
        <v>0</v>
      </c>
      <c r="Y1188">
        <f>1.34</f>
        <v>1.34</v>
      </c>
      <c r="Z1188">
        <f>0</f>
        <v>0</v>
      </c>
      <c r="AA1188" t="s">
        <v>158</v>
      </c>
      <c r="AB1188" t="s">
        <v>158</v>
      </c>
      <c r="AD1188">
        <f>0</f>
        <v>0</v>
      </c>
      <c r="AE1188">
        <f>0</f>
        <v>0</v>
      </c>
      <c r="AH1188" t="s">
        <v>157</v>
      </c>
    </row>
    <row r="1189" spans="1:149" x14ac:dyDescent="0.25">
      <c r="A1189" t="s">
        <v>3687</v>
      </c>
      <c r="B1189" t="s">
        <v>148</v>
      </c>
      <c r="C1189" s="1">
        <v>45835</v>
      </c>
      <c r="D1189" t="s">
        <v>175</v>
      </c>
      <c r="E1189" t="s">
        <v>649</v>
      </c>
      <c r="F1189" t="s">
        <v>650</v>
      </c>
      <c r="G1189" t="s">
        <v>6660</v>
      </c>
      <c r="H1189">
        <v>736</v>
      </c>
      <c r="I1189" t="s">
        <v>6661</v>
      </c>
      <c r="J1189">
        <v>695</v>
      </c>
      <c r="K1189" t="s">
        <v>5257</v>
      </c>
      <c r="L1189" t="s">
        <v>154</v>
      </c>
      <c r="M1189" t="s">
        <v>1698</v>
      </c>
      <c r="N1189" t="s">
        <v>1699</v>
      </c>
      <c r="O1189" t="s">
        <v>1700</v>
      </c>
      <c r="R1189">
        <f>1</f>
        <v>1</v>
      </c>
      <c r="S1189">
        <f>20</f>
        <v>20</v>
      </c>
      <c r="T1189">
        <f>7.6</f>
        <v>7.6</v>
      </c>
      <c r="U1189">
        <f>455</f>
        <v>455</v>
      </c>
      <c r="X1189">
        <f>0</f>
        <v>0</v>
      </c>
      <c r="Y1189" t="s">
        <v>157</v>
      </c>
      <c r="Z1189">
        <f>0</f>
        <v>0</v>
      </c>
      <c r="AA1189" t="s">
        <v>158</v>
      </c>
      <c r="AB1189" t="s">
        <v>158</v>
      </c>
      <c r="AC1189">
        <f>0</f>
        <v>0</v>
      </c>
      <c r="AD1189">
        <f>0</f>
        <v>0</v>
      </c>
      <c r="AE1189">
        <f>0</f>
        <v>0</v>
      </c>
      <c r="AH1189" t="s">
        <v>157</v>
      </c>
      <c r="AI1189">
        <f>0.8</f>
        <v>0.8</v>
      </c>
      <c r="AL1189" t="s">
        <v>164</v>
      </c>
      <c r="AM1189" t="s">
        <v>165</v>
      </c>
      <c r="AN1189">
        <f>5.3</f>
        <v>5.3</v>
      </c>
      <c r="AO1189">
        <f>0.11</f>
        <v>0.11</v>
      </c>
      <c r="AP1189">
        <f>17</f>
        <v>17</v>
      </c>
      <c r="AQ1189">
        <f>2.1</f>
        <v>2.1</v>
      </c>
      <c r="AR1189" t="s">
        <v>157</v>
      </c>
      <c r="AS1189">
        <f>0.99</f>
        <v>0.99</v>
      </c>
      <c r="AY1189" t="s">
        <v>167</v>
      </c>
      <c r="AZ1189" t="s">
        <v>158</v>
      </c>
      <c r="BA1189" t="s">
        <v>216</v>
      </c>
      <c r="BB1189" t="s">
        <v>158</v>
      </c>
      <c r="BC1189" t="s">
        <v>166</v>
      </c>
      <c r="BD1189" t="s">
        <v>167</v>
      </c>
      <c r="BE1189">
        <f>0.0049</f>
        <v>4.8999999999999998E-3</v>
      </c>
      <c r="BF1189">
        <f>0.03</f>
        <v>0.03</v>
      </c>
      <c r="BG1189" t="s">
        <v>167</v>
      </c>
      <c r="BH1189" t="s">
        <v>167</v>
      </c>
      <c r="BK1189">
        <f>0.44</f>
        <v>0.44</v>
      </c>
      <c r="EL1189">
        <f>2.1</f>
        <v>2.1</v>
      </c>
      <c r="EM1189" t="s">
        <v>166</v>
      </c>
      <c r="EN1189">
        <f>0.96</f>
        <v>0.96</v>
      </c>
      <c r="EO1189">
        <f>0.23</f>
        <v>0.23</v>
      </c>
      <c r="ER1189">
        <f>3.3</f>
        <v>3.3</v>
      </c>
    </row>
    <row r="1190" spans="1:149" x14ac:dyDescent="0.25">
      <c r="A1190" t="s">
        <v>3688</v>
      </c>
      <c r="B1190" t="s">
        <v>148</v>
      </c>
      <c r="C1190" s="1">
        <v>45818</v>
      </c>
      <c r="D1190" t="s">
        <v>242</v>
      </c>
      <c r="E1190" t="s">
        <v>243</v>
      </c>
      <c r="F1190" t="s">
        <v>244</v>
      </c>
      <c r="G1190" t="s">
        <v>245</v>
      </c>
      <c r="H1190">
        <v>155</v>
      </c>
      <c r="I1190" t="s">
        <v>1197</v>
      </c>
      <c r="J1190">
        <v>916</v>
      </c>
      <c r="K1190" t="s">
        <v>5257</v>
      </c>
      <c r="L1190" t="s">
        <v>1198</v>
      </c>
      <c r="M1190" t="s">
        <v>5386</v>
      </c>
      <c r="N1190" t="s">
        <v>5387</v>
      </c>
      <c r="O1190" t="s">
        <v>1199</v>
      </c>
      <c r="R1190">
        <f>1</f>
        <v>1</v>
      </c>
      <c r="S1190">
        <f>19.6</f>
        <v>19.600000000000001</v>
      </c>
      <c r="T1190">
        <f>7.6</f>
        <v>7.6</v>
      </c>
      <c r="U1190">
        <f>459</f>
        <v>459</v>
      </c>
      <c r="X1190">
        <f>1</f>
        <v>1</v>
      </c>
      <c r="Y1190" t="s">
        <v>157</v>
      </c>
      <c r="Z1190">
        <f>0</f>
        <v>0</v>
      </c>
      <c r="AA1190" t="s">
        <v>158</v>
      </c>
      <c r="AB1190" t="s">
        <v>158</v>
      </c>
      <c r="AC1190">
        <f>0</f>
        <v>0</v>
      </c>
      <c r="AD1190">
        <f>0</f>
        <v>0</v>
      </c>
      <c r="AE1190">
        <f>0</f>
        <v>0</v>
      </c>
      <c r="AH1190" t="s">
        <v>157</v>
      </c>
      <c r="AI1190" t="s">
        <v>238</v>
      </c>
      <c r="AL1190" t="s">
        <v>164</v>
      </c>
      <c r="AM1190" t="s">
        <v>165</v>
      </c>
      <c r="AN1190">
        <f>4.9</f>
        <v>4.9000000000000004</v>
      </c>
      <c r="AO1190">
        <f>0.1</f>
        <v>0.1</v>
      </c>
      <c r="AP1190">
        <f>14</f>
        <v>14</v>
      </c>
      <c r="AQ1190">
        <f>4.7</f>
        <v>4.7</v>
      </c>
      <c r="AR1190" t="s">
        <v>157</v>
      </c>
      <c r="AS1190">
        <f>4.4</f>
        <v>4.4000000000000004</v>
      </c>
      <c r="AY1190" t="s">
        <v>167</v>
      </c>
      <c r="AZ1190" t="s">
        <v>158</v>
      </c>
      <c r="BA1190">
        <f>0.013</f>
        <v>1.2999999999999999E-2</v>
      </c>
      <c r="BB1190" t="s">
        <v>158</v>
      </c>
      <c r="BC1190" t="s">
        <v>166</v>
      </c>
      <c r="BD1190" t="s">
        <v>167</v>
      </c>
      <c r="BE1190">
        <f>0.0067</f>
        <v>6.7000000000000002E-3</v>
      </c>
      <c r="BF1190">
        <f>0.023</f>
        <v>2.3E-2</v>
      </c>
      <c r="BG1190" t="s">
        <v>167</v>
      </c>
      <c r="BH1190" t="s">
        <v>167</v>
      </c>
      <c r="BK1190">
        <f>0.27</f>
        <v>0.27</v>
      </c>
      <c r="EL1190">
        <f>0.25</f>
        <v>0.25</v>
      </c>
      <c r="EM1190" t="s">
        <v>166</v>
      </c>
      <c r="EN1190">
        <f>0.42</f>
        <v>0.42</v>
      </c>
      <c r="EO1190">
        <f>0.35</f>
        <v>0.35</v>
      </c>
      <c r="ER1190">
        <f>1</f>
        <v>1</v>
      </c>
    </row>
    <row r="1191" spans="1:149" x14ac:dyDescent="0.25">
      <c r="A1191" t="s">
        <v>3689</v>
      </c>
      <c r="B1191" t="s">
        <v>148</v>
      </c>
      <c r="C1191" s="1">
        <v>45800</v>
      </c>
      <c r="D1191" t="s">
        <v>269</v>
      </c>
      <c r="E1191" t="s">
        <v>270</v>
      </c>
      <c r="F1191" t="s">
        <v>271</v>
      </c>
      <c r="G1191" t="s">
        <v>5128</v>
      </c>
      <c r="H1191">
        <v>161</v>
      </c>
      <c r="I1191" t="s">
        <v>5128</v>
      </c>
      <c r="J1191">
        <v>1839</v>
      </c>
      <c r="K1191" t="s">
        <v>5257</v>
      </c>
      <c r="L1191" t="s">
        <v>4940</v>
      </c>
      <c r="M1191" t="s">
        <v>5914</v>
      </c>
      <c r="N1191" t="s">
        <v>1206</v>
      </c>
      <c r="O1191" t="s">
        <v>1207</v>
      </c>
      <c r="R1191">
        <f>1</f>
        <v>1</v>
      </c>
      <c r="S1191">
        <f>14.9</f>
        <v>14.9</v>
      </c>
      <c r="T1191">
        <f>7.5</f>
        <v>7.5</v>
      </c>
      <c r="U1191">
        <f>582</f>
        <v>582</v>
      </c>
      <c r="X1191">
        <f>0</f>
        <v>0</v>
      </c>
      <c r="Y1191">
        <f>0.52</f>
        <v>0.52</v>
      </c>
      <c r="Z1191">
        <f>0</f>
        <v>0</v>
      </c>
      <c r="AA1191" t="s">
        <v>158</v>
      </c>
      <c r="AB1191" t="s">
        <v>158</v>
      </c>
      <c r="AC1191">
        <f>0</f>
        <v>0</v>
      </c>
      <c r="AD1191">
        <f>0</f>
        <v>0</v>
      </c>
      <c r="AE1191">
        <f>0</f>
        <v>0</v>
      </c>
      <c r="AH1191" t="s">
        <v>166</v>
      </c>
    </row>
    <row r="1192" spans="1:149" x14ac:dyDescent="0.25">
      <c r="A1192" t="s">
        <v>3690</v>
      </c>
      <c r="B1192" t="s">
        <v>148</v>
      </c>
      <c r="C1192" s="1">
        <v>45838</v>
      </c>
      <c r="D1192" t="s">
        <v>175</v>
      </c>
      <c r="E1192" t="s">
        <v>176</v>
      </c>
      <c r="F1192" t="s">
        <v>556</v>
      </c>
      <c r="G1192" t="s">
        <v>1720</v>
      </c>
      <c r="H1192">
        <v>180</v>
      </c>
      <c r="I1192" t="s">
        <v>1720</v>
      </c>
      <c r="J1192">
        <v>807</v>
      </c>
      <c r="K1192" t="s">
        <v>5331</v>
      </c>
      <c r="L1192" t="s">
        <v>4995</v>
      </c>
      <c r="M1192" t="s">
        <v>5454</v>
      </c>
      <c r="N1192" t="s">
        <v>1721</v>
      </c>
      <c r="O1192" t="s">
        <v>1722</v>
      </c>
      <c r="Q1192" t="s">
        <v>6311</v>
      </c>
      <c r="R1192">
        <f>1</f>
        <v>1</v>
      </c>
      <c r="S1192">
        <f>18.1</f>
        <v>18.100000000000001</v>
      </c>
      <c r="T1192">
        <f>8.1</f>
        <v>8.1</v>
      </c>
      <c r="U1192">
        <f>426</f>
        <v>426</v>
      </c>
      <c r="W1192">
        <f>0.12</f>
        <v>0.12</v>
      </c>
      <c r="X1192">
        <f>0</f>
        <v>0</v>
      </c>
      <c r="Y1192" t="s">
        <v>157</v>
      </c>
      <c r="Z1192">
        <f>0</f>
        <v>0</v>
      </c>
      <c r="AA1192" t="s">
        <v>158</v>
      </c>
      <c r="AB1192" t="s">
        <v>158</v>
      </c>
      <c r="AC1192">
        <f>0</f>
        <v>0</v>
      </c>
      <c r="AD1192">
        <f>0</f>
        <v>0</v>
      </c>
      <c r="AE1192">
        <f>0</f>
        <v>0</v>
      </c>
      <c r="AH1192" t="s">
        <v>157</v>
      </c>
      <c r="AI1192">
        <f>1</f>
        <v>1</v>
      </c>
      <c r="AL1192" t="s">
        <v>164</v>
      </c>
      <c r="AM1192" t="s">
        <v>165</v>
      </c>
      <c r="AN1192">
        <f>4.9</f>
        <v>4.9000000000000004</v>
      </c>
      <c r="AO1192">
        <f>0.1</f>
        <v>0.1</v>
      </c>
      <c r="AP1192">
        <f>4</f>
        <v>4</v>
      </c>
      <c r="AQ1192">
        <f>4.2</f>
        <v>4.2</v>
      </c>
      <c r="AR1192" t="s">
        <v>157</v>
      </c>
      <c r="AS1192">
        <f>2.3</f>
        <v>2.2999999999999998</v>
      </c>
      <c r="AY1192" t="s">
        <v>167</v>
      </c>
      <c r="AZ1192" t="s">
        <v>158</v>
      </c>
      <c r="BA1192" t="s">
        <v>216</v>
      </c>
      <c r="BB1192" t="s">
        <v>158</v>
      </c>
      <c r="BC1192" t="s">
        <v>166</v>
      </c>
      <c r="BD1192" t="s">
        <v>167</v>
      </c>
      <c r="BE1192" t="s">
        <v>266</v>
      </c>
      <c r="BF1192">
        <f>0.06</f>
        <v>0.06</v>
      </c>
      <c r="BG1192" t="s">
        <v>167</v>
      </c>
      <c r="BH1192" t="s">
        <v>167</v>
      </c>
      <c r="BK1192">
        <f>0.45</f>
        <v>0.45</v>
      </c>
    </row>
    <row r="1193" spans="1:149" x14ac:dyDescent="0.25">
      <c r="A1193" t="s">
        <v>3691</v>
      </c>
      <c r="B1193" t="s">
        <v>148</v>
      </c>
      <c r="C1193" s="1">
        <v>45740</v>
      </c>
      <c r="D1193" t="s">
        <v>317</v>
      </c>
      <c r="E1193" t="s">
        <v>318</v>
      </c>
      <c r="F1193" t="s">
        <v>325</v>
      </c>
      <c r="G1193" t="s">
        <v>5919</v>
      </c>
      <c r="H1193">
        <v>809</v>
      </c>
      <c r="I1193" t="s">
        <v>1242</v>
      </c>
      <c r="J1193">
        <v>587</v>
      </c>
      <c r="K1193" t="s">
        <v>5257</v>
      </c>
      <c r="L1193" t="s">
        <v>4966</v>
      </c>
      <c r="M1193" t="s">
        <v>5388</v>
      </c>
      <c r="N1193" t="s">
        <v>5389</v>
      </c>
      <c r="O1193" t="s">
        <v>1243</v>
      </c>
      <c r="Q1193" t="s">
        <v>845</v>
      </c>
      <c r="R1193">
        <f>1</f>
        <v>1</v>
      </c>
      <c r="S1193">
        <f>11.1</f>
        <v>11.1</v>
      </c>
      <c r="T1193">
        <f>7.7</f>
        <v>7.7</v>
      </c>
      <c r="U1193">
        <f>383</f>
        <v>383</v>
      </c>
      <c r="X1193">
        <f>0</f>
        <v>0</v>
      </c>
      <c r="Y1193" t="s">
        <v>157</v>
      </c>
      <c r="Z1193">
        <f>0</f>
        <v>0</v>
      </c>
      <c r="AA1193">
        <f>30</f>
        <v>30</v>
      </c>
      <c r="AB1193">
        <f>28</f>
        <v>28</v>
      </c>
      <c r="AC1193">
        <f>0</f>
        <v>0</v>
      </c>
      <c r="AD1193">
        <f>0</f>
        <v>0</v>
      </c>
      <c r="AE1193">
        <f>0</f>
        <v>0</v>
      </c>
      <c r="AH1193" t="s">
        <v>157</v>
      </c>
    </row>
    <row r="1194" spans="1:149" x14ac:dyDescent="0.25">
      <c r="A1194" t="s">
        <v>3692</v>
      </c>
      <c r="B1194" t="s">
        <v>148</v>
      </c>
      <c r="C1194" s="1">
        <v>45719</v>
      </c>
      <c r="D1194" t="s">
        <v>618</v>
      </c>
      <c r="E1194" t="s">
        <v>619</v>
      </c>
      <c r="F1194" t="s">
        <v>730</v>
      </c>
      <c r="G1194" t="s">
        <v>731</v>
      </c>
      <c r="H1194">
        <v>817</v>
      </c>
      <c r="I1194" t="s">
        <v>5920</v>
      </c>
      <c r="J1194">
        <v>2000</v>
      </c>
      <c r="K1194" t="s">
        <v>5254</v>
      </c>
      <c r="L1194" t="s">
        <v>387</v>
      </c>
      <c r="M1194" t="s">
        <v>5921</v>
      </c>
      <c r="N1194" t="s">
        <v>5922</v>
      </c>
      <c r="O1194" t="s">
        <v>1245</v>
      </c>
      <c r="R1194">
        <f>1</f>
        <v>1</v>
      </c>
      <c r="S1194">
        <f>8.1</f>
        <v>8.1</v>
      </c>
      <c r="T1194">
        <f>7.7</f>
        <v>7.7</v>
      </c>
      <c r="U1194">
        <f>337</f>
        <v>337</v>
      </c>
      <c r="V1194">
        <f>0.18</f>
        <v>0.18</v>
      </c>
      <c r="X1194">
        <f>0</f>
        <v>0</v>
      </c>
      <c r="Y1194">
        <f>0.1</f>
        <v>0.1</v>
      </c>
      <c r="Z1194">
        <f>0</f>
        <v>0</v>
      </c>
      <c r="AA1194" t="s">
        <v>158</v>
      </c>
      <c r="AB1194" t="s">
        <v>158</v>
      </c>
      <c r="AD1194">
        <f>0</f>
        <v>0</v>
      </c>
      <c r="AE1194">
        <f>0</f>
        <v>0</v>
      </c>
      <c r="AH1194" t="s">
        <v>157</v>
      </c>
    </row>
    <row r="1195" spans="1:149" x14ac:dyDescent="0.25">
      <c r="A1195" t="s">
        <v>3693</v>
      </c>
      <c r="B1195" t="s">
        <v>148</v>
      </c>
      <c r="C1195" s="1">
        <v>45719</v>
      </c>
      <c r="D1195" t="s">
        <v>269</v>
      </c>
      <c r="E1195" t="s">
        <v>295</v>
      </c>
      <c r="F1195" t="s">
        <v>331</v>
      </c>
      <c r="G1195" t="s">
        <v>6608</v>
      </c>
      <c r="H1195">
        <v>229</v>
      </c>
      <c r="I1195" t="s">
        <v>6608</v>
      </c>
      <c r="J1195">
        <v>998</v>
      </c>
      <c r="K1195" t="s">
        <v>5254</v>
      </c>
      <c r="L1195" t="s">
        <v>431</v>
      </c>
      <c r="M1195" t="s">
        <v>5923</v>
      </c>
      <c r="N1195" t="s">
        <v>4757</v>
      </c>
      <c r="O1195" t="s">
        <v>1247</v>
      </c>
      <c r="R1195">
        <f>1</f>
        <v>1</v>
      </c>
      <c r="S1195">
        <f>10.2</f>
        <v>10.199999999999999</v>
      </c>
      <c r="T1195">
        <f>7.8</f>
        <v>7.8</v>
      </c>
      <c r="U1195">
        <f>332</f>
        <v>332</v>
      </c>
      <c r="V1195">
        <f>0.11</f>
        <v>0.11</v>
      </c>
      <c r="X1195">
        <f>0</f>
        <v>0</v>
      </c>
      <c r="Y1195">
        <f>0.55</f>
        <v>0.55000000000000004</v>
      </c>
      <c r="Z1195">
        <f>0</f>
        <v>0</v>
      </c>
      <c r="AA1195" t="s">
        <v>158</v>
      </c>
      <c r="AB1195" t="s">
        <v>158</v>
      </c>
      <c r="AD1195">
        <f>0</f>
        <v>0</v>
      </c>
      <c r="AE1195">
        <f>0</f>
        <v>0</v>
      </c>
    </row>
    <row r="1196" spans="1:149" x14ac:dyDescent="0.25">
      <c r="A1196" t="s">
        <v>3694</v>
      </c>
      <c r="B1196" t="s">
        <v>268</v>
      </c>
      <c r="C1196" s="1">
        <v>45834</v>
      </c>
      <c r="D1196" t="s">
        <v>175</v>
      </c>
      <c r="E1196" t="s">
        <v>649</v>
      </c>
      <c r="F1196" t="s">
        <v>650</v>
      </c>
      <c r="G1196" t="s">
        <v>1249</v>
      </c>
      <c r="H1196">
        <v>842</v>
      </c>
      <c r="I1196" t="s">
        <v>1249</v>
      </c>
      <c r="J1196">
        <v>1032</v>
      </c>
      <c r="K1196" t="s">
        <v>5257</v>
      </c>
      <c r="L1196" t="s">
        <v>431</v>
      </c>
      <c r="M1196" t="s">
        <v>1250</v>
      </c>
      <c r="N1196" t="s">
        <v>1251</v>
      </c>
      <c r="O1196" t="s">
        <v>1252</v>
      </c>
      <c r="Q1196" t="s">
        <v>6341</v>
      </c>
      <c r="R1196">
        <f>1</f>
        <v>1</v>
      </c>
      <c r="S1196">
        <f>22.8</f>
        <v>22.8</v>
      </c>
      <c r="T1196">
        <f>7.7</f>
        <v>7.7</v>
      </c>
      <c r="U1196">
        <f>498</f>
        <v>498</v>
      </c>
      <c r="X1196">
        <f>0</f>
        <v>0</v>
      </c>
      <c r="Y1196" t="s">
        <v>157</v>
      </c>
      <c r="Z1196">
        <f>0</f>
        <v>0</v>
      </c>
      <c r="AA1196" t="s">
        <v>158</v>
      </c>
      <c r="AB1196" t="s">
        <v>158</v>
      </c>
      <c r="AC1196">
        <f>0</f>
        <v>0</v>
      </c>
      <c r="AD1196">
        <f>0</f>
        <v>0</v>
      </c>
      <c r="AE1196">
        <f>0</f>
        <v>0</v>
      </c>
      <c r="AH1196" t="s">
        <v>157</v>
      </c>
      <c r="AI1196" t="s">
        <v>238</v>
      </c>
      <c r="AL1196" t="s">
        <v>164</v>
      </c>
      <c r="AM1196" t="s">
        <v>165</v>
      </c>
      <c r="AN1196">
        <f>9.7</f>
        <v>9.6999999999999993</v>
      </c>
      <c r="AO1196">
        <f>0.19</f>
        <v>0.19</v>
      </c>
      <c r="AP1196">
        <f>17</f>
        <v>17</v>
      </c>
      <c r="AQ1196">
        <f>4.1</f>
        <v>4.0999999999999996</v>
      </c>
      <c r="AR1196" t="s">
        <v>157</v>
      </c>
      <c r="AS1196">
        <f>3.5</f>
        <v>3.5</v>
      </c>
      <c r="AY1196">
        <f>2.1</f>
        <v>2.1</v>
      </c>
      <c r="AZ1196">
        <f>450</f>
        <v>450</v>
      </c>
      <c r="BA1196" t="s">
        <v>216</v>
      </c>
      <c r="BB1196" t="s">
        <v>158</v>
      </c>
      <c r="BC1196" t="s">
        <v>166</v>
      </c>
      <c r="BD1196" t="s">
        <v>167</v>
      </c>
      <c r="BE1196">
        <f>0.0055</f>
        <v>5.4999999999999997E-3</v>
      </c>
      <c r="BF1196" t="s">
        <v>168</v>
      </c>
      <c r="BG1196" t="s">
        <v>167</v>
      </c>
      <c r="BH1196">
        <f>1.2</f>
        <v>1.2</v>
      </c>
      <c r="BK1196">
        <f>0.88</f>
        <v>0.88</v>
      </c>
      <c r="EL1196">
        <f>0.62</f>
        <v>0.62</v>
      </c>
      <c r="EM1196">
        <f>0.21</f>
        <v>0.21</v>
      </c>
      <c r="EN1196">
        <f>0.82</f>
        <v>0.82</v>
      </c>
      <c r="EO1196">
        <f>0.92</f>
        <v>0.92</v>
      </c>
      <c r="ER1196">
        <f>2.6</f>
        <v>2.6</v>
      </c>
    </row>
    <row r="1197" spans="1:149" x14ac:dyDescent="0.25">
      <c r="A1197" t="s">
        <v>3695</v>
      </c>
      <c r="B1197" t="s">
        <v>148</v>
      </c>
      <c r="C1197" s="1">
        <v>45820</v>
      </c>
      <c r="D1197" t="s">
        <v>269</v>
      </c>
      <c r="E1197" t="s">
        <v>295</v>
      </c>
      <c r="F1197" t="s">
        <v>331</v>
      </c>
      <c r="G1197" t="s">
        <v>1254</v>
      </c>
      <c r="H1197">
        <v>228</v>
      </c>
      <c r="I1197" t="s">
        <v>1255</v>
      </c>
      <c r="J1197">
        <v>841</v>
      </c>
      <c r="K1197" t="s">
        <v>5254</v>
      </c>
      <c r="L1197" t="s">
        <v>431</v>
      </c>
      <c r="M1197" t="s">
        <v>1256</v>
      </c>
      <c r="N1197" t="s">
        <v>5390</v>
      </c>
      <c r="O1197" t="s">
        <v>1257</v>
      </c>
      <c r="R1197">
        <f>1</f>
        <v>1</v>
      </c>
      <c r="S1197">
        <f>15.6</f>
        <v>15.6</v>
      </c>
      <c r="T1197">
        <f>7.7</f>
        <v>7.7</v>
      </c>
      <c r="U1197">
        <f>377</f>
        <v>377</v>
      </c>
      <c r="X1197">
        <f>0</f>
        <v>0</v>
      </c>
      <c r="Y1197" t="s">
        <v>207</v>
      </c>
      <c r="Z1197">
        <f>0</f>
        <v>0</v>
      </c>
      <c r="AA1197" t="s">
        <v>158</v>
      </c>
      <c r="AB1197" t="s">
        <v>158</v>
      </c>
      <c r="AD1197">
        <f>0</f>
        <v>0</v>
      </c>
      <c r="AE1197">
        <f>0</f>
        <v>0</v>
      </c>
      <c r="AH1197" t="s">
        <v>166</v>
      </c>
      <c r="AI1197">
        <f>0.41</f>
        <v>0.41</v>
      </c>
      <c r="AL1197" t="s">
        <v>216</v>
      </c>
      <c r="AM1197" t="s">
        <v>266</v>
      </c>
      <c r="AN1197">
        <f>4.56</f>
        <v>4.5599999999999996</v>
      </c>
      <c r="AO1197">
        <f>0.091</f>
        <v>9.0999999999999998E-2</v>
      </c>
      <c r="AP1197">
        <f>7.85</f>
        <v>7.85</v>
      </c>
      <c r="AQ1197">
        <f>1.71</f>
        <v>1.71</v>
      </c>
      <c r="AR1197">
        <f>0.065</f>
        <v>6.5000000000000002E-2</v>
      </c>
      <c r="AS1197">
        <f>4.7</f>
        <v>4.7</v>
      </c>
      <c r="AY1197" t="s">
        <v>157</v>
      </c>
      <c r="AZ1197" t="s">
        <v>208</v>
      </c>
      <c r="BA1197">
        <f>0.0034</f>
        <v>3.3999999999999998E-3</v>
      </c>
      <c r="BB1197">
        <f>0.97</f>
        <v>0.97</v>
      </c>
      <c r="BC1197" t="s">
        <v>209</v>
      </c>
      <c r="BD1197">
        <f>0.33</f>
        <v>0.33</v>
      </c>
      <c r="BE1197">
        <f>0.003</f>
        <v>3.0000000000000001E-3</v>
      </c>
      <c r="BF1197" t="s">
        <v>168</v>
      </c>
      <c r="BG1197">
        <f>0.41</f>
        <v>0.41</v>
      </c>
      <c r="BH1197">
        <f>0.15</f>
        <v>0.15</v>
      </c>
      <c r="BK1197">
        <f>0.45</f>
        <v>0.45</v>
      </c>
    </row>
    <row r="1198" spans="1:149" x14ac:dyDescent="0.25">
      <c r="A1198" t="s">
        <v>3696</v>
      </c>
      <c r="B1198" t="s">
        <v>148</v>
      </c>
      <c r="C1198" s="1">
        <v>45810</v>
      </c>
      <c r="D1198" t="s">
        <v>269</v>
      </c>
      <c r="E1198" t="s">
        <v>270</v>
      </c>
      <c r="F1198" t="s">
        <v>746</v>
      </c>
      <c r="G1198" t="s">
        <v>1259</v>
      </c>
      <c r="H1198">
        <v>143</v>
      </c>
      <c r="I1198" t="s">
        <v>1259</v>
      </c>
      <c r="J1198">
        <v>1820</v>
      </c>
      <c r="K1198" t="s">
        <v>5257</v>
      </c>
      <c r="L1198" t="s">
        <v>431</v>
      </c>
      <c r="M1198" t="s">
        <v>5391</v>
      </c>
      <c r="N1198" t="s">
        <v>1260</v>
      </c>
      <c r="O1198" t="s">
        <v>1261</v>
      </c>
      <c r="Q1198" t="s">
        <v>3697</v>
      </c>
      <c r="R1198">
        <f>1</f>
        <v>1</v>
      </c>
      <c r="S1198">
        <f>16.5</f>
        <v>16.5</v>
      </c>
      <c r="T1198">
        <f>7.9</f>
        <v>7.9</v>
      </c>
      <c r="U1198">
        <f>422</f>
        <v>422</v>
      </c>
      <c r="V1198">
        <f>0.2</f>
        <v>0.2</v>
      </c>
      <c r="X1198">
        <f>0</f>
        <v>0</v>
      </c>
      <c r="Y1198">
        <f>0.45</f>
        <v>0.45</v>
      </c>
      <c r="Z1198">
        <f>0</f>
        <v>0</v>
      </c>
      <c r="AA1198" t="s">
        <v>158</v>
      </c>
      <c r="AB1198" t="s">
        <v>158</v>
      </c>
      <c r="AC1198">
        <f>0</f>
        <v>0</v>
      </c>
      <c r="AD1198">
        <f>0</f>
        <v>0</v>
      </c>
      <c r="AE1198">
        <f>0</f>
        <v>0</v>
      </c>
      <c r="AH1198" t="s">
        <v>166</v>
      </c>
      <c r="AI1198">
        <f>0.54</f>
        <v>0.54</v>
      </c>
      <c r="AL1198" t="s">
        <v>216</v>
      </c>
      <c r="AM1198" t="s">
        <v>266</v>
      </c>
      <c r="AN1198">
        <f>1.66</f>
        <v>1.66</v>
      </c>
      <c r="AO1198">
        <f>0.033</f>
        <v>3.3000000000000002E-2</v>
      </c>
      <c r="AP1198">
        <f>3.85</f>
        <v>3.85</v>
      </c>
      <c r="AQ1198">
        <f>2.89</f>
        <v>2.89</v>
      </c>
      <c r="AR1198" t="s">
        <v>209</v>
      </c>
      <c r="AS1198">
        <f>2.7</f>
        <v>2.7</v>
      </c>
      <c r="AY1198">
        <f>0.68</f>
        <v>0.68</v>
      </c>
      <c r="AZ1198">
        <f>73</f>
        <v>73</v>
      </c>
      <c r="BA1198">
        <f>0.0091</f>
        <v>9.1000000000000004E-3</v>
      </c>
      <c r="BB1198">
        <f>24</f>
        <v>24</v>
      </c>
      <c r="BC1198" t="s">
        <v>209</v>
      </c>
      <c r="BD1198" t="s">
        <v>157</v>
      </c>
      <c r="BE1198">
        <f>0.0032</f>
        <v>3.2000000000000002E-3</v>
      </c>
      <c r="BF1198" t="s">
        <v>168</v>
      </c>
      <c r="BG1198" t="s">
        <v>237</v>
      </c>
      <c r="BH1198" t="s">
        <v>157</v>
      </c>
      <c r="BK1198">
        <f>0.29</f>
        <v>0.28999999999999998</v>
      </c>
      <c r="EL1198">
        <f>6.1</f>
        <v>6.1</v>
      </c>
      <c r="EM1198" t="s">
        <v>238</v>
      </c>
      <c r="EN1198">
        <f>1.5</f>
        <v>1.5</v>
      </c>
      <c r="EO1198" t="s">
        <v>300</v>
      </c>
      <c r="ER1198">
        <f>7.6</f>
        <v>7.6</v>
      </c>
    </row>
    <row r="1199" spans="1:149" x14ac:dyDescent="0.25">
      <c r="A1199" t="s">
        <v>3698</v>
      </c>
      <c r="B1199" t="s">
        <v>148</v>
      </c>
      <c r="C1199" s="1">
        <v>45821</v>
      </c>
      <c r="D1199" t="s">
        <v>269</v>
      </c>
      <c r="E1199" t="s">
        <v>270</v>
      </c>
      <c r="F1199" t="s">
        <v>754</v>
      </c>
      <c r="G1199" t="s">
        <v>5924</v>
      </c>
      <c r="H1199">
        <v>231</v>
      </c>
      <c r="I1199" t="s">
        <v>5925</v>
      </c>
      <c r="J1199">
        <v>580</v>
      </c>
      <c r="K1199" t="s">
        <v>5254</v>
      </c>
      <c r="L1199" t="s">
        <v>431</v>
      </c>
      <c r="M1199" t="s">
        <v>5926</v>
      </c>
      <c r="N1199" t="s">
        <v>5927</v>
      </c>
      <c r="O1199" t="s">
        <v>1263</v>
      </c>
      <c r="R1199">
        <f>1</f>
        <v>1</v>
      </c>
      <c r="S1199">
        <f>19.5</f>
        <v>19.5</v>
      </c>
      <c r="T1199">
        <f>7.4</f>
        <v>7.4</v>
      </c>
      <c r="U1199">
        <f>662</f>
        <v>662</v>
      </c>
      <c r="X1199">
        <f>0</f>
        <v>0</v>
      </c>
      <c r="Y1199">
        <f>0.17</f>
        <v>0.17</v>
      </c>
      <c r="Z1199">
        <f>0</f>
        <v>0</v>
      </c>
      <c r="AA1199" t="s">
        <v>158</v>
      </c>
      <c r="AB1199" t="s">
        <v>158</v>
      </c>
      <c r="AD1199">
        <f>0</f>
        <v>0</v>
      </c>
      <c r="AE1199">
        <f>0</f>
        <v>0</v>
      </c>
      <c r="AH1199" t="s">
        <v>166</v>
      </c>
      <c r="AI1199">
        <f>0.46</f>
        <v>0.46</v>
      </c>
      <c r="AL1199" t="s">
        <v>216</v>
      </c>
      <c r="AM1199" t="s">
        <v>266</v>
      </c>
      <c r="AN1199">
        <f>14</f>
        <v>14</v>
      </c>
      <c r="AO1199">
        <f>0.28</f>
        <v>0.28000000000000003</v>
      </c>
      <c r="AP1199">
        <f>11.8</f>
        <v>11.8</v>
      </c>
      <c r="AQ1199">
        <f>8.2</f>
        <v>8.1999999999999993</v>
      </c>
      <c r="AR1199">
        <f>0.076</f>
        <v>7.5999999999999998E-2</v>
      </c>
      <c r="AS1199">
        <f>5</f>
        <v>5</v>
      </c>
      <c r="AY1199" t="s">
        <v>157</v>
      </c>
      <c r="AZ1199" t="s">
        <v>208</v>
      </c>
      <c r="BA1199">
        <f>0.014</f>
        <v>1.4E-2</v>
      </c>
      <c r="BB1199" t="s">
        <v>1417</v>
      </c>
      <c r="BC1199" t="s">
        <v>209</v>
      </c>
      <c r="BD1199">
        <f>0.33</f>
        <v>0.33</v>
      </c>
      <c r="BE1199">
        <f>0.0024</f>
        <v>2.3999999999999998E-3</v>
      </c>
      <c r="BF1199" t="s">
        <v>168</v>
      </c>
      <c r="BG1199" t="s">
        <v>237</v>
      </c>
      <c r="BH1199">
        <f>0.24</f>
        <v>0.24</v>
      </c>
      <c r="BK1199">
        <f>1.2</f>
        <v>1.2</v>
      </c>
      <c r="BL1199" t="s">
        <v>3641</v>
      </c>
      <c r="BM1199" t="s">
        <v>209</v>
      </c>
      <c r="BN1199" t="s">
        <v>164</v>
      </c>
      <c r="BO1199" t="s">
        <v>164</v>
      </c>
      <c r="BP1199" t="s">
        <v>1921</v>
      </c>
      <c r="BQ1199" t="s">
        <v>164</v>
      </c>
      <c r="BR1199" t="s">
        <v>165</v>
      </c>
      <c r="BS1199" t="s">
        <v>209</v>
      </c>
      <c r="BT1199" t="s">
        <v>266</v>
      </c>
      <c r="BU1199" t="s">
        <v>1922</v>
      </c>
      <c r="BV1199" t="s">
        <v>207</v>
      </c>
      <c r="BW1199" t="s">
        <v>207</v>
      </c>
      <c r="BX1199" t="s">
        <v>207</v>
      </c>
      <c r="BY1199" t="s">
        <v>207</v>
      </c>
      <c r="BZ1199" t="s">
        <v>217</v>
      </c>
      <c r="CA1199" t="s">
        <v>266</v>
      </c>
      <c r="CB1199" t="s">
        <v>1923</v>
      </c>
      <c r="CC1199" t="s">
        <v>1924</v>
      </c>
      <c r="CD1199" t="s">
        <v>216</v>
      </c>
      <c r="CE1199" t="s">
        <v>207</v>
      </c>
      <c r="CF1199" t="s">
        <v>3642</v>
      </c>
      <c r="CG1199" t="s">
        <v>1925</v>
      </c>
      <c r="CH1199" t="s">
        <v>216</v>
      </c>
      <c r="CI1199">
        <f>0.026</f>
        <v>2.5999999999999999E-2</v>
      </c>
      <c r="CJ1199" t="s">
        <v>216</v>
      </c>
      <c r="CK1199" t="s">
        <v>1924</v>
      </c>
      <c r="CL1199" t="s">
        <v>1926</v>
      </c>
      <c r="CM1199" t="s">
        <v>1924</v>
      </c>
      <c r="CN1199" t="s">
        <v>266</v>
      </c>
      <c r="CO1199" t="s">
        <v>266</v>
      </c>
      <c r="CP1199" t="s">
        <v>216</v>
      </c>
      <c r="CQ1199" t="s">
        <v>217</v>
      </c>
      <c r="CR1199">
        <f>0.078</f>
        <v>7.8E-2</v>
      </c>
      <c r="CS1199" t="s">
        <v>1927</v>
      </c>
      <c r="CT1199" t="s">
        <v>1925</v>
      </c>
      <c r="CU1199" t="s">
        <v>1926</v>
      </c>
      <c r="CV1199" t="s">
        <v>266</v>
      </c>
      <c r="CW1199" t="s">
        <v>1928</v>
      </c>
      <c r="CX1199" t="s">
        <v>1924</v>
      </c>
      <c r="CY1199" t="s">
        <v>216</v>
      </c>
      <c r="CZ1199" t="s">
        <v>217</v>
      </c>
      <c r="DA1199" t="s">
        <v>1926</v>
      </c>
      <c r="DB1199" t="s">
        <v>1922</v>
      </c>
      <c r="DC1199" t="s">
        <v>1924</v>
      </c>
      <c r="DD1199" t="s">
        <v>1922</v>
      </c>
      <c r="DE1199" t="s">
        <v>216</v>
      </c>
      <c r="DF1199" t="s">
        <v>216</v>
      </c>
      <c r="DG1199" t="s">
        <v>1924</v>
      </c>
      <c r="DH1199" t="s">
        <v>1928</v>
      </c>
      <c r="DI1199" t="s">
        <v>1922</v>
      </c>
      <c r="DJ1199" t="s">
        <v>249</v>
      </c>
      <c r="DK1199" t="s">
        <v>1928</v>
      </c>
      <c r="DL1199" t="s">
        <v>1929</v>
      </c>
      <c r="DM1199" t="s">
        <v>1922</v>
      </c>
      <c r="DN1199" t="s">
        <v>165</v>
      </c>
      <c r="DO1199" t="s">
        <v>249</v>
      </c>
      <c r="DP1199" t="s">
        <v>165</v>
      </c>
      <c r="DQ1199" t="s">
        <v>1927</v>
      </c>
      <c r="DR1199" t="s">
        <v>1928</v>
      </c>
      <c r="DS1199" t="s">
        <v>1928</v>
      </c>
      <c r="DT1199" t="s">
        <v>249</v>
      </c>
      <c r="DU1199" t="s">
        <v>1922</v>
      </c>
      <c r="DV1199" t="s">
        <v>1930</v>
      </c>
      <c r="DW1199" t="s">
        <v>216</v>
      </c>
      <c r="DX1199" t="s">
        <v>216</v>
      </c>
      <c r="DY1199" t="s">
        <v>216</v>
      </c>
      <c r="DZ1199" t="s">
        <v>157</v>
      </c>
      <c r="EA1199" t="s">
        <v>1922</v>
      </c>
      <c r="EB1199" t="s">
        <v>1927</v>
      </c>
      <c r="EC1199" t="s">
        <v>207</v>
      </c>
      <c r="ED1199" t="s">
        <v>207</v>
      </c>
      <c r="EE1199" t="s">
        <v>1928</v>
      </c>
      <c r="EL1199" t="s">
        <v>237</v>
      </c>
      <c r="EM1199" t="s">
        <v>238</v>
      </c>
      <c r="EN1199" t="s">
        <v>300</v>
      </c>
      <c r="EO1199">
        <f>0.6</f>
        <v>0.6</v>
      </c>
      <c r="ER1199">
        <f>0.6</f>
        <v>0.6</v>
      </c>
    </row>
    <row r="1200" spans="1:149" x14ac:dyDescent="0.25">
      <c r="A1200" t="s">
        <v>3699</v>
      </c>
      <c r="B1200" t="s">
        <v>148</v>
      </c>
      <c r="C1200" s="1">
        <v>45834</v>
      </c>
      <c r="D1200" t="s">
        <v>242</v>
      </c>
      <c r="E1200" t="s">
        <v>243</v>
      </c>
      <c r="F1200" t="s">
        <v>1265</v>
      </c>
      <c r="G1200" t="s">
        <v>1266</v>
      </c>
      <c r="H1200">
        <v>869</v>
      </c>
      <c r="I1200" t="s">
        <v>1266</v>
      </c>
      <c r="J1200">
        <v>1050</v>
      </c>
      <c r="K1200" t="s">
        <v>5257</v>
      </c>
      <c r="L1200" t="s">
        <v>4968</v>
      </c>
      <c r="M1200" t="s">
        <v>5392</v>
      </c>
      <c r="N1200" t="s">
        <v>1267</v>
      </c>
      <c r="O1200" t="s">
        <v>1268</v>
      </c>
      <c r="R1200">
        <f>1</f>
        <v>1</v>
      </c>
      <c r="S1200">
        <f>17</f>
        <v>17</v>
      </c>
      <c r="T1200">
        <f>7.9</f>
        <v>7.9</v>
      </c>
      <c r="U1200">
        <f>276</f>
        <v>276</v>
      </c>
      <c r="V1200">
        <f>0.17</f>
        <v>0.17</v>
      </c>
      <c r="X1200">
        <f>0</f>
        <v>0</v>
      </c>
      <c r="Y1200">
        <f>0.24</f>
        <v>0.24</v>
      </c>
      <c r="Z1200">
        <f>0</f>
        <v>0</v>
      </c>
      <c r="AA1200" t="s">
        <v>158</v>
      </c>
      <c r="AB1200" t="s">
        <v>158</v>
      </c>
      <c r="AC1200">
        <f>0</f>
        <v>0</v>
      </c>
      <c r="AD1200">
        <f>0</f>
        <v>0</v>
      </c>
      <c r="AE1200">
        <f>0</f>
        <v>0</v>
      </c>
      <c r="AH1200" t="s">
        <v>157</v>
      </c>
      <c r="AI1200" t="s">
        <v>238</v>
      </c>
      <c r="AL1200" t="s">
        <v>164</v>
      </c>
      <c r="AM1200" t="s">
        <v>165</v>
      </c>
      <c r="AN1200">
        <f>5.8</f>
        <v>5.8</v>
      </c>
      <c r="AO1200">
        <f>0.12</f>
        <v>0.12</v>
      </c>
      <c r="AP1200">
        <f>3.9</f>
        <v>3.9</v>
      </c>
      <c r="AQ1200">
        <f>1.1</f>
        <v>1.1000000000000001</v>
      </c>
      <c r="AR1200" t="s">
        <v>157</v>
      </c>
      <c r="AS1200">
        <f>1.1</f>
        <v>1.1000000000000001</v>
      </c>
      <c r="AY1200" t="s">
        <v>167</v>
      </c>
      <c r="AZ1200">
        <f>10</f>
        <v>10</v>
      </c>
      <c r="BA1200" t="s">
        <v>216</v>
      </c>
      <c r="BB1200" t="s">
        <v>158</v>
      </c>
      <c r="BC1200" t="s">
        <v>166</v>
      </c>
      <c r="BD1200" t="s">
        <v>167</v>
      </c>
      <c r="BE1200">
        <f>0.0026</f>
        <v>2.5999999999999999E-3</v>
      </c>
      <c r="BF1200" t="s">
        <v>168</v>
      </c>
      <c r="BG1200" t="s">
        <v>167</v>
      </c>
      <c r="BH1200" t="s">
        <v>167</v>
      </c>
      <c r="BK1200">
        <f>0.073</f>
        <v>7.2999999999999995E-2</v>
      </c>
      <c r="EL1200">
        <f>0.51</f>
        <v>0.51</v>
      </c>
      <c r="EM1200" t="s">
        <v>166</v>
      </c>
      <c r="EN1200">
        <f>0.57</f>
        <v>0.56999999999999995</v>
      </c>
      <c r="EO1200">
        <f>0.39</f>
        <v>0.39</v>
      </c>
      <c r="ER1200">
        <f>1.5</f>
        <v>1.5</v>
      </c>
    </row>
    <row r="1201" spans="1:148" x14ac:dyDescent="0.25">
      <c r="A1201" t="s">
        <v>3700</v>
      </c>
      <c r="B1201" t="s">
        <v>148</v>
      </c>
      <c r="C1201" s="1">
        <v>45803</v>
      </c>
      <c r="D1201" t="s">
        <v>311</v>
      </c>
      <c r="E1201" t="s">
        <v>312</v>
      </c>
      <c r="F1201" t="s">
        <v>349</v>
      </c>
      <c r="G1201" t="s">
        <v>1272</v>
      </c>
      <c r="H1201">
        <v>850</v>
      </c>
      <c r="I1201" t="s">
        <v>1273</v>
      </c>
      <c r="J1201">
        <v>1099</v>
      </c>
      <c r="K1201" t="s">
        <v>5257</v>
      </c>
      <c r="L1201" t="s">
        <v>393</v>
      </c>
      <c r="M1201" t="s">
        <v>1274</v>
      </c>
      <c r="N1201" t="s">
        <v>1275</v>
      </c>
      <c r="O1201" t="s">
        <v>1276</v>
      </c>
      <c r="R1201">
        <f>1</f>
        <v>1</v>
      </c>
      <c r="S1201">
        <f>11.6</f>
        <v>11.6</v>
      </c>
      <c r="T1201">
        <f>6.8</f>
        <v>6.8</v>
      </c>
      <c r="U1201">
        <f>92</f>
        <v>92</v>
      </c>
      <c r="V1201" t="s">
        <v>209</v>
      </c>
      <c r="X1201">
        <f>0</f>
        <v>0</v>
      </c>
      <c r="Y1201">
        <f>0.1</f>
        <v>0.1</v>
      </c>
      <c r="Z1201">
        <f>0</f>
        <v>0</v>
      </c>
      <c r="AA1201" t="s">
        <v>158</v>
      </c>
      <c r="AB1201" t="s">
        <v>158</v>
      </c>
      <c r="AC1201">
        <f>0</f>
        <v>0</v>
      </c>
      <c r="AD1201">
        <f>0</f>
        <v>0</v>
      </c>
      <c r="AE1201">
        <f>0</f>
        <v>0</v>
      </c>
      <c r="AH1201" t="s">
        <v>157</v>
      </c>
      <c r="AI1201" t="s">
        <v>238</v>
      </c>
      <c r="AL1201" t="s">
        <v>164</v>
      </c>
      <c r="AM1201" t="s">
        <v>165</v>
      </c>
      <c r="AN1201">
        <f>4.9</f>
        <v>4.9000000000000004</v>
      </c>
      <c r="AO1201">
        <f>0.1</f>
        <v>0.1</v>
      </c>
      <c r="AP1201">
        <f>3.7</f>
        <v>3.7</v>
      </c>
      <c r="AQ1201">
        <f>3</f>
        <v>3</v>
      </c>
      <c r="AR1201" t="s">
        <v>157</v>
      </c>
      <c r="AS1201">
        <f>8.7</f>
        <v>8.6999999999999993</v>
      </c>
      <c r="AY1201" t="s">
        <v>167</v>
      </c>
      <c r="AZ1201">
        <f>22</f>
        <v>22</v>
      </c>
      <c r="BA1201" t="s">
        <v>216</v>
      </c>
      <c r="BB1201" t="s">
        <v>158</v>
      </c>
      <c r="BC1201" t="s">
        <v>166</v>
      </c>
      <c r="BD1201" t="s">
        <v>167</v>
      </c>
      <c r="BE1201">
        <f>0.076</f>
        <v>7.5999999999999998E-2</v>
      </c>
      <c r="BF1201" t="s">
        <v>168</v>
      </c>
      <c r="BG1201">
        <f>1</f>
        <v>1</v>
      </c>
      <c r="BH1201" t="s">
        <v>167</v>
      </c>
      <c r="BK1201">
        <f>0.075</f>
        <v>7.4999999999999997E-2</v>
      </c>
      <c r="EL1201">
        <f>0.33</f>
        <v>0.33</v>
      </c>
      <c r="EM1201">
        <f>0.62</f>
        <v>0.62</v>
      </c>
      <c r="EN1201" t="s">
        <v>166</v>
      </c>
      <c r="EO1201">
        <f>0.42</f>
        <v>0.42</v>
      </c>
      <c r="ER1201">
        <f>1.4</f>
        <v>1.4</v>
      </c>
    </row>
    <row r="1202" spans="1:148" x14ac:dyDescent="0.25">
      <c r="A1202" t="s">
        <v>3701</v>
      </c>
      <c r="B1202" t="s">
        <v>148</v>
      </c>
      <c r="C1202" s="1">
        <v>45720</v>
      </c>
      <c r="D1202" t="s">
        <v>242</v>
      </c>
      <c r="E1202" t="s">
        <v>243</v>
      </c>
      <c r="F1202" t="s">
        <v>244</v>
      </c>
      <c r="G1202" t="s">
        <v>1041</v>
      </c>
      <c r="H1202">
        <v>881</v>
      </c>
      <c r="I1202" t="s">
        <v>5132</v>
      </c>
      <c r="J1202">
        <v>764</v>
      </c>
      <c r="K1202" t="s">
        <v>5254</v>
      </c>
      <c r="L1202" t="s">
        <v>393</v>
      </c>
      <c r="M1202" t="s">
        <v>5398</v>
      </c>
      <c r="N1202" t="s">
        <v>1284</v>
      </c>
      <c r="O1202" t="s">
        <v>1285</v>
      </c>
      <c r="R1202">
        <f>1</f>
        <v>1</v>
      </c>
      <c r="S1202">
        <f>8.2</f>
        <v>8.1999999999999993</v>
      </c>
      <c r="T1202">
        <f>8.3</f>
        <v>8.3000000000000007</v>
      </c>
      <c r="U1202">
        <f>455</f>
        <v>455</v>
      </c>
      <c r="V1202">
        <f>0.14</f>
        <v>0.14000000000000001</v>
      </c>
      <c r="X1202">
        <f>0</f>
        <v>0</v>
      </c>
      <c r="Y1202">
        <f>0.38</f>
        <v>0.38</v>
      </c>
      <c r="Z1202">
        <f>0</f>
        <v>0</v>
      </c>
      <c r="AA1202" t="s">
        <v>158</v>
      </c>
      <c r="AB1202" t="s">
        <v>158</v>
      </c>
      <c r="AD1202">
        <f>0</f>
        <v>0</v>
      </c>
      <c r="AE1202">
        <f>0</f>
        <v>0</v>
      </c>
      <c r="AH1202" t="s">
        <v>157</v>
      </c>
    </row>
    <row r="1203" spans="1:148" x14ac:dyDescent="0.25">
      <c r="A1203" t="s">
        <v>3702</v>
      </c>
      <c r="B1203" t="s">
        <v>148</v>
      </c>
      <c r="C1203" s="1">
        <v>45866</v>
      </c>
      <c r="D1203" t="s">
        <v>242</v>
      </c>
      <c r="E1203" t="s">
        <v>243</v>
      </c>
      <c r="F1203" t="s">
        <v>884</v>
      </c>
      <c r="G1203" t="s">
        <v>6610</v>
      </c>
      <c r="H1203">
        <v>912</v>
      </c>
      <c r="I1203" t="s">
        <v>6610</v>
      </c>
      <c r="J1203">
        <v>577</v>
      </c>
      <c r="K1203" t="s">
        <v>5254</v>
      </c>
      <c r="L1203" t="s">
        <v>393</v>
      </c>
      <c r="M1203" t="s">
        <v>4759</v>
      </c>
      <c r="N1203" t="s">
        <v>4760</v>
      </c>
      <c r="O1203" t="s">
        <v>1287</v>
      </c>
      <c r="R1203">
        <f>1</f>
        <v>1</v>
      </c>
      <c r="S1203">
        <f>22</f>
        <v>22</v>
      </c>
      <c r="T1203">
        <f>7.8</f>
        <v>7.8</v>
      </c>
      <c r="U1203">
        <f>239</f>
        <v>239</v>
      </c>
      <c r="X1203">
        <f>0</f>
        <v>0</v>
      </c>
      <c r="Y1203">
        <f>0.86</f>
        <v>0.86</v>
      </c>
      <c r="Z1203">
        <f>0</f>
        <v>0</v>
      </c>
      <c r="AA1203" t="s">
        <v>158</v>
      </c>
      <c r="AB1203" t="s">
        <v>158</v>
      </c>
      <c r="AD1203">
        <f>0</f>
        <v>0</v>
      </c>
      <c r="AE1203">
        <f>0</f>
        <v>0</v>
      </c>
      <c r="AH1203" t="s">
        <v>157</v>
      </c>
    </row>
    <row r="1204" spans="1:148" x14ac:dyDescent="0.25">
      <c r="A1204" t="s">
        <v>3703</v>
      </c>
      <c r="B1204" t="s">
        <v>148</v>
      </c>
      <c r="C1204" s="1">
        <v>45728</v>
      </c>
      <c r="D1204" t="s">
        <v>618</v>
      </c>
      <c r="E1204" t="s">
        <v>619</v>
      </c>
      <c r="F1204" t="s">
        <v>620</v>
      </c>
      <c r="G1204" t="s">
        <v>1080</v>
      </c>
      <c r="H1204">
        <v>43</v>
      </c>
      <c r="I1204" t="s">
        <v>1289</v>
      </c>
      <c r="J1204">
        <v>530</v>
      </c>
      <c r="K1204" t="s">
        <v>5254</v>
      </c>
      <c r="L1204" t="s">
        <v>180</v>
      </c>
      <c r="M1204" t="s">
        <v>5930</v>
      </c>
      <c r="N1204" t="s">
        <v>1290</v>
      </c>
      <c r="O1204" t="s">
        <v>1291</v>
      </c>
      <c r="R1204">
        <f>1</f>
        <v>1</v>
      </c>
      <c r="S1204">
        <f>7.9</f>
        <v>7.9</v>
      </c>
      <c r="T1204">
        <f>8</f>
        <v>8</v>
      </c>
      <c r="U1204">
        <f>277</f>
        <v>277</v>
      </c>
      <c r="X1204">
        <f>0</f>
        <v>0</v>
      </c>
      <c r="Y1204">
        <f>0.1</f>
        <v>0.1</v>
      </c>
      <c r="Z1204">
        <f>0</f>
        <v>0</v>
      </c>
      <c r="AA1204" t="s">
        <v>158</v>
      </c>
      <c r="AB1204" t="s">
        <v>158</v>
      </c>
      <c r="AD1204">
        <f>0</f>
        <v>0</v>
      </c>
      <c r="AE1204">
        <f>0</f>
        <v>0</v>
      </c>
      <c r="AH1204" t="s">
        <v>157</v>
      </c>
    </row>
    <row r="1205" spans="1:148" x14ac:dyDescent="0.25">
      <c r="A1205" t="s">
        <v>3704</v>
      </c>
      <c r="B1205" t="s">
        <v>148</v>
      </c>
      <c r="C1205" s="1">
        <v>45820</v>
      </c>
      <c r="D1205" t="s">
        <v>175</v>
      </c>
      <c r="E1205" t="s">
        <v>270</v>
      </c>
      <c r="F1205" t="s">
        <v>354</v>
      </c>
      <c r="G1205" t="s">
        <v>5153</v>
      </c>
      <c r="H1205">
        <v>680</v>
      </c>
      <c r="I1205" t="s">
        <v>5153</v>
      </c>
      <c r="J1205">
        <v>540</v>
      </c>
      <c r="K1205" t="s">
        <v>5257</v>
      </c>
      <c r="L1205" t="s">
        <v>4947</v>
      </c>
      <c r="M1205" t="s">
        <v>4997</v>
      </c>
      <c r="N1205" t="s">
        <v>4998</v>
      </c>
      <c r="O1205" t="s">
        <v>1804</v>
      </c>
      <c r="R1205">
        <f>1</f>
        <v>1</v>
      </c>
      <c r="S1205">
        <f>16.5</f>
        <v>16.5</v>
      </c>
      <c r="T1205">
        <f>7.5</f>
        <v>7.5</v>
      </c>
      <c r="U1205">
        <f>408</f>
        <v>408</v>
      </c>
      <c r="V1205">
        <f>0.1</f>
        <v>0.1</v>
      </c>
      <c r="X1205">
        <f>0</f>
        <v>0</v>
      </c>
      <c r="Y1205" t="s">
        <v>207</v>
      </c>
      <c r="Z1205">
        <f>0</f>
        <v>0</v>
      </c>
      <c r="AA1205" t="s">
        <v>158</v>
      </c>
      <c r="AB1205" t="s">
        <v>158</v>
      </c>
      <c r="AC1205">
        <f>0</f>
        <v>0</v>
      </c>
      <c r="AD1205">
        <f>0</f>
        <v>0</v>
      </c>
      <c r="AE1205">
        <f>0</f>
        <v>0</v>
      </c>
      <c r="AH1205" t="s">
        <v>166</v>
      </c>
    </row>
    <row r="1206" spans="1:148" x14ac:dyDescent="0.25">
      <c r="A1206" t="s">
        <v>3705</v>
      </c>
      <c r="B1206" t="s">
        <v>148</v>
      </c>
      <c r="C1206" s="1">
        <v>45783</v>
      </c>
      <c r="D1206" t="s">
        <v>618</v>
      </c>
      <c r="E1206" t="s">
        <v>619</v>
      </c>
      <c r="F1206" t="s">
        <v>620</v>
      </c>
      <c r="G1206" t="s">
        <v>1303</v>
      </c>
      <c r="H1206">
        <v>933</v>
      </c>
      <c r="I1206" t="s">
        <v>1303</v>
      </c>
      <c r="J1206">
        <v>2000</v>
      </c>
      <c r="K1206" t="s">
        <v>5257</v>
      </c>
      <c r="L1206" t="s">
        <v>393</v>
      </c>
      <c r="M1206" t="s">
        <v>5934</v>
      </c>
      <c r="N1206" t="s">
        <v>1304</v>
      </c>
      <c r="O1206" t="s">
        <v>1305</v>
      </c>
      <c r="R1206">
        <f>1</f>
        <v>1</v>
      </c>
      <c r="S1206">
        <f>13.4</f>
        <v>13.4</v>
      </c>
      <c r="T1206">
        <f>7.6</f>
        <v>7.6</v>
      </c>
      <c r="U1206">
        <f>643</f>
        <v>643</v>
      </c>
      <c r="X1206">
        <f>0</f>
        <v>0</v>
      </c>
      <c r="Y1206">
        <f>0.1</f>
        <v>0.1</v>
      </c>
      <c r="Z1206">
        <f>0</f>
        <v>0</v>
      </c>
      <c r="AA1206" t="s">
        <v>158</v>
      </c>
      <c r="AB1206" t="s">
        <v>158</v>
      </c>
      <c r="AC1206">
        <f>0</f>
        <v>0</v>
      </c>
      <c r="AD1206">
        <f>0</f>
        <v>0</v>
      </c>
      <c r="AE1206">
        <f>0</f>
        <v>0</v>
      </c>
      <c r="AH1206" t="s">
        <v>157</v>
      </c>
      <c r="AI1206" t="s">
        <v>238</v>
      </c>
      <c r="AL1206" t="s">
        <v>164</v>
      </c>
      <c r="AM1206" t="s">
        <v>165</v>
      </c>
      <c r="AN1206">
        <f>25</f>
        <v>25</v>
      </c>
      <c r="AO1206">
        <f>0.5</f>
        <v>0.5</v>
      </c>
      <c r="AP1206">
        <f>45</f>
        <v>45</v>
      </c>
      <c r="AQ1206">
        <f>15</f>
        <v>15</v>
      </c>
      <c r="AR1206">
        <f>0.11</f>
        <v>0.11</v>
      </c>
      <c r="AS1206">
        <f>12</f>
        <v>12</v>
      </c>
      <c r="AY1206" t="s">
        <v>167</v>
      </c>
      <c r="AZ1206" t="s">
        <v>158</v>
      </c>
      <c r="BA1206">
        <f>0.028</f>
        <v>2.8000000000000001E-2</v>
      </c>
      <c r="BB1206" t="s">
        <v>158</v>
      </c>
      <c r="BC1206">
        <f>0.41</f>
        <v>0.41</v>
      </c>
      <c r="BD1206" t="s">
        <v>167</v>
      </c>
      <c r="BE1206">
        <f>0.0019</f>
        <v>1.9E-3</v>
      </c>
      <c r="BF1206" t="s">
        <v>168</v>
      </c>
      <c r="BG1206" t="s">
        <v>167</v>
      </c>
      <c r="BH1206" t="s">
        <v>167</v>
      </c>
      <c r="BK1206">
        <f>3.4</f>
        <v>3.4</v>
      </c>
      <c r="EL1206">
        <f>0.25</f>
        <v>0.25</v>
      </c>
      <c r="EM1206">
        <f>0.49</f>
        <v>0.49</v>
      </c>
      <c r="EN1206">
        <f>0.47</f>
        <v>0.47</v>
      </c>
      <c r="EO1206">
        <f>0.68</f>
        <v>0.68</v>
      </c>
      <c r="ER1206">
        <f>1.9</f>
        <v>1.9</v>
      </c>
    </row>
    <row r="1207" spans="1:148" x14ac:dyDescent="0.25">
      <c r="A1207" t="s">
        <v>3706</v>
      </c>
      <c r="B1207" t="s">
        <v>148</v>
      </c>
      <c r="C1207" s="1">
        <v>45826</v>
      </c>
      <c r="D1207" t="s">
        <v>317</v>
      </c>
      <c r="E1207" t="s">
        <v>318</v>
      </c>
      <c r="F1207" t="s">
        <v>360</v>
      </c>
      <c r="G1207" t="s">
        <v>1307</v>
      </c>
      <c r="H1207">
        <v>60</v>
      </c>
      <c r="I1207" t="s">
        <v>1307</v>
      </c>
      <c r="J1207">
        <v>927</v>
      </c>
      <c r="K1207" t="s">
        <v>5254</v>
      </c>
      <c r="L1207" t="s">
        <v>4948</v>
      </c>
      <c r="M1207" t="s">
        <v>5403</v>
      </c>
      <c r="N1207" t="s">
        <v>1308</v>
      </c>
      <c r="O1207" t="s">
        <v>1309</v>
      </c>
      <c r="Q1207" t="s">
        <v>845</v>
      </c>
      <c r="R1207">
        <f>1</f>
        <v>1</v>
      </c>
      <c r="S1207">
        <f>17</f>
        <v>17</v>
      </c>
      <c r="T1207">
        <f>7.4</f>
        <v>7.4</v>
      </c>
      <c r="U1207">
        <f>456</f>
        <v>456</v>
      </c>
      <c r="X1207">
        <f>0</f>
        <v>0</v>
      </c>
      <c r="Y1207" t="s">
        <v>157</v>
      </c>
      <c r="Z1207">
        <f>0</f>
        <v>0</v>
      </c>
      <c r="AA1207">
        <f>2</f>
        <v>2</v>
      </c>
      <c r="AB1207">
        <f>2</f>
        <v>2</v>
      </c>
      <c r="AD1207">
        <f>0</f>
        <v>0</v>
      </c>
      <c r="AE1207">
        <f>0</f>
        <v>0</v>
      </c>
      <c r="AH1207" t="s">
        <v>157</v>
      </c>
    </row>
    <row r="1208" spans="1:148" x14ac:dyDescent="0.25">
      <c r="A1208" t="s">
        <v>3707</v>
      </c>
      <c r="B1208" t="s">
        <v>148</v>
      </c>
      <c r="C1208" s="1">
        <v>45783</v>
      </c>
      <c r="D1208" t="s">
        <v>618</v>
      </c>
      <c r="E1208" t="s">
        <v>619</v>
      </c>
      <c r="F1208" t="s">
        <v>730</v>
      </c>
      <c r="G1208" t="s">
        <v>6612</v>
      </c>
      <c r="H1208">
        <v>949</v>
      </c>
      <c r="I1208" t="s">
        <v>6612</v>
      </c>
      <c r="J1208">
        <v>600</v>
      </c>
      <c r="K1208" t="s">
        <v>5257</v>
      </c>
      <c r="L1208" t="s">
        <v>154</v>
      </c>
      <c r="M1208" t="s">
        <v>6613</v>
      </c>
      <c r="N1208" t="s">
        <v>6614</v>
      </c>
      <c r="O1208" t="s">
        <v>1324</v>
      </c>
      <c r="R1208">
        <f>1</f>
        <v>1</v>
      </c>
      <c r="S1208">
        <f>13.4</f>
        <v>13.4</v>
      </c>
      <c r="T1208">
        <f>7.7</f>
        <v>7.7</v>
      </c>
      <c r="U1208">
        <f>351</f>
        <v>351</v>
      </c>
      <c r="X1208">
        <f>0</f>
        <v>0</v>
      </c>
      <c r="Y1208">
        <f>0.1</f>
        <v>0.1</v>
      </c>
      <c r="Z1208">
        <f>0</f>
        <v>0</v>
      </c>
      <c r="AA1208" t="s">
        <v>158</v>
      </c>
      <c r="AB1208" t="s">
        <v>158</v>
      </c>
      <c r="AC1208">
        <f>0</f>
        <v>0</v>
      </c>
      <c r="AD1208">
        <f>0</f>
        <v>0</v>
      </c>
      <c r="AE1208">
        <f>0</f>
        <v>0</v>
      </c>
      <c r="AH1208" t="s">
        <v>157</v>
      </c>
      <c r="AI1208" t="s">
        <v>238</v>
      </c>
      <c r="AL1208" t="s">
        <v>164</v>
      </c>
      <c r="AM1208" t="s">
        <v>165</v>
      </c>
      <c r="AN1208">
        <f>3.1</f>
        <v>3.1</v>
      </c>
      <c r="AO1208">
        <f>0.06</f>
        <v>0.06</v>
      </c>
      <c r="AP1208">
        <f>14</f>
        <v>14</v>
      </c>
      <c r="AQ1208">
        <f>1.3</f>
        <v>1.3</v>
      </c>
      <c r="AR1208" t="s">
        <v>157</v>
      </c>
      <c r="AS1208">
        <f>0.81</f>
        <v>0.81</v>
      </c>
      <c r="AY1208" t="s">
        <v>167</v>
      </c>
      <c r="AZ1208" t="s">
        <v>158</v>
      </c>
      <c r="BA1208" t="s">
        <v>216</v>
      </c>
      <c r="BB1208" t="s">
        <v>158</v>
      </c>
      <c r="BC1208" t="s">
        <v>166</v>
      </c>
      <c r="BD1208" t="s">
        <v>167</v>
      </c>
      <c r="BE1208" t="s">
        <v>266</v>
      </c>
      <c r="BF1208" t="s">
        <v>168</v>
      </c>
      <c r="BG1208" t="s">
        <v>167</v>
      </c>
      <c r="BH1208" t="s">
        <v>167</v>
      </c>
      <c r="BK1208">
        <f>1.7</f>
        <v>1.7</v>
      </c>
      <c r="EL1208">
        <f>2</f>
        <v>2</v>
      </c>
      <c r="EM1208" t="s">
        <v>166</v>
      </c>
      <c r="EN1208">
        <f>0.91</f>
        <v>0.91</v>
      </c>
      <c r="EO1208">
        <f>0.3</f>
        <v>0.3</v>
      </c>
      <c r="ER1208">
        <f>3.2</f>
        <v>3.2</v>
      </c>
    </row>
    <row r="1209" spans="1:148" x14ac:dyDescent="0.25">
      <c r="A1209" t="s">
        <v>3708</v>
      </c>
      <c r="B1209" t="s">
        <v>148</v>
      </c>
      <c r="C1209" s="1">
        <v>45825</v>
      </c>
      <c r="D1209" t="s">
        <v>317</v>
      </c>
      <c r="E1209" t="s">
        <v>318</v>
      </c>
      <c r="F1209" t="s">
        <v>360</v>
      </c>
      <c r="G1209" t="s">
        <v>1328</v>
      </c>
      <c r="H1209">
        <v>633</v>
      </c>
      <c r="I1209" t="s">
        <v>1328</v>
      </c>
      <c r="J1209">
        <v>649</v>
      </c>
      <c r="K1209" t="s">
        <v>5331</v>
      </c>
      <c r="L1209" t="s">
        <v>4948</v>
      </c>
      <c r="M1209" t="s">
        <v>5409</v>
      </c>
      <c r="N1209" t="s">
        <v>1329</v>
      </c>
      <c r="O1209" t="s">
        <v>1330</v>
      </c>
      <c r="Q1209" t="s">
        <v>6343</v>
      </c>
      <c r="R1209">
        <f>1</f>
        <v>1</v>
      </c>
      <c r="S1209">
        <f>12.7</f>
        <v>12.7</v>
      </c>
      <c r="T1209">
        <f>7.8</f>
        <v>7.8</v>
      </c>
      <c r="U1209">
        <f>229</f>
        <v>229</v>
      </c>
      <c r="X1209">
        <f>0</f>
        <v>0</v>
      </c>
      <c r="Y1209">
        <f>0.13</f>
        <v>0.13</v>
      </c>
      <c r="Z1209">
        <f>0</f>
        <v>0</v>
      </c>
      <c r="AA1209">
        <f>1</f>
        <v>1</v>
      </c>
      <c r="AB1209">
        <f>1</f>
        <v>1</v>
      </c>
      <c r="AC1209">
        <f>0</f>
        <v>0</v>
      </c>
      <c r="AD1209">
        <f>0</f>
        <v>0</v>
      </c>
      <c r="AE1209">
        <f>0</f>
        <v>0</v>
      </c>
      <c r="AH1209" t="s">
        <v>157</v>
      </c>
      <c r="AI1209" t="s">
        <v>167</v>
      </c>
      <c r="AL1209" t="s">
        <v>168</v>
      </c>
      <c r="AM1209" t="s">
        <v>216</v>
      </c>
      <c r="AN1209">
        <f>2.7</f>
        <v>2.7</v>
      </c>
      <c r="AO1209">
        <f>0.054</f>
        <v>5.3999999999999999E-2</v>
      </c>
      <c r="AP1209">
        <f>7</f>
        <v>7</v>
      </c>
      <c r="AQ1209" t="s">
        <v>167</v>
      </c>
      <c r="AR1209" t="s">
        <v>167</v>
      </c>
      <c r="AS1209">
        <f>0.5</f>
        <v>0.5</v>
      </c>
      <c r="AY1209" t="s">
        <v>158</v>
      </c>
      <c r="AZ1209">
        <f>28</f>
        <v>28</v>
      </c>
      <c r="BA1209" t="s">
        <v>216</v>
      </c>
      <c r="BB1209" t="s">
        <v>158</v>
      </c>
      <c r="BC1209" t="s">
        <v>167</v>
      </c>
      <c r="BD1209" t="s">
        <v>167</v>
      </c>
      <c r="BE1209" t="s">
        <v>216</v>
      </c>
      <c r="BF1209" t="s">
        <v>167</v>
      </c>
      <c r="BG1209" t="s">
        <v>158</v>
      </c>
      <c r="BH1209" t="s">
        <v>167</v>
      </c>
      <c r="BK1209" t="s">
        <v>158</v>
      </c>
    </row>
    <row r="1210" spans="1:148" x14ac:dyDescent="0.25">
      <c r="A1210" t="s">
        <v>3709</v>
      </c>
      <c r="B1210" t="s">
        <v>148</v>
      </c>
      <c r="C1210" s="1">
        <v>45714</v>
      </c>
      <c r="D1210" t="s">
        <v>175</v>
      </c>
      <c r="E1210" t="s">
        <v>176</v>
      </c>
      <c r="F1210" t="s">
        <v>1332</v>
      </c>
      <c r="G1210" t="s">
        <v>1337</v>
      </c>
      <c r="H1210">
        <v>567</v>
      </c>
      <c r="I1210" t="s">
        <v>1337</v>
      </c>
      <c r="J1210">
        <v>998</v>
      </c>
      <c r="K1210" t="s">
        <v>5257</v>
      </c>
      <c r="L1210" t="s">
        <v>180</v>
      </c>
      <c r="M1210" t="s">
        <v>5411</v>
      </c>
      <c r="N1210" t="s">
        <v>1338</v>
      </c>
      <c r="O1210" t="s">
        <v>1339</v>
      </c>
      <c r="R1210">
        <f>1</f>
        <v>1</v>
      </c>
      <c r="S1210">
        <f>11.8</f>
        <v>11.8</v>
      </c>
      <c r="T1210">
        <f>7.4</f>
        <v>7.4</v>
      </c>
      <c r="U1210">
        <f>440</f>
        <v>440</v>
      </c>
      <c r="X1210">
        <f>0</f>
        <v>0</v>
      </c>
      <c r="Y1210" t="s">
        <v>157</v>
      </c>
      <c r="Z1210">
        <f>0</f>
        <v>0</v>
      </c>
      <c r="AA1210" t="s">
        <v>158</v>
      </c>
      <c r="AB1210" t="s">
        <v>158</v>
      </c>
      <c r="AC1210">
        <f>0</f>
        <v>0</v>
      </c>
      <c r="AD1210">
        <f>0</f>
        <v>0</v>
      </c>
      <c r="AE1210">
        <f>0</f>
        <v>0</v>
      </c>
    </row>
    <row r="1211" spans="1:148" x14ac:dyDescent="0.25">
      <c r="A1211" t="s">
        <v>3710</v>
      </c>
      <c r="B1211" t="s">
        <v>148</v>
      </c>
      <c r="C1211" s="1">
        <v>45782</v>
      </c>
      <c r="D1211" t="s">
        <v>317</v>
      </c>
      <c r="E1211" t="s">
        <v>318</v>
      </c>
      <c r="F1211" t="s">
        <v>847</v>
      </c>
      <c r="G1211" t="s">
        <v>6616</v>
      </c>
      <c r="H1211">
        <v>69</v>
      </c>
      <c r="I1211" t="s">
        <v>6616</v>
      </c>
      <c r="J1211">
        <v>667</v>
      </c>
      <c r="K1211" t="s">
        <v>5254</v>
      </c>
      <c r="L1211" t="s">
        <v>4966</v>
      </c>
      <c r="M1211" t="s">
        <v>4762</v>
      </c>
      <c r="N1211" t="s">
        <v>4763</v>
      </c>
      <c r="O1211" t="s">
        <v>1345</v>
      </c>
      <c r="Q1211" t="s">
        <v>845</v>
      </c>
      <c r="R1211">
        <f>1</f>
        <v>1</v>
      </c>
      <c r="S1211">
        <f>11</f>
        <v>11</v>
      </c>
      <c r="T1211">
        <f>8.1</f>
        <v>8.1</v>
      </c>
      <c r="U1211">
        <f>150</f>
        <v>150</v>
      </c>
      <c r="X1211">
        <f>0</f>
        <v>0</v>
      </c>
      <c r="Y1211" t="s">
        <v>157</v>
      </c>
      <c r="Z1211">
        <f>0</f>
        <v>0</v>
      </c>
      <c r="AA1211">
        <f>0</f>
        <v>0</v>
      </c>
      <c r="AB1211">
        <f>0</f>
        <v>0</v>
      </c>
      <c r="AD1211">
        <f>0</f>
        <v>0</v>
      </c>
      <c r="AE1211">
        <f>0</f>
        <v>0</v>
      </c>
      <c r="AH1211" t="s">
        <v>157</v>
      </c>
      <c r="AI1211" t="s">
        <v>167</v>
      </c>
      <c r="AL1211" t="s">
        <v>168</v>
      </c>
      <c r="AM1211" t="s">
        <v>216</v>
      </c>
      <c r="AN1211">
        <f>1.1</f>
        <v>1.1000000000000001</v>
      </c>
      <c r="AO1211">
        <f>0.022</f>
        <v>2.1999999999999999E-2</v>
      </c>
      <c r="AP1211" t="s">
        <v>167</v>
      </c>
      <c r="AQ1211" t="s">
        <v>167</v>
      </c>
      <c r="AR1211" t="s">
        <v>167</v>
      </c>
      <c r="AS1211">
        <f>0.11</f>
        <v>0.11</v>
      </c>
      <c r="AY1211" t="s">
        <v>158</v>
      </c>
      <c r="AZ1211" t="s">
        <v>158</v>
      </c>
      <c r="BA1211" t="s">
        <v>216</v>
      </c>
      <c r="BB1211" t="s">
        <v>158</v>
      </c>
      <c r="BC1211" t="s">
        <v>167</v>
      </c>
      <c r="BD1211" t="s">
        <v>167</v>
      </c>
      <c r="BE1211" t="s">
        <v>216</v>
      </c>
      <c r="BF1211" t="s">
        <v>167</v>
      </c>
      <c r="BG1211" t="s">
        <v>158</v>
      </c>
      <c r="BH1211" t="s">
        <v>167</v>
      </c>
      <c r="BK1211" t="s">
        <v>158</v>
      </c>
    </row>
    <row r="1212" spans="1:148" x14ac:dyDescent="0.25">
      <c r="A1212" t="s">
        <v>3711</v>
      </c>
      <c r="B1212" t="s">
        <v>148</v>
      </c>
      <c r="C1212" s="1">
        <v>45721</v>
      </c>
      <c r="D1212" t="s">
        <v>175</v>
      </c>
      <c r="E1212" t="s">
        <v>176</v>
      </c>
      <c r="F1212" t="s">
        <v>690</v>
      </c>
      <c r="G1212" t="s">
        <v>1347</v>
      </c>
      <c r="H1212">
        <v>1079</v>
      </c>
      <c r="I1212" t="s">
        <v>1347</v>
      </c>
      <c r="J1212">
        <v>1021</v>
      </c>
      <c r="K1212" t="s">
        <v>5254</v>
      </c>
      <c r="L1212" t="s">
        <v>4966</v>
      </c>
      <c r="M1212" t="s">
        <v>5936</v>
      </c>
      <c r="N1212" t="s">
        <v>1348</v>
      </c>
      <c r="O1212" t="s">
        <v>1349</v>
      </c>
      <c r="R1212">
        <f>1</f>
        <v>1</v>
      </c>
      <c r="S1212">
        <f>12</f>
        <v>12</v>
      </c>
      <c r="T1212">
        <f>7.7</f>
        <v>7.7</v>
      </c>
      <c r="U1212">
        <f>618</f>
        <v>618</v>
      </c>
      <c r="X1212">
        <f>0</f>
        <v>0</v>
      </c>
      <c r="Y1212" t="s">
        <v>157</v>
      </c>
      <c r="Z1212">
        <f>0</f>
        <v>0</v>
      </c>
      <c r="AA1212" t="s">
        <v>158</v>
      </c>
      <c r="AB1212" t="s">
        <v>158</v>
      </c>
      <c r="AD1212">
        <f>0</f>
        <v>0</v>
      </c>
      <c r="AE1212">
        <f>0</f>
        <v>0</v>
      </c>
    </row>
    <row r="1213" spans="1:148" x14ac:dyDescent="0.25">
      <c r="A1213" t="s">
        <v>3712</v>
      </c>
      <c r="B1213" t="s">
        <v>148</v>
      </c>
      <c r="C1213" s="1">
        <v>45790</v>
      </c>
      <c r="D1213" t="s">
        <v>317</v>
      </c>
      <c r="E1213" t="s">
        <v>318</v>
      </c>
      <c r="F1213" t="s">
        <v>5108</v>
      </c>
      <c r="G1213" t="s">
        <v>1351</v>
      </c>
      <c r="H1213">
        <v>723</v>
      </c>
      <c r="I1213" t="s">
        <v>1351</v>
      </c>
      <c r="J1213">
        <v>800</v>
      </c>
      <c r="K1213" t="s">
        <v>5254</v>
      </c>
      <c r="L1213" t="s">
        <v>4947</v>
      </c>
      <c r="M1213" t="s">
        <v>5413</v>
      </c>
      <c r="N1213" t="s">
        <v>1352</v>
      </c>
      <c r="O1213" t="s">
        <v>1353</v>
      </c>
      <c r="Q1213" t="s">
        <v>329</v>
      </c>
      <c r="R1213">
        <f>1</f>
        <v>1</v>
      </c>
      <c r="S1213">
        <f>13.6</f>
        <v>13.6</v>
      </c>
      <c r="T1213">
        <f>7.8</f>
        <v>7.8</v>
      </c>
      <c r="U1213">
        <f>135</f>
        <v>135</v>
      </c>
      <c r="X1213">
        <f>0</f>
        <v>0</v>
      </c>
      <c r="Y1213">
        <f>0.15</f>
        <v>0.15</v>
      </c>
      <c r="Z1213">
        <f>0</f>
        <v>0</v>
      </c>
      <c r="AA1213">
        <f>1</f>
        <v>1</v>
      </c>
      <c r="AB1213">
        <f>0</f>
        <v>0</v>
      </c>
      <c r="AD1213">
        <f>0</f>
        <v>0</v>
      </c>
      <c r="AE1213">
        <f>0</f>
        <v>0</v>
      </c>
      <c r="AH1213" t="s">
        <v>157</v>
      </c>
      <c r="AI1213" t="s">
        <v>167</v>
      </c>
      <c r="AL1213" t="s">
        <v>168</v>
      </c>
      <c r="AN1213" t="s">
        <v>167</v>
      </c>
      <c r="AO1213" t="s">
        <v>168</v>
      </c>
      <c r="AP1213">
        <f>7.4</f>
        <v>7.4</v>
      </c>
      <c r="AQ1213">
        <f>1.1</f>
        <v>1.1000000000000001</v>
      </c>
      <c r="AR1213" t="s">
        <v>167</v>
      </c>
      <c r="AS1213">
        <f>2.9</f>
        <v>2.9</v>
      </c>
      <c r="AY1213" t="s">
        <v>158</v>
      </c>
      <c r="AZ1213">
        <f>12</f>
        <v>12</v>
      </c>
      <c r="BA1213" t="s">
        <v>216</v>
      </c>
      <c r="BB1213" t="s">
        <v>158</v>
      </c>
      <c r="BC1213" t="s">
        <v>167</v>
      </c>
      <c r="BD1213" t="s">
        <v>167</v>
      </c>
      <c r="BE1213" t="s">
        <v>216</v>
      </c>
      <c r="BF1213" t="s">
        <v>167</v>
      </c>
      <c r="BG1213" t="s">
        <v>158</v>
      </c>
      <c r="BH1213" t="s">
        <v>167</v>
      </c>
      <c r="BK1213" t="s">
        <v>158</v>
      </c>
      <c r="EL1213" t="s">
        <v>251</v>
      </c>
      <c r="EM1213" t="s">
        <v>251</v>
      </c>
      <c r="EN1213" t="s">
        <v>251</v>
      </c>
      <c r="EO1213" t="s">
        <v>251</v>
      </c>
      <c r="ER1213" t="s">
        <v>251</v>
      </c>
    </row>
    <row r="1214" spans="1:148" x14ac:dyDescent="0.25">
      <c r="A1214" t="s">
        <v>3713</v>
      </c>
      <c r="B1214" t="s">
        <v>148</v>
      </c>
      <c r="C1214" s="1">
        <v>45789</v>
      </c>
      <c r="D1214" t="s">
        <v>175</v>
      </c>
      <c r="E1214" t="s">
        <v>649</v>
      </c>
      <c r="F1214" t="s">
        <v>685</v>
      </c>
      <c r="G1214" t="s">
        <v>1375</v>
      </c>
      <c r="H1214">
        <v>1073</v>
      </c>
      <c r="I1214" t="s">
        <v>1375</v>
      </c>
      <c r="J1214">
        <v>980</v>
      </c>
      <c r="K1214" t="s">
        <v>5257</v>
      </c>
      <c r="L1214" t="s">
        <v>431</v>
      </c>
      <c r="M1214" t="s">
        <v>5940</v>
      </c>
      <c r="N1214" t="s">
        <v>1376</v>
      </c>
      <c r="O1214" t="s">
        <v>1377</v>
      </c>
      <c r="Q1214" t="s">
        <v>6311</v>
      </c>
      <c r="R1214">
        <f>1</f>
        <v>1</v>
      </c>
      <c r="S1214">
        <f>14.2</f>
        <v>14.2</v>
      </c>
      <c r="T1214">
        <f>6.9</f>
        <v>6.9</v>
      </c>
      <c r="U1214">
        <f>110</f>
        <v>110</v>
      </c>
      <c r="V1214">
        <f>0.17</f>
        <v>0.17</v>
      </c>
      <c r="X1214">
        <f>0</f>
        <v>0</v>
      </c>
      <c r="Y1214" t="s">
        <v>157</v>
      </c>
      <c r="Z1214">
        <f>0</f>
        <v>0</v>
      </c>
      <c r="AA1214" t="s">
        <v>158</v>
      </c>
      <c r="AB1214" t="s">
        <v>158</v>
      </c>
      <c r="AC1214">
        <f>0</f>
        <v>0</v>
      </c>
      <c r="AD1214">
        <f>0</f>
        <v>0</v>
      </c>
      <c r="AE1214">
        <f>0</f>
        <v>0</v>
      </c>
      <c r="AH1214" t="s">
        <v>157</v>
      </c>
      <c r="AI1214" t="s">
        <v>238</v>
      </c>
      <c r="AL1214" t="s">
        <v>164</v>
      </c>
      <c r="AM1214" t="s">
        <v>165</v>
      </c>
      <c r="AN1214">
        <f>4.9</f>
        <v>4.9000000000000004</v>
      </c>
      <c r="AO1214">
        <f>0.1</f>
        <v>0.1</v>
      </c>
      <c r="AP1214">
        <f>10</f>
        <v>10</v>
      </c>
      <c r="AQ1214">
        <f>3.2</f>
        <v>3.2</v>
      </c>
      <c r="AR1214" t="s">
        <v>157</v>
      </c>
      <c r="AS1214">
        <f>4.1</f>
        <v>4.0999999999999996</v>
      </c>
      <c r="AY1214" t="s">
        <v>167</v>
      </c>
      <c r="AZ1214" t="s">
        <v>158</v>
      </c>
      <c r="BA1214" t="s">
        <v>216</v>
      </c>
      <c r="BB1214" t="s">
        <v>158</v>
      </c>
      <c r="BC1214" t="s">
        <v>166</v>
      </c>
      <c r="BD1214" t="s">
        <v>167</v>
      </c>
      <c r="BE1214">
        <f>0.008</f>
        <v>8.0000000000000002E-3</v>
      </c>
      <c r="BF1214" t="s">
        <v>168</v>
      </c>
      <c r="BG1214" t="s">
        <v>167</v>
      </c>
      <c r="BH1214" t="s">
        <v>167</v>
      </c>
      <c r="BK1214">
        <f>0.014</f>
        <v>1.4E-2</v>
      </c>
      <c r="EL1214">
        <f>0.22</f>
        <v>0.22</v>
      </c>
      <c r="EM1214">
        <f>0.29</f>
        <v>0.28999999999999998</v>
      </c>
      <c r="EN1214">
        <f>0.43</f>
        <v>0.43</v>
      </c>
      <c r="EO1214">
        <f>0.69</f>
        <v>0.69</v>
      </c>
      <c r="ER1214">
        <f>1.6</f>
        <v>1.6</v>
      </c>
    </row>
    <row r="1215" spans="1:148" x14ac:dyDescent="0.25">
      <c r="A1215" t="s">
        <v>3714</v>
      </c>
      <c r="B1215" t="s">
        <v>148</v>
      </c>
      <c r="C1215" s="1">
        <v>45729</v>
      </c>
      <c r="D1215" t="s">
        <v>317</v>
      </c>
      <c r="E1215" t="s">
        <v>318</v>
      </c>
      <c r="F1215" t="s">
        <v>4965</v>
      </c>
      <c r="G1215" t="s">
        <v>6624</v>
      </c>
      <c r="H1215">
        <v>1096</v>
      </c>
      <c r="I1215" t="s">
        <v>1381</v>
      </c>
      <c r="J1215">
        <v>669</v>
      </c>
      <c r="K1215" t="s">
        <v>5254</v>
      </c>
      <c r="L1215" t="s">
        <v>180</v>
      </c>
      <c r="M1215" t="s">
        <v>4985</v>
      </c>
      <c r="N1215" t="s">
        <v>4986</v>
      </c>
      <c r="O1215" t="s">
        <v>1382</v>
      </c>
      <c r="Q1215" t="s">
        <v>6466</v>
      </c>
      <c r="R1215">
        <f>1</f>
        <v>1</v>
      </c>
      <c r="S1215">
        <f>9.1</f>
        <v>9.1</v>
      </c>
      <c r="T1215">
        <f>7.9</f>
        <v>7.9</v>
      </c>
      <c r="U1215">
        <f>325</f>
        <v>325</v>
      </c>
      <c r="X1215">
        <f>0</f>
        <v>0</v>
      </c>
      <c r="Y1215" t="s">
        <v>157</v>
      </c>
      <c r="Z1215">
        <f>0</f>
        <v>0</v>
      </c>
      <c r="AA1215">
        <f>3</f>
        <v>3</v>
      </c>
      <c r="AB1215">
        <f>0</f>
        <v>0</v>
      </c>
      <c r="AD1215">
        <f>0</f>
        <v>0</v>
      </c>
      <c r="AE1215">
        <f>0</f>
        <v>0</v>
      </c>
      <c r="AH1215" t="s">
        <v>157</v>
      </c>
    </row>
    <row r="1216" spans="1:148" x14ac:dyDescent="0.25">
      <c r="A1216" t="s">
        <v>3715</v>
      </c>
      <c r="B1216" t="s">
        <v>148</v>
      </c>
      <c r="C1216" s="1">
        <v>45785</v>
      </c>
      <c r="D1216" t="s">
        <v>317</v>
      </c>
      <c r="E1216" t="s">
        <v>318</v>
      </c>
      <c r="F1216" t="s">
        <v>6576</v>
      </c>
      <c r="G1216" t="s">
        <v>1384</v>
      </c>
      <c r="H1216">
        <v>1088</v>
      </c>
      <c r="I1216" t="s">
        <v>1384</v>
      </c>
      <c r="J1216">
        <v>700</v>
      </c>
      <c r="K1216" t="s">
        <v>5254</v>
      </c>
      <c r="L1216" t="s">
        <v>431</v>
      </c>
      <c r="M1216" t="s">
        <v>5941</v>
      </c>
      <c r="N1216" t="s">
        <v>5942</v>
      </c>
      <c r="O1216" t="s">
        <v>1385</v>
      </c>
      <c r="Q1216" t="s">
        <v>347</v>
      </c>
      <c r="R1216">
        <f>1</f>
        <v>1</v>
      </c>
      <c r="S1216">
        <f>13.5</f>
        <v>13.5</v>
      </c>
      <c r="T1216">
        <f>7.7</f>
        <v>7.7</v>
      </c>
      <c r="U1216">
        <f>328</f>
        <v>328</v>
      </c>
      <c r="V1216">
        <f>0.14</f>
        <v>0.14000000000000001</v>
      </c>
      <c r="X1216">
        <f>0</f>
        <v>0</v>
      </c>
      <c r="Y1216">
        <f>0.24</f>
        <v>0.24</v>
      </c>
      <c r="Z1216">
        <f>0</f>
        <v>0</v>
      </c>
      <c r="AA1216">
        <f>0</f>
        <v>0</v>
      </c>
      <c r="AB1216">
        <f>0</f>
        <v>0</v>
      </c>
      <c r="AD1216">
        <f>0</f>
        <v>0</v>
      </c>
      <c r="AE1216">
        <f>0</f>
        <v>0</v>
      </c>
      <c r="AH1216" t="s">
        <v>157</v>
      </c>
      <c r="AI1216" t="s">
        <v>167</v>
      </c>
      <c r="AL1216" t="s">
        <v>168</v>
      </c>
      <c r="AM1216" t="s">
        <v>216</v>
      </c>
      <c r="AN1216">
        <f>2.7</f>
        <v>2.7</v>
      </c>
      <c r="AO1216">
        <f>0.054</f>
        <v>5.3999999999999999E-2</v>
      </c>
      <c r="AP1216">
        <f>3.9</f>
        <v>3.9</v>
      </c>
      <c r="AQ1216">
        <f>1.3</f>
        <v>1.3</v>
      </c>
      <c r="AR1216" t="s">
        <v>167</v>
      </c>
      <c r="AS1216">
        <f>0.96</f>
        <v>0.96</v>
      </c>
      <c r="AY1216" t="s">
        <v>158</v>
      </c>
      <c r="AZ1216" t="s">
        <v>158</v>
      </c>
      <c r="BA1216" t="s">
        <v>216</v>
      </c>
      <c r="BB1216" t="s">
        <v>158</v>
      </c>
      <c r="BC1216" t="s">
        <v>167</v>
      </c>
      <c r="BD1216" t="s">
        <v>167</v>
      </c>
      <c r="BE1216" t="s">
        <v>216</v>
      </c>
      <c r="BF1216" t="s">
        <v>167</v>
      </c>
      <c r="BG1216" t="s">
        <v>158</v>
      </c>
      <c r="BH1216" t="s">
        <v>167</v>
      </c>
      <c r="BK1216" t="s">
        <v>158</v>
      </c>
      <c r="EL1216" t="s">
        <v>251</v>
      </c>
      <c r="EM1216" t="s">
        <v>251</v>
      </c>
      <c r="EN1216" t="s">
        <v>251</v>
      </c>
      <c r="EO1216" t="s">
        <v>251</v>
      </c>
      <c r="ER1216" t="s">
        <v>251</v>
      </c>
    </row>
    <row r="1217" spans="1:148" x14ac:dyDescent="0.25">
      <c r="A1217" t="s">
        <v>3716</v>
      </c>
      <c r="B1217" t="s">
        <v>148</v>
      </c>
      <c r="C1217" s="1">
        <v>45838</v>
      </c>
      <c r="D1217" t="s">
        <v>242</v>
      </c>
      <c r="E1217" t="s">
        <v>243</v>
      </c>
      <c r="F1217" t="s">
        <v>5802</v>
      </c>
      <c r="G1217" t="s">
        <v>1387</v>
      </c>
      <c r="H1217">
        <v>1119</v>
      </c>
      <c r="I1217" t="s">
        <v>1387</v>
      </c>
      <c r="J1217">
        <v>535</v>
      </c>
      <c r="K1217" t="s">
        <v>5254</v>
      </c>
      <c r="L1217" t="s">
        <v>393</v>
      </c>
      <c r="M1217" t="s">
        <v>1388</v>
      </c>
      <c r="N1217" t="s">
        <v>1389</v>
      </c>
      <c r="R1217">
        <f>1</f>
        <v>1</v>
      </c>
      <c r="S1217">
        <f>19.2</f>
        <v>19.2</v>
      </c>
      <c r="T1217">
        <f>7.9</f>
        <v>7.9</v>
      </c>
      <c r="U1217">
        <f>488</f>
        <v>488</v>
      </c>
      <c r="V1217">
        <f>0.21</f>
        <v>0.21</v>
      </c>
      <c r="X1217">
        <f>0</f>
        <v>0</v>
      </c>
      <c r="Y1217" t="s">
        <v>157</v>
      </c>
      <c r="Z1217">
        <f>0</f>
        <v>0</v>
      </c>
      <c r="AA1217" t="s">
        <v>158</v>
      </c>
      <c r="AB1217" t="s">
        <v>158</v>
      </c>
      <c r="AD1217">
        <f>0</f>
        <v>0</v>
      </c>
      <c r="AE1217">
        <f>0</f>
        <v>0</v>
      </c>
      <c r="AH1217" t="s">
        <v>157</v>
      </c>
      <c r="AI1217" t="s">
        <v>238</v>
      </c>
      <c r="AL1217" t="s">
        <v>164</v>
      </c>
      <c r="AM1217" t="s">
        <v>165</v>
      </c>
      <c r="AN1217">
        <f>4.1</f>
        <v>4.0999999999999996</v>
      </c>
      <c r="AO1217">
        <f>0.08</f>
        <v>0.08</v>
      </c>
      <c r="AP1217">
        <f>10</f>
        <v>10</v>
      </c>
      <c r="AQ1217">
        <f>1.7</f>
        <v>1.7</v>
      </c>
      <c r="AR1217" t="s">
        <v>157</v>
      </c>
      <c r="AS1217">
        <f>0.89</f>
        <v>0.89</v>
      </c>
      <c r="AY1217" t="s">
        <v>167</v>
      </c>
      <c r="AZ1217" t="s">
        <v>158</v>
      </c>
      <c r="BA1217" t="s">
        <v>216</v>
      </c>
      <c r="BB1217" t="s">
        <v>158</v>
      </c>
      <c r="BC1217" t="s">
        <v>166</v>
      </c>
      <c r="BD1217" t="s">
        <v>167</v>
      </c>
      <c r="BE1217">
        <f>0.0035</f>
        <v>3.5000000000000001E-3</v>
      </c>
      <c r="BF1217">
        <f>0.051</f>
        <v>5.0999999999999997E-2</v>
      </c>
      <c r="BG1217" t="s">
        <v>167</v>
      </c>
      <c r="BH1217">
        <f>1.1</f>
        <v>1.1000000000000001</v>
      </c>
      <c r="BK1217">
        <f>0.45</f>
        <v>0.45</v>
      </c>
      <c r="EL1217">
        <f>0.44</f>
        <v>0.44</v>
      </c>
      <c r="EM1217" t="s">
        <v>166</v>
      </c>
      <c r="EN1217">
        <f>0.59</f>
        <v>0.59</v>
      </c>
      <c r="EO1217">
        <f>0.49</f>
        <v>0.49</v>
      </c>
      <c r="ER1217">
        <f>1.5</f>
        <v>1.5</v>
      </c>
    </row>
    <row r="1218" spans="1:148" x14ac:dyDescent="0.25">
      <c r="A1218" t="s">
        <v>3717</v>
      </c>
      <c r="B1218" t="s">
        <v>148</v>
      </c>
      <c r="C1218" s="1">
        <v>45785</v>
      </c>
      <c r="D1218" t="s">
        <v>242</v>
      </c>
      <c r="E1218" t="s">
        <v>243</v>
      </c>
      <c r="F1218" t="s">
        <v>1396</v>
      </c>
      <c r="G1218" t="s">
        <v>1397</v>
      </c>
      <c r="H1218">
        <v>1143</v>
      </c>
      <c r="I1218" t="s">
        <v>1397</v>
      </c>
      <c r="J1218">
        <v>1039</v>
      </c>
      <c r="K1218" t="s">
        <v>5254</v>
      </c>
      <c r="L1218" t="s">
        <v>431</v>
      </c>
      <c r="M1218" t="s">
        <v>1398</v>
      </c>
      <c r="N1218" t="s">
        <v>1399</v>
      </c>
      <c r="O1218" t="s">
        <v>1400</v>
      </c>
      <c r="R1218">
        <f>1</f>
        <v>1</v>
      </c>
      <c r="S1218">
        <f>13.4</f>
        <v>13.4</v>
      </c>
      <c r="T1218">
        <f>7.4</f>
        <v>7.4</v>
      </c>
      <c r="U1218">
        <f>453</f>
        <v>453</v>
      </c>
      <c r="V1218">
        <f>0.15</f>
        <v>0.15</v>
      </c>
      <c r="X1218">
        <f>0</f>
        <v>0</v>
      </c>
      <c r="Y1218" t="s">
        <v>157</v>
      </c>
      <c r="Z1218">
        <f>0</f>
        <v>0</v>
      </c>
      <c r="AA1218" t="s">
        <v>158</v>
      </c>
      <c r="AB1218" t="s">
        <v>158</v>
      </c>
      <c r="AD1218">
        <f>0</f>
        <v>0</v>
      </c>
      <c r="AE1218">
        <f>0</f>
        <v>0</v>
      </c>
      <c r="AH1218" t="s">
        <v>157</v>
      </c>
      <c r="AI1218" t="s">
        <v>238</v>
      </c>
      <c r="AL1218" t="s">
        <v>164</v>
      </c>
      <c r="AM1218" t="s">
        <v>165</v>
      </c>
      <c r="AN1218">
        <f>6.2</f>
        <v>6.2</v>
      </c>
      <c r="AO1218">
        <f>0.12</f>
        <v>0.12</v>
      </c>
      <c r="AP1218">
        <f>9</f>
        <v>9</v>
      </c>
      <c r="AQ1218">
        <f>9.5</f>
        <v>9.5</v>
      </c>
      <c r="AR1218" t="s">
        <v>157</v>
      </c>
      <c r="AS1218">
        <f>3.9</f>
        <v>3.9</v>
      </c>
      <c r="AY1218" t="s">
        <v>167</v>
      </c>
      <c r="AZ1218" t="s">
        <v>158</v>
      </c>
      <c r="BA1218" t="s">
        <v>216</v>
      </c>
      <c r="BB1218" t="s">
        <v>158</v>
      </c>
      <c r="BC1218" t="s">
        <v>166</v>
      </c>
      <c r="BD1218" t="s">
        <v>167</v>
      </c>
      <c r="BE1218">
        <f>0.0012</f>
        <v>1.1999999999999999E-3</v>
      </c>
      <c r="BF1218" t="s">
        <v>168</v>
      </c>
      <c r="BG1218" t="s">
        <v>167</v>
      </c>
      <c r="BH1218" t="s">
        <v>167</v>
      </c>
      <c r="BK1218">
        <f>0.12</f>
        <v>0.12</v>
      </c>
      <c r="EL1218">
        <f>0.61</f>
        <v>0.61</v>
      </c>
      <c r="EM1218">
        <f>0.33</f>
        <v>0.33</v>
      </c>
      <c r="EN1218">
        <f>0.81</f>
        <v>0.81</v>
      </c>
      <c r="EO1218">
        <f>0.78</f>
        <v>0.78</v>
      </c>
      <c r="ER1218">
        <f>2.5</f>
        <v>2.5</v>
      </c>
    </row>
    <row r="1219" spans="1:148" x14ac:dyDescent="0.25">
      <c r="A1219" t="s">
        <v>3718</v>
      </c>
      <c r="B1219" t="s">
        <v>268</v>
      </c>
      <c r="C1219" s="1">
        <v>45817</v>
      </c>
      <c r="D1219" t="s">
        <v>242</v>
      </c>
      <c r="E1219" t="s">
        <v>295</v>
      </c>
      <c r="F1219" t="s">
        <v>764</v>
      </c>
      <c r="G1219" t="s">
        <v>1402</v>
      </c>
      <c r="H1219">
        <v>828</v>
      </c>
      <c r="I1219" t="s">
        <v>1402</v>
      </c>
      <c r="J1219">
        <v>690</v>
      </c>
      <c r="K1219" t="s">
        <v>5254</v>
      </c>
      <c r="L1219" t="s">
        <v>4724</v>
      </c>
      <c r="M1219" t="s">
        <v>5417</v>
      </c>
      <c r="N1219" t="s">
        <v>1403</v>
      </c>
      <c r="O1219" t="s">
        <v>1404</v>
      </c>
      <c r="R1219">
        <f>1</f>
        <v>1</v>
      </c>
      <c r="S1219">
        <f>20.6</f>
        <v>20.6</v>
      </c>
      <c r="T1219">
        <f>7.4</f>
        <v>7.4</v>
      </c>
      <c r="U1219">
        <f>497</f>
        <v>497</v>
      </c>
      <c r="V1219">
        <f>0.17</f>
        <v>0.17</v>
      </c>
      <c r="X1219">
        <f>1</f>
        <v>1</v>
      </c>
      <c r="Y1219" t="s">
        <v>157</v>
      </c>
      <c r="Z1219">
        <f>0</f>
        <v>0</v>
      </c>
      <c r="AA1219" t="s">
        <v>158</v>
      </c>
      <c r="AB1219">
        <f>198</f>
        <v>198</v>
      </c>
      <c r="AD1219">
        <f>0</f>
        <v>0</v>
      </c>
      <c r="AE1219">
        <f>0</f>
        <v>0</v>
      </c>
      <c r="AH1219" t="s">
        <v>157</v>
      </c>
      <c r="AI1219" t="s">
        <v>238</v>
      </c>
      <c r="AL1219" t="s">
        <v>164</v>
      </c>
      <c r="AM1219" t="s">
        <v>165</v>
      </c>
      <c r="AN1219">
        <f>5.3</f>
        <v>5.3</v>
      </c>
      <c r="AO1219">
        <f>0.11</f>
        <v>0.11</v>
      </c>
      <c r="AP1219">
        <f>13</f>
        <v>13</v>
      </c>
      <c r="AQ1219">
        <f>5.5</f>
        <v>5.5</v>
      </c>
      <c r="AR1219" t="s">
        <v>157</v>
      </c>
      <c r="AS1219">
        <f>3.6</f>
        <v>3.6</v>
      </c>
      <c r="AY1219" t="s">
        <v>167</v>
      </c>
      <c r="AZ1219" t="s">
        <v>158</v>
      </c>
      <c r="BA1219" t="s">
        <v>216</v>
      </c>
      <c r="BB1219" t="s">
        <v>158</v>
      </c>
      <c r="BC1219" t="s">
        <v>166</v>
      </c>
      <c r="BD1219" t="s">
        <v>167</v>
      </c>
      <c r="BE1219">
        <f>0.0025</f>
        <v>2.5000000000000001E-3</v>
      </c>
      <c r="BF1219" t="s">
        <v>168</v>
      </c>
      <c r="BG1219" t="s">
        <v>167</v>
      </c>
      <c r="BH1219" t="s">
        <v>167</v>
      </c>
      <c r="BK1219">
        <f>0.8</f>
        <v>0.8</v>
      </c>
    </row>
    <row r="1220" spans="1:148" x14ac:dyDescent="0.25">
      <c r="A1220" t="s">
        <v>3719</v>
      </c>
      <c r="B1220" t="s">
        <v>148</v>
      </c>
      <c r="C1220" s="1">
        <v>45824</v>
      </c>
      <c r="D1220" t="s">
        <v>242</v>
      </c>
      <c r="E1220" t="s">
        <v>243</v>
      </c>
      <c r="F1220" t="s">
        <v>5098</v>
      </c>
      <c r="G1220" t="s">
        <v>5943</v>
      </c>
      <c r="H1220">
        <v>1146</v>
      </c>
      <c r="I1220" t="s">
        <v>5943</v>
      </c>
      <c r="J1220">
        <v>1009</v>
      </c>
      <c r="K1220" t="s">
        <v>5254</v>
      </c>
      <c r="L1220" t="s">
        <v>387</v>
      </c>
      <c r="M1220" t="s">
        <v>5418</v>
      </c>
      <c r="N1220" t="s">
        <v>5944</v>
      </c>
      <c r="O1220" t="s">
        <v>1406</v>
      </c>
      <c r="R1220">
        <f>1</f>
        <v>1</v>
      </c>
      <c r="S1220">
        <f>16.5</f>
        <v>16.5</v>
      </c>
      <c r="T1220">
        <f>7.3</f>
        <v>7.3</v>
      </c>
      <c r="U1220">
        <f>370</f>
        <v>370</v>
      </c>
      <c r="X1220">
        <f>1</f>
        <v>1</v>
      </c>
      <c r="Y1220">
        <f>0.16</f>
        <v>0.16</v>
      </c>
      <c r="Z1220">
        <f>0</f>
        <v>0</v>
      </c>
      <c r="AA1220" t="s">
        <v>158</v>
      </c>
      <c r="AB1220" t="s">
        <v>158</v>
      </c>
      <c r="AD1220">
        <f>0</f>
        <v>0</v>
      </c>
      <c r="AE1220">
        <f>0</f>
        <v>0</v>
      </c>
      <c r="AH1220" t="s">
        <v>157</v>
      </c>
      <c r="AI1220" t="s">
        <v>238</v>
      </c>
      <c r="AL1220" t="s">
        <v>164</v>
      </c>
      <c r="AM1220" t="s">
        <v>165</v>
      </c>
      <c r="AN1220">
        <f>0.97</f>
        <v>0.97</v>
      </c>
      <c r="AO1220">
        <f>0.02</f>
        <v>0.02</v>
      </c>
      <c r="AP1220">
        <f>7.5</f>
        <v>7.5</v>
      </c>
      <c r="AQ1220">
        <f>2.2</f>
        <v>2.2000000000000002</v>
      </c>
      <c r="AR1220" t="s">
        <v>157</v>
      </c>
      <c r="AS1220">
        <f>3.1</f>
        <v>3.1</v>
      </c>
      <c r="AY1220" t="s">
        <v>167</v>
      </c>
      <c r="AZ1220" t="s">
        <v>158</v>
      </c>
      <c r="BA1220" t="s">
        <v>216</v>
      </c>
      <c r="BB1220" t="s">
        <v>158</v>
      </c>
      <c r="BC1220" t="s">
        <v>166</v>
      </c>
      <c r="BD1220" t="s">
        <v>167</v>
      </c>
      <c r="BE1220">
        <f>0.0024</f>
        <v>2.3999999999999998E-3</v>
      </c>
      <c r="BF1220" t="s">
        <v>168</v>
      </c>
      <c r="BG1220" t="s">
        <v>167</v>
      </c>
      <c r="BH1220">
        <f>1.1</f>
        <v>1.1000000000000001</v>
      </c>
      <c r="BK1220">
        <f>0.3</f>
        <v>0.3</v>
      </c>
      <c r="EL1220">
        <f>1.2</f>
        <v>1.2</v>
      </c>
      <c r="EM1220" t="s">
        <v>166</v>
      </c>
      <c r="EN1220">
        <f>0.45</f>
        <v>0.45</v>
      </c>
      <c r="EO1220" t="s">
        <v>166</v>
      </c>
      <c r="ER1220">
        <f>1.6</f>
        <v>1.6</v>
      </c>
    </row>
    <row r="1221" spans="1:148" x14ac:dyDescent="0.25">
      <c r="A1221" t="s">
        <v>3720</v>
      </c>
      <c r="B1221" t="s">
        <v>148</v>
      </c>
      <c r="C1221" s="1">
        <v>45727</v>
      </c>
      <c r="D1221" t="s">
        <v>242</v>
      </c>
      <c r="E1221" t="s">
        <v>243</v>
      </c>
      <c r="F1221" t="s">
        <v>5284</v>
      </c>
      <c r="G1221" t="s">
        <v>6625</v>
      </c>
      <c r="H1221">
        <v>1149</v>
      </c>
      <c r="I1221" t="s">
        <v>6625</v>
      </c>
      <c r="J1221">
        <v>505</v>
      </c>
      <c r="K1221" t="s">
        <v>5254</v>
      </c>
      <c r="L1221" t="s">
        <v>393</v>
      </c>
      <c r="M1221" t="s">
        <v>4765</v>
      </c>
      <c r="N1221" t="s">
        <v>5419</v>
      </c>
      <c r="O1221" t="s">
        <v>1408</v>
      </c>
      <c r="Q1221" t="s">
        <v>6467</v>
      </c>
      <c r="R1221">
        <f>1</f>
        <v>1</v>
      </c>
      <c r="S1221">
        <f>10.4</f>
        <v>10.4</v>
      </c>
      <c r="T1221">
        <f>7.4</f>
        <v>7.4</v>
      </c>
      <c r="U1221">
        <f>605</f>
        <v>605</v>
      </c>
      <c r="V1221">
        <f>0.21</f>
        <v>0.21</v>
      </c>
      <c r="X1221">
        <f>1</f>
        <v>1</v>
      </c>
      <c r="Y1221" t="s">
        <v>157</v>
      </c>
      <c r="Z1221">
        <f>0</f>
        <v>0</v>
      </c>
      <c r="AA1221" t="s">
        <v>158</v>
      </c>
      <c r="AB1221" t="s">
        <v>158</v>
      </c>
      <c r="AD1221">
        <f>0</f>
        <v>0</v>
      </c>
      <c r="AE1221">
        <f>0</f>
        <v>0</v>
      </c>
      <c r="AH1221" t="s">
        <v>157</v>
      </c>
    </row>
    <row r="1222" spans="1:148" x14ac:dyDescent="0.25">
      <c r="A1222" t="s">
        <v>3721</v>
      </c>
      <c r="B1222" t="s">
        <v>148</v>
      </c>
      <c r="C1222" s="1">
        <v>45817</v>
      </c>
      <c r="D1222" t="s">
        <v>242</v>
      </c>
      <c r="E1222" t="s">
        <v>295</v>
      </c>
      <c r="F1222" t="s">
        <v>5284</v>
      </c>
      <c r="G1222" t="s">
        <v>1410</v>
      </c>
      <c r="H1222">
        <v>1151</v>
      </c>
      <c r="I1222" t="s">
        <v>6626</v>
      </c>
      <c r="J1222">
        <v>1056</v>
      </c>
      <c r="K1222" t="s">
        <v>5257</v>
      </c>
      <c r="L1222" t="s">
        <v>393</v>
      </c>
      <c r="M1222" t="s">
        <v>5420</v>
      </c>
      <c r="N1222" t="s">
        <v>1411</v>
      </c>
      <c r="O1222" t="s">
        <v>1412</v>
      </c>
      <c r="R1222">
        <f>1</f>
        <v>1</v>
      </c>
      <c r="S1222">
        <f>19.5</f>
        <v>19.5</v>
      </c>
      <c r="T1222">
        <f>7.9</f>
        <v>7.9</v>
      </c>
      <c r="U1222">
        <f>419</f>
        <v>419</v>
      </c>
      <c r="X1222">
        <f>0</f>
        <v>0</v>
      </c>
      <c r="Y1222">
        <f>0.58</f>
        <v>0.57999999999999996</v>
      </c>
      <c r="Z1222">
        <f>0</f>
        <v>0</v>
      </c>
      <c r="AA1222" t="s">
        <v>158</v>
      </c>
      <c r="AB1222" t="s">
        <v>158</v>
      </c>
      <c r="AC1222">
        <f>0</f>
        <v>0</v>
      </c>
      <c r="AD1222">
        <f>0</f>
        <v>0</v>
      </c>
      <c r="AE1222">
        <f>0</f>
        <v>0</v>
      </c>
      <c r="AH1222" t="s">
        <v>157</v>
      </c>
      <c r="AI1222" t="s">
        <v>238</v>
      </c>
      <c r="AL1222" t="s">
        <v>164</v>
      </c>
      <c r="AM1222" t="s">
        <v>165</v>
      </c>
      <c r="AN1222">
        <f>6.6</f>
        <v>6.6</v>
      </c>
      <c r="AO1222">
        <f>0.13</f>
        <v>0.13</v>
      </c>
      <c r="AP1222">
        <f>12</f>
        <v>12</v>
      </c>
      <c r="AQ1222">
        <f>1.9</f>
        <v>1.9</v>
      </c>
      <c r="AR1222" t="s">
        <v>157</v>
      </c>
      <c r="AS1222">
        <f>1.1</f>
        <v>1.1000000000000001</v>
      </c>
      <c r="AY1222" t="s">
        <v>167</v>
      </c>
      <c r="AZ1222" t="s">
        <v>158</v>
      </c>
      <c r="BA1222" t="s">
        <v>216</v>
      </c>
      <c r="BB1222" t="s">
        <v>158</v>
      </c>
      <c r="BC1222" t="s">
        <v>166</v>
      </c>
      <c r="BD1222" t="s">
        <v>167</v>
      </c>
      <c r="BE1222">
        <f>0.0019</f>
        <v>1.9E-3</v>
      </c>
      <c r="BF1222" t="s">
        <v>168</v>
      </c>
      <c r="BG1222" t="s">
        <v>167</v>
      </c>
      <c r="BH1222" t="s">
        <v>167</v>
      </c>
      <c r="BK1222">
        <f>0.42</f>
        <v>0.42</v>
      </c>
      <c r="EL1222">
        <f>0.3</f>
        <v>0.3</v>
      </c>
      <c r="EM1222" t="s">
        <v>166</v>
      </c>
      <c r="EN1222">
        <f>0.4</f>
        <v>0.4</v>
      </c>
      <c r="EO1222">
        <f>0.38</f>
        <v>0.38</v>
      </c>
      <c r="ER1222">
        <f>1.1</f>
        <v>1.1000000000000001</v>
      </c>
    </row>
    <row r="1223" spans="1:148" x14ac:dyDescent="0.25">
      <c r="A1223" t="s">
        <v>3722</v>
      </c>
      <c r="B1223" t="s">
        <v>148</v>
      </c>
      <c r="C1223" s="1">
        <v>45735</v>
      </c>
      <c r="D1223" t="s">
        <v>175</v>
      </c>
      <c r="E1223" t="s">
        <v>176</v>
      </c>
      <c r="F1223" t="s">
        <v>1681</v>
      </c>
      <c r="G1223" t="s">
        <v>1853</v>
      </c>
      <c r="H1223">
        <v>1155</v>
      </c>
      <c r="I1223" t="s">
        <v>1853</v>
      </c>
      <c r="J1223">
        <v>620</v>
      </c>
      <c r="K1223" t="s">
        <v>5254</v>
      </c>
      <c r="L1223" t="s">
        <v>180</v>
      </c>
      <c r="M1223" t="s">
        <v>1854</v>
      </c>
      <c r="N1223" t="s">
        <v>5468</v>
      </c>
      <c r="O1223" t="s">
        <v>1855</v>
      </c>
      <c r="Q1223" t="s">
        <v>3723</v>
      </c>
      <c r="R1223">
        <f>1</f>
        <v>1</v>
      </c>
      <c r="S1223">
        <f>7.8</f>
        <v>7.8</v>
      </c>
      <c r="T1223">
        <f>7.5</f>
        <v>7.5</v>
      </c>
      <c r="U1223">
        <f>549</f>
        <v>549</v>
      </c>
      <c r="X1223">
        <f>0</f>
        <v>0</v>
      </c>
      <c r="Y1223">
        <f>0.1</f>
        <v>0.1</v>
      </c>
      <c r="Z1223">
        <f>0</f>
        <v>0</v>
      </c>
      <c r="AA1223" t="s">
        <v>158</v>
      </c>
      <c r="AB1223" t="s">
        <v>158</v>
      </c>
      <c r="AD1223">
        <f>0</f>
        <v>0</v>
      </c>
      <c r="AE1223">
        <f>0</f>
        <v>0</v>
      </c>
    </row>
    <row r="1224" spans="1:148" x14ac:dyDescent="0.25">
      <c r="A1224" t="s">
        <v>3724</v>
      </c>
      <c r="B1224" t="s">
        <v>148</v>
      </c>
      <c r="C1224" s="1">
        <v>45726</v>
      </c>
      <c r="D1224" t="s">
        <v>269</v>
      </c>
      <c r="E1224" t="s">
        <v>295</v>
      </c>
      <c r="F1224" t="s">
        <v>331</v>
      </c>
      <c r="G1224" t="s">
        <v>1414</v>
      </c>
      <c r="H1224">
        <v>310</v>
      </c>
      <c r="I1224" t="s">
        <v>1414</v>
      </c>
      <c r="J1224">
        <v>821</v>
      </c>
      <c r="K1224" t="s">
        <v>5254</v>
      </c>
      <c r="L1224" t="s">
        <v>154</v>
      </c>
      <c r="M1224" t="s">
        <v>1415</v>
      </c>
      <c r="N1224" t="s">
        <v>5421</v>
      </c>
      <c r="O1224" t="s">
        <v>1416</v>
      </c>
      <c r="R1224">
        <f>1</f>
        <v>1</v>
      </c>
      <c r="S1224">
        <f>9.3</f>
        <v>9.3000000000000007</v>
      </c>
      <c r="T1224">
        <f>7.7</f>
        <v>7.7</v>
      </c>
      <c r="U1224">
        <f>528</f>
        <v>528</v>
      </c>
      <c r="V1224">
        <f>0.11</f>
        <v>0.11</v>
      </c>
      <c r="X1224">
        <f>0</f>
        <v>0</v>
      </c>
      <c r="Y1224">
        <f>0.21</f>
        <v>0.21</v>
      </c>
      <c r="Z1224">
        <f>0</f>
        <v>0</v>
      </c>
      <c r="AA1224" t="s">
        <v>158</v>
      </c>
      <c r="AB1224" t="s">
        <v>158</v>
      </c>
      <c r="AD1224">
        <f>0</f>
        <v>0</v>
      </c>
      <c r="AE1224">
        <f>0</f>
        <v>0</v>
      </c>
    </row>
    <row r="1225" spans="1:148" x14ac:dyDescent="0.25">
      <c r="A1225" t="s">
        <v>3725</v>
      </c>
      <c r="B1225" t="s">
        <v>148</v>
      </c>
      <c r="C1225" s="1">
        <v>45733</v>
      </c>
      <c r="D1225" t="s">
        <v>269</v>
      </c>
      <c r="E1225" t="s">
        <v>270</v>
      </c>
      <c r="F1225" t="s">
        <v>271</v>
      </c>
      <c r="G1225" t="s">
        <v>1419</v>
      </c>
      <c r="H1225">
        <v>162</v>
      </c>
      <c r="I1225" t="s">
        <v>1419</v>
      </c>
      <c r="J1225">
        <v>599</v>
      </c>
      <c r="K1225" t="s">
        <v>5257</v>
      </c>
      <c r="L1225" t="s">
        <v>154</v>
      </c>
      <c r="M1225" t="s">
        <v>1420</v>
      </c>
      <c r="N1225" t="s">
        <v>1421</v>
      </c>
      <c r="O1225" t="s">
        <v>1422</v>
      </c>
      <c r="R1225">
        <f>1</f>
        <v>1</v>
      </c>
      <c r="S1225">
        <f>13.7</f>
        <v>13.7</v>
      </c>
      <c r="T1225">
        <f>7.7</f>
        <v>7.7</v>
      </c>
      <c r="U1225">
        <f>357</f>
        <v>357</v>
      </c>
      <c r="V1225">
        <f>0.2</f>
        <v>0.2</v>
      </c>
      <c r="X1225">
        <f>0</f>
        <v>0</v>
      </c>
      <c r="Y1225">
        <f>0.2</f>
        <v>0.2</v>
      </c>
      <c r="Z1225">
        <f>0</f>
        <v>0</v>
      </c>
      <c r="AA1225">
        <f>28</f>
        <v>28</v>
      </c>
      <c r="AB1225">
        <f>17</f>
        <v>17</v>
      </c>
      <c r="AC1225">
        <f>0</f>
        <v>0</v>
      </c>
      <c r="AD1225">
        <f>0</f>
        <v>0</v>
      </c>
      <c r="AE1225">
        <f>0</f>
        <v>0</v>
      </c>
    </row>
    <row r="1226" spans="1:148" x14ac:dyDescent="0.25">
      <c r="A1226" t="s">
        <v>3726</v>
      </c>
      <c r="B1226" t="s">
        <v>148</v>
      </c>
      <c r="C1226" s="1">
        <v>45748</v>
      </c>
      <c r="D1226" t="s">
        <v>175</v>
      </c>
      <c r="E1226" t="s">
        <v>649</v>
      </c>
      <c r="F1226" t="s">
        <v>1428</v>
      </c>
      <c r="G1226" t="s">
        <v>1429</v>
      </c>
      <c r="H1226">
        <v>839</v>
      </c>
      <c r="I1226" t="s">
        <v>1429</v>
      </c>
      <c r="J1226">
        <v>1000</v>
      </c>
      <c r="K1226" t="s">
        <v>5254</v>
      </c>
      <c r="L1226" t="s">
        <v>4947</v>
      </c>
      <c r="M1226" t="s">
        <v>1430</v>
      </c>
      <c r="N1226" t="s">
        <v>1431</v>
      </c>
      <c r="O1226" t="s">
        <v>1432</v>
      </c>
      <c r="R1226">
        <f>1</f>
        <v>1</v>
      </c>
      <c r="S1226">
        <f>10.5</f>
        <v>10.5</v>
      </c>
      <c r="T1226">
        <f>8</f>
        <v>8</v>
      </c>
      <c r="U1226">
        <f>329</f>
        <v>329</v>
      </c>
      <c r="V1226">
        <f>0.18</f>
        <v>0.18</v>
      </c>
      <c r="X1226">
        <f>0</f>
        <v>0</v>
      </c>
      <c r="Y1226">
        <f>0.25</f>
        <v>0.25</v>
      </c>
      <c r="Z1226">
        <f>0</f>
        <v>0</v>
      </c>
      <c r="AA1226" t="s">
        <v>158</v>
      </c>
      <c r="AB1226">
        <f>34</f>
        <v>34</v>
      </c>
      <c r="AD1226">
        <f>0</f>
        <v>0</v>
      </c>
      <c r="AE1226">
        <f>0</f>
        <v>0</v>
      </c>
      <c r="AH1226" t="s">
        <v>157</v>
      </c>
    </row>
    <row r="1227" spans="1:148" x14ac:dyDescent="0.25">
      <c r="A1227" t="s">
        <v>3727</v>
      </c>
      <c r="B1227" t="s">
        <v>148</v>
      </c>
      <c r="C1227" s="1">
        <v>45750</v>
      </c>
      <c r="D1227" t="s">
        <v>175</v>
      </c>
      <c r="E1227" t="s">
        <v>649</v>
      </c>
      <c r="F1227" t="s">
        <v>1880</v>
      </c>
      <c r="G1227" t="s">
        <v>1881</v>
      </c>
      <c r="H1227">
        <v>841</v>
      </c>
      <c r="I1227" t="s">
        <v>1881</v>
      </c>
      <c r="J1227">
        <v>800</v>
      </c>
      <c r="K1227" t="s">
        <v>5254</v>
      </c>
      <c r="L1227" t="s">
        <v>1882</v>
      </c>
      <c r="M1227" t="s">
        <v>6019</v>
      </c>
      <c r="N1227" t="s">
        <v>1883</v>
      </c>
      <c r="O1227" t="s">
        <v>1884</v>
      </c>
      <c r="R1227">
        <f>1</f>
        <v>1</v>
      </c>
      <c r="S1227">
        <f>10.4</f>
        <v>10.4</v>
      </c>
      <c r="T1227">
        <f>8</f>
        <v>8</v>
      </c>
      <c r="U1227">
        <f>462</f>
        <v>462</v>
      </c>
      <c r="X1227">
        <f>0</f>
        <v>0</v>
      </c>
      <c r="Y1227" t="s">
        <v>157</v>
      </c>
      <c r="Z1227">
        <f>0</f>
        <v>0</v>
      </c>
      <c r="AA1227" t="s">
        <v>158</v>
      </c>
      <c r="AB1227" t="s">
        <v>158</v>
      </c>
      <c r="AD1227">
        <f>0</f>
        <v>0</v>
      </c>
      <c r="AE1227">
        <f>0</f>
        <v>0</v>
      </c>
      <c r="AH1227" t="s">
        <v>157</v>
      </c>
    </row>
    <row r="1228" spans="1:148" x14ac:dyDescent="0.25">
      <c r="A1228" t="s">
        <v>3728</v>
      </c>
      <c r="B1228" t="s">
        <v>148</v>
      </c>
      <c r="C1228" s="1">
        <v>45818</v>
      </c>
      <c r="D1228" t="s">
        <v>242</v>
      </c>
      <c r="E1228" t="s">
        <v>243</v>
      </c>
      <c r="F1228" t="s">
        <v>244</v>
      </c>
      <c r="G1228" t="s">
        <v>245</v>
      </c>
      <c r="H1228">
        <v>720</v>
      </c>
      <c r="I1228" t="s">
        <v>1438</v>
      </c>
      <c r="J1228">
        <v>599</v>
      </c>
      <c r="K1228" t="s">
        <v>5257</v>
      </c>
      <c r="L1228" t="s">
        <v>1198</v>
      </c>
      <c r="M1228" t="s">
        <v>1439</v>
      </c>
      <c r="N1228" t="s">
        <v>1440</v>
      </c>
      <c r="O1228" t="s">
        <v>1441</v>
      </c>
      <c r="Q1228" t="s">
        <v>6350</v>
      </c>
      <c r="R1228">
        <f>1</f>
        <v>1</v>
      </c>
      <c r="S1228">
        <f>15.9</f>
        <v>15.9</v>
      </c>
      <c r="T1228">
        <f>7.7</f>
        <v>7.7</v>
      </c>
      <c r="U1228">
        <f>395</f>
        <v>395</v>
      </c>
      <c r="X1228">
        <f>1</f>
        <v>1</v>
      </c>
      <c r="Y1228" t="s">
        <v>157</v>
      </c>
      <c r="Z1228">
        <f>0</f>
        <v>0</v>
      </c>
      <c r="AA1228" t="s">
        <v>158</v>
      </c>
      <c r="AB1228" t="s">
        <v>158</v>
      </c>
      <c r="AC1228">
        <f>0</f>
        <v>0</v>
      </c>
      <c r="AD1228">
        <f>0</f>
        <v>0</v>
      </c>
      <c r="AE1228">
        <f>0</f>
        <v>0</v>
      </c>
      <c r="AH1228" t="s">
        <v>157</v>
      </c>
      <c r="AI1228" t="s">
        <v>238</v>
      </c>
      <c r="AL1228" t="s">
        <v>164</v>
      </c>
      <c r="AM1228" t="s">
        <v>165</v>
      </c>
      <c r="AN1228">
        <f>4.2</f>
        <v>4.2</v>
      </c>
      <c r="AO1228">
        <f>0.08</f>
        <v>0.08</v>
      </c>
      <c r="AP1228">
        <f>9.3</f>
        <v>9.3000000000000007</v>
      </c>
      <c r="AQ1228">
        <f>3.6</f>
        <v>3.6</v>
      </c>
      <c r="AR1228" t="s">
        <v>157</v>
      </c>
      <c r="AS1228">
        <f>2.6</f>
        <v>2.6</v>
      </c>
      <c r="AY1228" t="s">
        <v>167</v>
      </c>
      <c r="AZ1228" t="s">
        <v>158</v>
      </c>
      <c r="BA1228" t="s">
        <v>216</v>
      </c>
      <c r="BB1228" t="s">
        <v>158</v>
      </c>
      <c r="BC1228" t="s">
        <v>166</v>
      </c>
      <c r="BD1228" t="s">
        <v>167</v>
      </c>
      <c r="BE1228">
        <f>0.0063</f>
        <v>6.3E-3</v>
      </c>
      <c r="BF1228" t="s">
        <v>168</v>
      </c>
      <c r="BG1228" t="s">
        <v>167</v>
      </c>
      <c r="BH1228" t="s">
        <v>167</v>
      </c>
      <c r="BK1228">
        <f>0.15</f>
        <v>0.15</v>
      </c>
      <c r="EL1228">
        <f>0.55</f>
        <v>0.55000000000000004</v>
      </c>
      <c r="EM1228" t="s">
        <v>166</v>
      </c>
      <c r="EN1228">
        <f>0.54</f>
        <v>0.54</v>
      </c>
      <c r="EO1228">
        <f>0.29</f>
        <v>0.28999999999999998</v>
      </c>
      <c r="ER1228">
        <f>1.4</f>
        <v>1.4</v>
      </c>
    </row>
    <row r="1229" spans="1:148" x14ac:dyDescent="0.25">
      <c r="A1229" t="s">
        <v>3729</v>
      </c>
      <c r="B1229" t="s">
        <v>268</v>
      </c>
      <c r="C1229" s="1">
        <v>45790</v>
      </c>
      <c r="D1229" t="s">
        <v>175</v>
      </c>
      <c r="E1229" t="s">
        <v>176</v>
      </c>
      <c r="F1229" t="s">
        <v>177</v>
      </c>
      <c r="G1229" t="s">
        <v>1908</v>
      </c>
      <c r="H1229">
        <v>1353</v>
      </c>
      <c r="I1229" t="s">
        <v>1908</v>
      </c>
      <c r="J1229">
        <v>572</v>
      </c>
      <c r="K1229" t="s">
        <v>5254</v>
      </c>
      <c r="L1229" t="s">
        <v>4966</v>
      </c>
      <c r="M1229" t="s">
        <v>5472</v>
      </c>
      <c r="N1229" t="s">
        <v>1909</v>
      </c>
      <c r="O1229" t="s">
        <v>1910</v>
      </c>
      <c r="Q1229" t="s">
        <v>6468</v>
      </c>
      <c r="R1229">
        <f>1</f>
        <v>1</v>
      </c>
      <c r="S1229">
        <f>13.9</f>
        <v>13.9</v>
      </c>
      <c r="T1229">
        <f>7.6</f>
        <v>7.6</v>
      </c>
      <c r="U1229">
        <f>438</f>
        <v>438</v>
      </c>
      <c r="X1229">
        <f>0</f>
        <v>0</v>
      </c>
      <c r="Y1229" t="s">
        <v>157</v>
      </c>
      <c r="Z1229">
        <f>0</f>
        <v>0</v>
      </c>
      <c r="AA1229" t="s">
        <v>158</v>
      </c>
      <c r="AB1229" t="s">
        <v>158</v>
      </c>
      <c r="AD1229">
        <f>0</f>
        <v>0</v>
      </c>
      <c r="AE1229">
        <f>3</f>
        <v>3</v>
      </c>
      <c r="AH1229" t="s">
        <v>157</v>
      </c>
      <c r="AI1229" t="s">
        <v>238</v>
      </c>
      <c r="AL1229" t="s">
        <v>164</v>
      </c>
      <c r="AM1229" t="s">
        <v>165</v>
      </c>
      <c r="AN1229">
        <f>3.1</f>
        <v>3.1</v>
      </c>
      <c r="AO1229">
        <f>0.06</f>
        <v>0.06</v>
      </c>
      <c r="AP1229">
        <f>14</f>
        <v>14</v>
      </c>
      <c r="AQ1229">
        <f>3.1</f>
        <v>3.1</v>
      </c>
      <c r="AR1229" t="s">
        <v>157</v>
      </c>
      <c r="AS1229">
        <f>1.7</f>
        <v>1.7</v>
      </c>
      <c r="AY1229" t="s">
        <v>167</v>
      </c>
      <c r="AZ1229" t="s">
        <v>158</v>
      </c>
      <c r="BA1229" t="s">
        <v>216</v>
      </c>
      <c r="BB1229" t="s">
        <v>158</v>
      </c>
      <c r="BC1229" t="s">
        <v>166</v>
      </c>
      <c r="BD1229" t="s">
        <v>167</v>
      </c>
      <c r="BE1229">
        <f>0.0029</f>
        <v>2.8999999999999998E-3</v>
      </c>
      <c r="BF1229">
        <f>0.021</f>
        <v>2.1000000000000001E-2</v>
      </c>
      <c r="BG1229" t="s">
        <v>167</v>
      </c>
      <c r="BH1229" t="s">
        <v>167</v>
      </c>
      <c r="BK1229">
        <f>0.86</f>
        <v>0.86</v>
      </c>
    </row>
    <row r="1230" spans="1:148" x14ac:dyDescent="0.25">
      <c r="A1230" t="s">
        <v>3730</v>
      </c>
      <c r="B1230" t="s">
        <v>148</v>
      </c>
      <c r="C1230" s="1">
        <v>45826</v>
      </c>
      <c r="D1230" t="s">
        <v>311</v>
      </c>
      <c r="E1230" t="s">
        <v>312</v>
      </c>
      <c r="F1230" t="s">
        <v>349</v>
      </c>
      <c r="G1230" t="s">
        <v>1456</v>
      </c>
      <c r="H1230">
        <v>849</v>
      </c>
      <c r="I1230" t="s">
        <v>1457</v>
      </c>
      <c r="J1230">
        <v>1984</v>
      </c>
      <c r="K1230" t="s">
        <v>5257</v>
      </c>
      <c r="L1230" t="s">
        <v>387</v>
      </c>
      <c r="M1230" t="s">
        <v>6631</v>
      </c>
      <c r="N1230" t="s">
        <v>1458</v>
      </c>
      <c r="O1230" t="s">
        <v>1459</v>
      </c>
      <c r="R1230">
        <f>1</f>
        <v>1</v>
      </c>
      <c r="S1230">
        <f>19.1</f>
        <v>19.100000000000001</v>
      </c>
      <c r="T1230">
        <f>7.3</f>
        <v>7.3</v>
      </c>
      <c r="U1230">
        <f>216</f>
        <v>216</v>
      </c>
      <c r="V1230">
        <f>0.06</f>
        <v>0.06</v>
      </c>
      <c r="X1230">
        <f>0</f>
        <v>0</v>
      </c>
      <c r="Y1230">
        <f>0.1</f>
        <v>0.1</v>
      </c>
      <c r="Z1230">
        <f>0</f>
        <v>0</v>
      </c>
      <c r="AA1230" t="s">
        <v>158</v>
      </c>
      <c r="AB1230" t="s">
        <v>158</v>
      </c>
      <c r="AC1230">
        <f>0</f>
        <v>0</v>
      </c>
      <c r="AD1230">
        <f>0</f>
        <v>0</v>
      </c>
      <c r="AE1230">
        <f>0</f>
        <v>0</v>
      </c>
      <c r="AH1230" t="s">
        <v>157</v>
      </c>
      <c r="AI1230" t="s">
        <v>238</v>
      </c>
      <c r="AL1230" t="s">
        <v>164</v>
      </c>
      <c r="AM1230" t="s">
        <v>165</v>
      </c>
      <c r="AN1230">
        <f>6.2</f>
        <v>6.2</v>
      </c>
      <c r="AO1230">
        <f>0.12</f>
        <v>0.12</v>
      </c>
      <c r="AP1230">
        <f>10</f>
        <v>10</v>
      </c>
      <c r="AQ1230">
        <f>9.4</f>
        <v>9.4</v>
      </c>
      <c r="AR1230" t="s">
        <v>157</v>
      </c>
      <c r="AS1230">
        <f>5.7</f>
        <v>5.7</v>
      </c>
      <c r="AY1230">
        <f>4</f>
        <v>4</v>
      </c>
      <c r="AZ1230">
        <f>81</f>
        <v>81</v>
      </c>
      <c r="BA1230" t="s">
        <v>216</v>
      </c>
      <c r="BB1230" t="s">
        <v>158</v>
      </c>
      <c r="BC1230" t="s">
        <v>166</v>
      </c>
      <c r="BD1230" t="s">
        <v>167</v>
      </c>
      <c r="BE1230">
        <f>0.0016</f>
        <v>1.6000000000000001E-3</v>
      </c>
      <c r="BF1230" t="s">
        <v>168</v>
      </c>
      <c r="BG1230" t="s">
        <v>167</v>
      </c>
      <c r="BH1230" t="s">
        <v>167</v>
      </c>
      <c r="BK1230">
        <f>0.33</f>
        <v>0.33</v>
      </c>
      <c r="BL1230" t="s">
        <v>168</v>
      </c>
      <c r="BM1230" t="s">
        <v>168</v>
      </c>
      <c r="BN1230" t="s">
        <v>168</v>
      </c>
      <c r="BO1230" t="s">
        <v>168</v>
      </c>
      <c r="BP1230" t="s">
        <v>168</v>
      </c>
      <c r="BQ1230" t="s">
        <v>168</v>
      </c>
      <c r="BR1230" t="s">
        <v>168</v>
      </c>
      <c r="BS1230" t="s">
        <v>168</v>
      </c>
      <c r="BT1230" t="s">
        <v>216</v>
      </c>
      <c r="BU1230" t="s">
        <v>168</v>
      </c>
      <c r="BV1230" t="s">
        <v>209</v>
      </c>
      <c r="BW1230" t="s">
        <v>209</v>
      </c>
      <c r="BX1230" t="s">
        <v>209</v>
      </c>
      <c r="BY1230" t="s">
        <v>209</v>
      </c>
      <c r="BZ1230" t="s">
        <v>216</v>
      </c>
      <c r="CA1230" t="s">
        <v>216</v>
      </c>
      <c r="CB1230" t="s">
        <v>168</v>
      </c>
      <c r="CC1230" t="s">
        <v>168</v>
      </c>
      <c r="CD1230" t="s">
        <v>216</v>
      </c>
      <c r="CE1230" t="s">
        <v>209</v>
      </c>
      <c r="CF1230">
        <f>0.031</f>
        <v>3.1E-2</v>
      </c>
      <c r="CG1230" t="s">
        <v>168</v>
      </c>
      <c r="CH1230" t="s">
        <v>165</v>
      </c>
      <c r="CI1230" t="s">
        <v>216</v>
      </c>
      <c r="CJ1230" t="s">
        <v>216</v>
      </c>
      <c r="CK1230" t="s">
        <v>216</v>
      </c>
      <c r="CL1230" t="s">
        <v>216</v>
      </c>
      <c r="CM1230" t="s">
        <v>216</v>
      </c>
      <c r="CN1230" t="s">
        <v>216</v>
      </c>
      <c r="CO1230" t="s">
        <v>216</v>
      </c>
      <c r="CP1230" t="s">
        <v>216</v>
      </c>
      <c r="CQ1230" t="s">
        <v>216</v>
      </c>
      <c r="CR1230" t="s">
        <v>216</v>
      </c>
      <c r="CS1230" t="s">
        <v>216</v>
      </c>
      <c r="CT1230" t="s">
        <v>216</v>
      </c>
      <c r="CU1230" t="s">
        <v>216</v>
      </c>
      <c r="CV1230" t="s">
        <v>216</v>
      </c>
      <c r="CW1230" t="s">
        <v>216</v>
      </c>
      <c r="CX1230" t="s">
        <v>216</v>
      </c>
      <c r="CY1230" t="s">
        <v>216</v>
      </c>
      <c r="CZ1230" t="s">
        <v>216</v>
      </c>
      <c r="DA1230" t="s">
        <v>168</v>
      </c>
      <c r="DB1230" t="s">
        <v>216</v>
      </c>
      <c r="DC1230" t="s">
        <v>216</v>
      </c>
      <c r="DD1230" t="s">
        <v>216</v>
      </c>
      <c r="DE1230" t="s">
        <v>168</v>
      </c>
      <c r="DF1230" t="s">
        <v>168</v>
      </c>
      <c r="DG1230" t="s">
        <v>216</v>
      </c>
      <c r="DH1230" t="s">
        <v>216</v>
      </c>
      <c r="DI1230" t="s">
        <v>216</v>
      </c>
      <c r="DJ1230" t="s">
        <v>216</v>
      </c>
      <c r="DK1230" t="s">
        <v>168</v>
      </c>
      <c r="DL1230" t="s">
        <v>216</v>
      </c>
      <c r="DM1230" t="s">
        <v>216</v>
      </c>
      <c r="DN1230" t="s">
        <v>216</v>
      </c>
      <c r="DO1230" t="s">
        <v>216</v>
      </c>
      <c r="DP1230" t="s">
        <v>168</v>
      </c>
      <c r="DQ1230" t="s">
        <v>216</v>
      </c>
      <c r="DR1230" t="s">
        <v>168</v>
      </c>
      <c r="DS1230" t="s">
        <v>168</v>
      </c>
      <c r="DT1230" t="s">
        <v>168</v>
      </c>
      <c r="DU1230" t="s">
        <v>168</v>
      </c>
      <c r="DV1230" t="s">
        <v>168</v>
      </c>
      <c r="DW1230" t="s">
        <v>168</v>
      </c>
      <c r="DX1230" t="s">
        <v>168</v>
      </c>
      <c r="DY1230" t="s">
        <v>168</v>
      </c>
      <c r="DZ1230" t="s">
        <v>209</v>
      </c>
      <c r="EA1230" t="s">
        <v>216</v>
      </c>
      <c r="EB1230" t="s">
        <v>168</v>
      </c>
      <c r="EC1230" t="s">
        <v>168</v>
      </c>
      <c r="ED1230" t="s">
        <v>209</v>
      </c>
      <c r="EE1230" t="s">
        <v>168</v>
      </c>
      <c r="EL1230">
        <f>0.18</f>
        <v>0.18</v>
      </c>
      <c r="EM1230">
        <f>0.38</f>
        <v>0.38</v>
      </c>
      <c r="EN1230">
        <f>0.52</f>
        <v>0.52</v>
      </c>
      <c r="EO1230">
        <f>0.92</f>
        <v>0.92</v>
      </c>
      <c r="ER1230">
        <f>2</f>
        <v>2</v>
      </c>
    </row>
    <row r="1231" spans="1:148" x14ac:dyDescent="0.25">
      <c r="A1231" t="s">
        <v>3731</v>
      </c>
      <c r="B1231" t="s">
        <v>148</v>
      </c>
      <c r="C1231" s="1">
        <v>45722</v>
      </c>
      <c r="D1231" t="s">
        <v>311</v>
      </c>
      <c r="E1231" t="s">
        <v>312</v>
      </c>
      <c r="F1231" t="s">
        <v>1465</v>
      </c>
      <c r="G1231" t="s">
        <v>1466</v>
      </c>
      <c r="H1231">
        <v>1250</v>
      </c>
      <c r="I1231" t="s">
        <v>1466</v>
      </c>
      <c r="J1231">
        <v>1189</v>
      </c>
      <c r="K1231" t="s">
        <v>5257</v>
      </c>
      <c r="L1231" t="s">
        <v>180</v>
      </c>
      <c r="M1231" t="s">
        <v>1467</v>
      </c>
      <c r="N1231" t="s">
        <v>1468</v>
      </c>
      <c r="O1231" t="s">
        <v>1469</v>
      </c>
      <c r="R1231">
        <f>1</f>
        <v>1</v>
      </c>
      <c r="S1231">
        <f>9</f>
        <v>9</v>
      </c>
      <c r="T1231">
        <f>6.6</f>
        <v>6.6</v>
      </c>
      <c r="U1231">
        <f>77</f>
        <v>77</v>
      </c>
      <c r="X1231">
        <f>0</f>
        <v>0</v>
      </c>
      <c r="Y1231" t="s">
        <v>157</v>
      </c>
      <c r="Z1231">
        <f>0</f>
        <v>0</v>
      </c>
      <c r="AA1231" t="s">
        <v>158</v>
      </c>
      <c r="AB1231" t="s">
        <v>158</v>
      </c>
      <c r="AC1231">
        <f>0</f>
        <v>0</v>
      </c>
      <c r="AD1231">
        <f>0</f>
        <v>0</v>
      </c>
      <c r="AE1231">
        <f>0</f>
        <v>0</v>
      </c>
      <c r="AH1231" t="s">
        <v>157</v>
      </c>
    </row>
    <row r="1232" spans="1:148" x14ac:dyDescent="0.25">
      <c r="A1232" t="s">
        <v>3732</v>
      </c>
      <c r="B1232" t="s">
        <v>148</v>
      </c>
      <c r="C1232" s="1">
        <v>45726</v>
      </c>
      <c r="D1232" t="s">
        <v>269</v>
      </c>
      <c r="E1232" t="s">
        <v>270</v>
      </c>
      <c r="F1232" t="s">
        <v>1917</v>
      </c>
      <c r="G1232" t="s">
        <v>1918</v>
      </c>
      <c r="H1232">
        <v>1387</v>
      </c>
      <c r="I1232" t="s">
        <v>1918</v>
      </c>
      <c r="J1232">
        <v>550</v>
      </c>
      <c r="K1232" t="s">
        <v>5254</v>
      </c>
      <c r="L1232" t="s">
        <v>393</v>
      </c>
      <c r="M1232" t="s">
        <v>1919</v>
      </c>
      <c r="N1232" t="s">
        <v>6023</v>
      </c>
      <c r="O1232" t="s">
        <v>1920</v>
      </c>
      <c r="R1232">
        <f>1</f>
        <v>1</v>
      </c>
      <c r="S1232">
        <f>10.5</f>
        <v>10.5</v>
      </c>
      <c r="T1232">
        <f>7.7</f>
        <v>7.7</v>
      </c>
      <c r="U1232">
        <f>486</f>
        <v>486</v>
      </c>
      <c r="V1232">
        <f>0.34</f>
        <v>0.34</v>
      </c>
      <c r="X1232">
        <f>0</f>
        <v>0</v>
      </c>
      <c r="Y1232" t="s">
        <v>207</v>
      </c>
      <c r="Z1232">
        <f>0</f>
        <v>0</v>
      </c>
      <c r="AA1232" t="s">
        <v>158</v>
      </c>
      <c r="AB1232" t="s">
        <v>158</v>
      </c>
      <c r="AD1232">
        <f>0</f>
        <v>0</v>
      </c>
      <c r="AE1232">
        <f>0</f>
        <v>0</v>
      </c>
    </row>
    <row r="1233" spans="1:149" x14ac:dyDescent="0.25">
      <c r="A1233" t="s">
        <v>3733</v>
      </c>
      <c r="B1233" t="s">
        <v>148</v>
      </c>
      <c r="C1233" s="1">
        <v>45720</v>
      </c>
      <c r="D1233" t="s">
        <v>242</v>
      </c>
      <c r="E1233" t="s">
        <v>243</v>
      </c>
      <c r="F1233" t="s">
        <v>244</v>
      </c>
      <c r="G1233" t="s">
        <v>245</v>
      </c>
      <c r="H1233">
        <v>719</v>
      </c>
      <c r="I1233" t="s">
        <v>1477</v>
      </c>
      <c r="J1233">
        <v>659</v>
      </c>
      <c r="K1233" t="s">
        <v>5254</v>
      </c>
      <c r="L1233" t="s">
        <v>393</v>
      </c>
      <c r="M1233" t="s">
        <v>5428</v>
      </c>
      <c r="N1233" t="s">
        <v>1478</v>
      </c>
      <c r="O1233" t="s">
        <v>1479</v>
      </c>
      <c r="R1233">
        <f>1</f>
        <v>1</v>
      </c>
      <c r="S1233">
        <f>8.3</f>
        <v>8.3000000000000007</v>
      </c>
      <c r="T1233">
        <f>8.2</f>
        <v>8.1999999999999993</v>
      </c>
      <c r="U1233">
        <f>273</f>
        <v>273</v>
      </c>
      <c r="V1233">
        <f>0.21</f>
        <v>0.21</v>
      </c>
      <c r="X1233">
        <f>0</f>
        <v>0</v>
      </c>
      <c r="Y1233">
        <f>0.36</f>
        <v>0.36</v>
      </c>
      <c r="Z1233">
        <f>0</f>
        <v>0</v>
      </c>
      <c r="AA1233">
        <f>13</f>
        <v>13</v>
      </c>
      <c r="AB1233" t="s">
        <v>158</v>
      </c>
      <c r="AD1233">
        <f>0</f>
        <v>0</v>
      </c>
      <c r="AE1233">
        <f>0</f>
        <v>0</v>
      </c>
      <c r="AH1233" t="s">
        <v>157</v>
      </c>
    </row>
    <row r="1234" spans="1:149" x14ac:dyDescent="0.25">
      <c r="A1234" t="s">
        <v>3734</v>
      </c>
      <c r="B1234" t="s">
        <v>148</v>
      </c>
      <c r="C1234" s="1">
        <v>45785</v>
      </c>
      <c r="D1234" t="s">
        <v>317</v>
      </c>
      <c r="E1234" t="s">
        <v>318</v>
      </c>
      <c r="F1234" t="s">
        <v>4766</v>
      </c>
      <c r="G1234" t="s">
        <v>6633</v>
      </c>
      <c r="H1234">
        <v>1060</v>
      </c>
      <c r="I1234" t="s">
        <v>6633</v>
      </c>
      <c r="J1234">
        <v>800</v>
      </c>
      <c r="K1234" t="s">
        <v>5257</v>
      </c>
      <c r="L1234" t="s">
        <v>180</v>
      </c>
      <c r="M1234" t="s">
        <v>5947</v>
      </c>
      <c r="N1234" t="s">
        <v>4767</v>
      </c>
      <c r="O1234" t="s">
        <v>1485</v>
      </c>
      <c r="Q1234" t="s">
        <v>347</v>
      </c>
      <c r="R1234">
        <f>1</f>
        <v>1</v>
      </c>
      <c r="S1234">
        <f>12.4</f>
        <v>12.4</v>
      </c>
      <c r="T1234">
        <f>7.8</f>
        <v>7.8</v>
      </c>
      <c r="U1234">
        <f>278</f>
        <v>278</v>
      </c>
      <c r="X1234">
        <f>0</f>
        <v>0</v>
      </c>
      <c r="Y1234">
        <f>0.41</f>
        <v>0.41</v>
      </c>
      <c r="Z1234">
        <f>0</f>
        <v>0</v>
      </c>
      <c r="AA1234">
        <f>0</f>
        <v>0</v>
      </c>
      <c r="AB1234">
        <f>0</f>
        <v>0</v>
      </c>
      <c r="AC1234">
        <f>0</f>
        <v>0</v>
      </c>
      <c r="AD1234">
        <f>0</f>
        <v>0</v>
      </c>
      <c r="AE1234">
        <f>0</f>
        <v>0</v>
      </c>
      <c r="AH1234" t="s">
        <v>157</v>
      </c>
      <c r="AI1234" t="s">
        <v>167</v>
      </c>
      <c r="AL1234" t="s">
        <v>168</v>
      </c>
      <c r="AM1234" t="s">
        <v>216</v>
      </c>
      <c r="AN1234">
        <f>4.6</f>
        <v>4.5999999999999996</v>
      </c>
      <c r="AO1234">
        <f>0.092</f>
        <v>9.1999999999999998E-2</v>
      </c>
      <c r="AP1234">
        <f>3</f>
        <v>3</v>
      </c>
      <c r="AQ1234" t="s">
        <v>167</v>
      </c>
      <c r="AR1234" t="s">
        <v>167</v>
      </c>
      <c r="AS1234">
        <f>0.83</f>
        <v>0.83</v>
      </c>
      <c r="AY1234" t="s">
        <v>158</v>
      </c>
      <c r="AZ1234">
        <f>10</f>
        <v>10</v>
      </c>
      <c r="BA1234" t="s">
        <v>216</v>
      </c>
      <c r="BB1234">
        <f>31</f>
        <v>31</v>
      </c>
      <c r="BC1234" t="s">
        <v>167</v>
      </c>
      <c r="BD1234" t="s">
        <v>167</v>
      </c>
      <c r="BE1234" t="s">
        <v>216</v>
      </c>
      <c r="BF1234" t="s">
        <v>167</v>
      </c>
      <c r="BG1234" t="s">
        <v>158</v>
      </c>
      <c r="BH1234" t="s">
        <v>167</v>
      </c>
      <c r="BI1234" t="s">
        <v>167</v>
      </c>
      <c r="BK1234" t="s">
        <v>158</v>
      </c>
    </row>
    <row r="1235" spans="1:149" x14ac:dyDescent="0.25">
      <c r="A1235" t="s">
        <v>3735</v>
      </c>
      <c r="B1235" t="s">
        <v>148</v>
      </c>
      <c r="C1235" s="1">
        <v>45727</v>
      </c>
      <c r="D1235" t="s">
        <v>175</v>
      </c>
      <c r="E1235" t="s">
        <v>176</v>
      </c>
      <c r="F1235" t="s">
        <v>4773</v>
      </c>
      <c r="G1235" t="s">
        <v>6025</v>
      </c>
      <c r="H1235">
        <v>1019</v>
      </c>
      <c r="I1235" t="s">
        <v>6025</v>
      </c>
      <c r="J1235">
        <v>866</v>
      </c>
      <c r="K1235" t="s">
        <v>5254</v>
      </c>
      <c r="L1235" t="s">
        <v>1882</v>
      </c>
      <c r="M1235" t="s">
        <v>6026</v>
      </c>
      <c r="N1235" t="s">
        <v>5475</v>
      </c>
      <c r="O1235" t="s">
        <v>1944</v>
      </c>
      <c r="R1235">
        <f>1</f>
        <v>1</v>
      </c>
      <c r="S1235">
        <f>9.9</f>
        <v>9.9</v>
      </c>
      <c r="T1235">
        <f>7.6</f>
        <v>7.6</v>
      </c>
      <c r="U1235">
        <f>424</f>
        <v>424</v>
      </c>
      <c r="X1235">
        <f>0</f>
        <v>0</v>
      </c>
      <c r="Y1235" t="s">
        <v>157</v>
      </c>
      <c r="Z1235">
        <f>0</f>
        <v>0</v>
      </c>
      <c r="AA1235" t="s">
        <v>158</v>
      </c>
      <c r="AB1235" t="s">
        <v>158</v>
      </c>
      <c r="AD1235">
        <f>0</f>
        <v>0</v>
      </c>
      <c r="AE1235">
        <f>0</f>
        <v>0</v>
      </c>
    </row>
    <row r="1236" spans="1:149" x14ac:dyDescent="0.25">
      <c r="A1236" t="s">
        <v>3736</v>
      </c>
      <c r="B1236" t="s">
        <v>148</v>
      </c>
      <c r="C1236" s="1">
        <v>45834</v>
      </c>
      <c r="D1236" t="s">
        <v>242</v>
      </c>
      <c r="E1236" t="s">
        <v>243</v>
      </c>
      <c r="F1236" t="s">
        <v>1265</v>
      </c>
      <c r="G1236" t="s">
        <v>6634</v>
      </c>
      <c r="H1236">
        <v>830</v>
      </c>
      <c r="I1236" t="s">
        <v>6634</v>
      </c>
      <c r="J1236">
        <v>650</v>
      </c>
      <c r="K1236" t="s">
        <v>5254</v>
      </c>
      <c r="L1236" t="s">
        <v>393</v>
      </c>
      <c r="M1236" t="s">
        <v>1489</v>
      </c>
      <c r="N1236" t="s">
        <v>4768</v>
      </c>
      <c r="O1236" t="s">
        <v>1490</v>
      </c>
      <c r="Q1236" t="s">
        <v>6469</v>
      </c>
      <c r="R1236">
        <f>1</f>
        <v>1</v>
      </c>
      <c r="S1236">
        <f>13.3</f>
        <v>13.3</v>
      </c>
      <c r="T1236">
        <f>7.3</f>
        <v>7.3</v>
      </c>
      <c r="U1236">
        <f>310</f>
        <v>310</v>
      </c>
      <c r="V1236">
        <f>0.14</f>
        <v>0.14000000000000001</v>
      </c>
      <c r="X1236">
        <f>0</f>
        <v>0</v>
      </c>
      <c r="Y1236" t="s">
        <v>157</v>
      </c>
      <c r="Z1236">
        <f>0</f>
        <v>0</v>
      </c>
      <c r="AA1236" t="s">
        <v>158</v>
      </c>
      <c r="AB1236" t="s">
        <v>158</v>
      </c>
      <c r="AD1236">
        <f>0</f>
        <v>0</v>
      </c>
      <c r="AE1236">
        <f>0</f>
        <v>0</v>
      </c>
      <c r="AH1236" t="s">
        <v>157</v>
      </c>
      <c r="AI1236" t="s">
        <v>238</v>
      </c>
      <c r="AL1236" t="s">
        <v>164</v>
      </c>
      <c r="AM1236" t="s">
        <v>165</v>
      </c>
      <c r="AN1236">
        <f>3.3</f>
        <v>3.3</v>
      </c>
      <c r="AO1236">
        <f>0.07</f>
        <v>7.0000000000000007E-2</v>
      </c>
      <c r="AP1236">
        <f>6.4</f>
        <v>6.4</v>
      </c>
      <c r="AQ1236">
        <f>1.2</f>
        <v>1.2</v>
      </c>
      <c r="AR1236" t="s">
        <v>157</v>
      </c>
      <c r="AS1236">
        <f>2.8</f>
        <v>2.8</v>
      </c>
      <c r="AY1236" t="s">
        <v>167</v>
      </c>
      <c r="AZ1236" t="s">
        <v>158</v>
      </c>
      <c r="BA1236" t="s">
        <v>216</v>
      </c>
      <c r="BB1236" t="s">
        <v>158</v>
      </c>
      <c r="BC1236" t="s">
        <v>166</v>
      </c>
      <c r="BD1236" t="s">
        <v>167</v>
      </c>
      <c r="BE1236">
        <f>0.0054</f>
        <v>5.4000000000000003E-3</v>
      </c>
      <c r="BF1236" t="s">
        <v>168</v>
      </c>
      <c r="BG1236" t="s">
        <v>167</v>
      </c>
      <c r="BH1236" t="s">
        <v>167</v>
      </c>
      <c r="BK1236">
        <f>0.068</f>
        <v>6.8000000000000005E-2</v>
      </c>
      <c r="EL1236">
        <f>3.2</f>
        <v>3.2</v>
      </c>
      <c r="EM1236" t="s">
        <v>166</v>
      </c>
      <c r="EN1236">
        <f>0.69</f>
        <v>0.69</v>
      </c>
      <c r="EO1236" t="s">
        <v>166</v>
      </c>
      <c r="ER1236">
        <f>3.9</f>
        <v>3.9</v>
      </c>
    </row>
    <row r="1237" spans="1:149" x14ac:dyDescent="0.25">
      <c r="A1237" t="s">
        <v>3737</v>
      </c>
      <c r="B1237" t="s">
        <v>148</v>
      </c>
      <c r="C1237" s="1">
        <v>45838</v>
      </c>
      <c r="D1237" t="s">
        <v>242</v>
      </c>
      <c r="E1237" t="s">
        <v>243</v>
      </c>
      <c r="F1237" t="s">
        <v>5802</v>
      </c>
      <c r="G1237" t="s">
        <v>1506</v>
      </c>
      <c r="H1237">
        <v>1120</v>
      </c>
      <c r="I1237" t="s">
        <v>1506</v>
      </c>
      <c r="J1237">
        <v>487</v>
      </c>
      <c r="K1237" t="s">
        <v>5254</v>
      </c>
      <c r="L1237" t="s">
        <v>393</v>
      </c>
      <c r="M1237" t="s">
        <v>1507</v>
      </c>
      <c r="N1237" t="s">
        <v>1508</v>
      </c>
      <c r="O1237" t="s">
        <v>1509</v>
      </c>
      <c r="R1237">
        <f>1</f>
        <v>1</v>
      </c>
      <c r="S1237">
        <f>21.2</f>
        <v>21.2</v>
      </c>
      <c r="T1237">
        <f>7.9</f>
        <v>7.9</v>
      </c>
      <c r="U1237">
        <f>405</f>
        <v>405</v>
      </c>
      <c r="V1237">
        <f>0.05</f>
        <v>0.05</v>
      </c>
      <c r="X1237">
        <f>0</f>
        <v>0</v>
      </c>
      <c r="Y1237" t="s">
        <v>157</v>
      </c>
      <c r="Z1237">
        <f>0</f>
        <v>0</v>
      </c>
      <c r="AA1237" t="s">
        <v>158</v>
      </c>
      <c r="AB1237" t="s">
        <v>158</v>
      </c>
      <c r="AD1237">
        <f>0</f>
        <v>0</v>
      </c>
      <c r="AE1237">
        <f>0</f>
        <v>0</v>
      </c>
      <c r="AH1237" t="s">
        <v>157</v>
      </c>
      <c r="AI1237" t="s">
        <v>238</v>
      </c>
      <c r="AL1237" t="s">
        <v>164</v>
      </c>
      <c r="AM1237" t="s">
        <v>165</v>
      </c>
      <c r="AN1237">
        <f>3.5</f>
        <v>3.5</v>
      </c>
      <c r="AO1237">
        <f>0.07</f>
        <v>7.0000000000000007E-2</v>
      </c>
      <c r="AP1237">
        <f>30</f>
        <v>30</v>
      </c>
      <c r="AQ1237">
        <f>3.3</f>
        <v>3.3</v>
      </c>
      <c r="AR1237" t="s">
        <v>157</v>
      </c>
      <c r="AS1237">
        <f>3.2</f>
        <v>3.2</v>
      </c>
      <c r="AY1237" t="s">
        <v>167</v>
      </c>
      <c r="AZ1237" t="s">
        <v>158</v>
      </c>
      <c r="BA1237" t="s">
        <v>216</v>
      </c>
      <c r="BB1237" t="s">
        <v>158</v>
      </c>
      <c r="BC1237" t="s">
        <v>166</v>
      </c>
      <c r="BD1237" t="s">
        <v>167</v>
      </c>
      <c r="BE1237">
        <f>0.0036</f>
        <v>3.5999999999999999E-3</v>
      </c>
      <c r="BF1237">
        <f>0.064</f>
        <v>6.4000000000000001E-2</v>
      </c>
      <c r="BG1237" t="s">
        <v>167</v>
      </c>
      <c r="BH1237">
        <f>1.3</f>
        <v>1.3</v>
      </c>
      <c r="BK1237">
        <f>0.4</f>
        <v>0.4</v>
      </c>
      <c r="BL1237" t="s">
        <v>168</v>
      </c>
      <c r="BM1237" t="s">
        <v>168</v>
      </c>
      <c r="BN1237" t="s">
        <v>168</v>
      </c>
      <c r="BO1237" t="s">
        <v>168</v>
      </c>
      <c r="BP1237" t="s">
        <v>168</v>
      </c>
      <c r="BQ1237" t="s">
        <v>168</v>
      </c>
      <c r="BR1237" t="s">
        <v>168</v>
      </c>
      <c r="BS1237" t="s">
        <v>168</v>
      </c>
      <c r="BT1237" t="s">
        <v>216</v>
      </c>
      <c r="BU1237" t="s">
        <v>168</v>
      </c>
      <c r="BV1237" t="s">
        <v>209</v>
      </c>
      <c r="BW1237" t="s">
        <v>209</v>
      </c>
      <c r="BX1237" t="s">
        <v>209</v>
      </c>
      <c r="BY1237" t="s">
        <v>209</v>
      </c>
      <c r="BZ1237" t="s">
        <v>216</v>
      </c>
      <c r="CA1237" t="s">
        <v>216</v>
      </c>
      <c r="CB1237" t="s">
        <v>168</v>
      </c>
      <c r="CC1237" t="s">
        <v>168</v>
      </c>
      <c r="CD1237" t="s">
        <v>216</v>
      </c>
      <c r="CE1237" t="s">
        <v>209</v>
      </c>
      <c r="CF1237" t="s">
        <v>168</v>
      </c>
      <c r="CG1237" t="s">
        <v>168</v>
      </c>
      <c r="CH1237" t="s">
        <v>165</v>
      </c>
      <c r="CI1237" t="s">
        <v>216</v>
      </c>
      <c r="CJ1237" t="s">
        <v>216</v>
      </c>
      <c r="CK1237" t="s">
        <v>216</v>
      </c>
      <c r="CL1237" t="s">
        <v>216</v>
      </c>
      <c r="CM1237" t="s">
        <v>216</v>
      </c>
      <c r="CN1237" t="s">
        <v>216</v>
      </c>
      <c r="CO1237" t="s">
        <v>216</v>
      </c>
      <c r="CP1237" t="s">
        <v>216</v>
      </c>
      <c r="CQ1237" t="s">
        <v>216</v>
      </c>
      <c r="CR1237" t="s">
        <v>216</v>
      </c>
      <c r="CS1237" t="s">
        <v>216</v>
      </c>
      <c r="CT1237" t="s">
        <v>216</v>
      </c>
      <c r="CU1237" t="s">
        <v>216</v>
      </c>
      <c r="CV1237" t="s">
        <v>216</v>
      </c>
      <c r="CW1237" t="s">
        <v>216</v>
      </c>
      <c r="CX1237" t="s">
        <v>216</v>
      </c>
      <c r="CY1237" t="s">
        <v>216</v>
      </c>
      <c r="CZ1237" t="s">
        <v>216</v>
      </c>
      <c r="DA1237" t="s">
        <v>168</v>
      </c>
      <c r="DB1237" t="s">
        <v>216</v>
      </c>
      <c r="DC1237" t="s">
        <v>216</v>
      </c>
      <c r="DD1237" t="s">
        <v>216</v>
      </c>
      <c r="DE1237" t="s">
        <v>168</v>
      </c>
      <c r="DF1237" t="s">
        <v>168</v>
      </c>
      <c r="DG1237" t="s">
        <v>216</v>
      </c>
      <c r="DH1237" t="s">
        <v>216</v>
      </c>
      <c r="DI1237" t="s">
        <v>216</v>
      </c>
      <c r="DJ1237" t="s">
        <v>216</v>
      </c>
      <c r="DK1237" t="s">
        <v>168</v>
      </c>
      <c r="DL1237" t="s">
        <v>216</v>
      </c>
      <c r="DM1237" t="s">
        <v>216</v>
      </c>
      <c r="DN1237" t="s">
        <v>216</v>
      </c>
      <c r="DO1237" t="s">
        <v>216</v>
      </c>
      <c r="DP1237" t="s">
        <v>168</v>
      </c>
      <c r="DQ1237" t="s">
        <v>216</v>
      </c>
      <c r="DR1237" t="s">
        <v>168</v>
      </c>
      <c r="DS1237" t="s">
        <v>168</v>
      </c>
      <c r="DT1237" t="s">
        <v>168</v>
      </c>
      <c r="DU1237" t="s">
        <v>168</v>
      </c>
      <c r="DV1237" t="s">
        <v>168</v>
      </c>
      <c r="DW1237" t="s">
        <v>168</v>
      </c>
      <c r="DX1237" t="s">
        <v>168</v>
      </c>
      <c r="DY1237" t="s">
        <v>168</v>
      </c>
      <c r="DZ1237" t="s">
        <v>209</v>
      </c>
      <c r="EA1237" t="s">
        <v>216</v>
      </c>
      <c r="EB1237" t="s">
        <v>168</v>
      </c>
      <c r="EC1237" t="s">
        <v>168</v>
      </c>
      <c r="ED1237" t="s">
        <v>209</v>
      </c>
      <c r="EE1237" t="s">
        <v>168</v>
      </c>
      <c r="EL1237">
        <f>0.37</f>
        <v>0.37</v>
      </c>
      <c r="EM1237">
        <f>0.3</f>
        <v>0.3</v>
      </c>
      <c r="EN1237">
        <f>0.73</f>
        <v>0.73</v>
      </c>
      <c r="EO1237">
        <f>0.92</f>
        <v>0.92</v>
      </c>
      <c r="ER1237">
        <f>2.3</f>
        <v>2.2999999999999998</v>
      </c>
    </row>
    <row r="1238" spans="1:149" x14ac:dyDescent="0.25">
      <c r="A1238" t="s">
        <v>3738</v>
      </c>
      <c r="B1238" t="s">
        <v>148</v>
      </c>
      <c r="C1238" s="1">
        <v>45817</v>
      </c>
      <c r="D1238" t="s">
        <v>242</v>
      </c>
      <c r="E1238" t="s">
        <v>295</v>
      </c>
      <c r="F1238" t="s">
        <v>764</v>
      </c>
      <c r="G1238" t="s">
        <v>3739</v>
      </c>
      <c r="H1238">
        <v>479</v>
      </c>
      <c r="I1238" t="s">
        <v>3739</v>
      </c>
      <c r="J1238">
        <v>750</v>
      </c>
      <c r="K1238" t="s">
        <v>5254</v>
      </c>
      <c r="L1238" t="s">
        <v>431</v>
      </c>
      <c r="M1238" t="s">
        <v>5719</v>
      </c>
      <c r="N1238" t="s">
        <v>5720</v>
      </c>
      <c r="O1238" t="s">
        <v>3740</v>
      </c>
      <c r="R1238">
        <f>1</f>
        <v>1</v>
      </c>
      <c r="S1238">
        <f>22.2</f>
        <v>22.2</v>
      </c>
      <c r="T1238">
        <f>7.6</f>
        <v>7.6</v>
      </c>
      <c r="U1238">
        <f>570</f>
        <v>570</v>
      </c>
      <c r="V1238">
        <f>0.11</f>
        <v>0.11</v>
      </c>
      <c r="X1238">
        <f>1</f>
        <v>1</v>
      </c>
      <c r="Y1238" t="s">
        <v>157</v>
      </c>
      <c r="Z1238">
        <f>0</f>
        <v>0</v>
      </c>
      <c r="AA1238" t="s">
        <v>158</v>
      </c>
      <c r="AB1238" t="s">
        <v>158</v>
      </c>
      <c r="AD1238">
        <f>0</f>
        <v>0</v>
      </c>
      <c r="AE1238">
        <f>0</f>
        <v>0</v>
      </c>
      <c r="AH1238" t="s">
        <v>157</v>
      </c>
    </row>
    <row r="1239" spans="1:149" x14ac:dyDescent="0.25">
      <c r="A1239" t="s">
        <v>3741</v>
      </c>
      <c r="B1239" t="s">
        <v>268</v>
      </c>
      <c r="C1239" s="1">
        <v>45785</v>
      </c>
      <c r="D1239" t="s">
        <v>242</v>
      </c>
      <c r="E1239" t="s">
        <v>243</v>
      </c>
      <c r="F1239" t="s">
        <v>1511</v>
      </c>
      <c r="G1239" t="s">
        <v>6635</v>
      </c>
      <c r="H1239">
        <v>870</v>
      </c>
      <c r="I1239" t="s">
        <v>6635</v>
      </c>
      <c r="J1239">
        <v>550</v>
      </c>
      <c r="K1239" t="s">
        <v>5254</v>
      </c>
      <c r="L1239" t="s">
        <v>393</v>
      </c>
      <c r="M1239" t="s">
        <v>1512</v>
      </c>
      <c r="N1239" t="s">
        <v>1513</v>
      </c>
      <c r="O1239" t="s">
        <v>1514</v>
      </c>
      <c r="R1239">
        <f>1</f>
        <v>1</v>
      </c>
      <c r="S1239">
        <f>13.8</f>
        <v>13.8</v>
      </c>
      <c r="T1239">
        <f>7.2</f>
        <v>7.2</v>
      </c>
      <c r="U1239">
        <f>510</f>
        <v>510</v>
      </c>
      <c r="V1239">
        <f>0.33</f>
        <v>0.33</v>
      </c>
      <c r="X1239">
        <f>0</f>
        <v>0</v>
      </c>
      <c r="Y1239">
        <f>0.5</f>
        <v>0.5</v>
      </c>
      <c r="Z1239">
        <f>0</f>
        <v>0</v>
      </c>
      <c r="AA1239" t="s">
        <v>158</v>
      </c>
      <c r="AB1239">
        <f>11</f>
        <v>11</v>
      </c>
      <c r="AD1239">
        <f>0</f>
        <v>0</v>
      </c>
      <c r="AE1239">
        <f>0</f>
        <v>0</v>
      </c>
      <c r="AH1239" t="s">
        <v>157</v>
      </c>
      <c r="AI1239" t="s">
        <v>238</v>
      </c>
      <c r="AL1239" t="s">
        <v>164</v>
      </c>
      <c r="AM1239" t="s">
        <v>165</v>
      </c>
      <c r="AN1239">
        <f>26</f>
        <v>26</v>
      </c>
      <c r="AO1239">
        <f>0.52</f>
        <v>0.52</v>
      </c>
      <c r="AP1239">
        <f>14</f>
        <v>14</v>
      </c>
      <c r="AQ1239">
        <f>17</f>
        <v>17</v>
      </c>
      <c r="AR1239" t="s">
        <v>157</v>
      </c>
      <c r="AS1239">
        <f>6.8</f>
        <v>6.8</v>
      </c>
      <c r="AY1239" t="s">
        <v>167</v>
      </c>
      <c r="AZ1239" t="s">
        <v>158</v>
      </c>
      <c r="BA1239" t="s">
        <v>216</v>
      </c>
      <c r="BB1239">
        <f>12</f>
        <v>12</v>
      </c>
      <c r="BC1239" t="s">
        <v>166</v>
      </c>
      <c r="BD1239" t="s">
        <v>167</v>
      </c>
      <c r="BE1239">
        <f>0.0058</f>
        <v>5.7999999999999996E-3</v>
      </c>
      <c r="BF1239" t="s">
        <v>168</v>
      </c>
      <c r="BG1239" t="s">
        <v>167</v>
      </c>
      <c r="BH1239" t="s">
        <v>167</v>
      </c>
      <c r="BI1239">
        <f>0.17</f>
        <v>0.17</v>
      </c>
      <c r="BK1239">
        <f>0.49</f>
        <v>0.49</v>
      </c>
      <c r="BL1239" t="s">
        <v>168</v>
      </c>
      <c r="BM1239" t="s">
        <v>168</v>
      </c>
      <c r="BN1239" t="s">
        <v>168</v>
      </c>
      <c r="BO1239" t="s">
        <v>168</v>
      </c>
      <c r="BP1239" t="s">
        <v>168</v>
      </c>
      <c r="BQ1239" t="s">
        <v>168</v>
      </c>
      <c r="BR1239" t="s">
        <v>168</v>
      </c>
      <c r="BS1239" t="s">
        <v>168</v>
      </c>
      <c r="BT1239" t="s">
        <v>209</v>
      </c>
      <c r="BU1239" t="s">
        <v>168</v>
      </c>
      <c r="BV1239" t="s">
        <v>209</v>
      </c>
      <c r="BW1239" t="s">
        <v>209</v>
      </c>
      <c r="BX1239" t="s">
        <v>209</v>
      </c>
      <c r="BY1239" t="s">
        <v>209</v>
      </c>
      <c r="BZ1239" t="s">
        <v>216</v>
      </c>
      <c r="CA1239" t="s">
        <v>216</v>
      </c>
      <c r="CB1239" t="s">
        <v>168</v>
      </c>
      <c r="CC1239" t="s">
        <v>168</v>
      </c>
      <c r="CD1239" t="s">
        <v>216</v>
      </c>
      <c r="CE1239" t="s">
        <v>209</v>
      </c>
      <c r="CF1239" t="s">
        <v>168</v>
      </c>
      <c r="CG1239" t="s">
        <v>168</v>
      </c>
      <c r="CH1239" t="s">
        <v>165</v>
      </c>
      <c r="CI1239">
        <f>0.049</f>
        <v>4.9000000000000002E-2</v>
      </c>
      <c r="CJ1239" t="s">
        <v>216</v>
      </c>
      <c r="CK1239" t="s">
        <v>216</v>
      </c>
      <c r="CL1239" t="s">
        <v>216</v>
      </c>
      <c r="CM1239" t="s">
        <v>216</v>
      </c>
      <c r="CN1239" t="s">
        <v>216</v>
      </c>
      <c r="CO1239" t="s">
        <v>216</v>
      </c>
      <c r="CP1239" t="s">
        <v>216</v>
      </c>
      <c r="CQ1239" t="s">
        <v>216</v>
      </c>
      <c r="CR1239">
        <f>0.12</f>
        <v>0.12</v>
      </c>
      <c r="CS1239" t="s">
        <v>216</v>
      </c>
      <c r="CT1239" t="s">
        <v>216</v>
      </c>
      <c r="CU1239" t="s">
        <v>216</v>
      </c>
      <c r="CV1239" t="s">
        <v>216</v>
      </c>
      <c r="CW1239" t="s">
        <v>216</v>
      </c>
      <c r="CX1239" t="s">
        <v>216</v>
      </c>
      <c r="CY1239" t="s">
        <v>216</v>
      </c>
      <c r="CZ1239" t="s">
        <v>216</v>
      </c>
      <c r="DA1239" t="s">
        <v>168</v>
      </c>
      <c r="DB1239" t="s">
        <v>216</v>
      </c>
      <c r="DC1239" t="s">
        <v>216</v>
      </c>
      <c r="DD1239" t="s">
        <v>216</v>
      </c>
      <c r="DE1239" t="s">
        <v>168</v>
      </c>
      <c r="DF1239" t="s">
        <v>168</v>
      </c>
      <c r="DG1239" t="s">
        <v>216</v>
      </c>
      <c r="DH1239" t="s">
        <v>216</v>
      </c>
      <c r="DI1239" t="s">
        <v>216</v>
      </c>
      <c r="DJ1239" t="s">
        <v>216</v>
      </c>
      <c r="DK1239" t="s">
        <v>168</v>
      </c>
      <c r="DL1239" t="s">
        <v>216</v>
      </c>
      <c r="DM1239" t="s">
        <v>216</v>
      </c>
      <c r="DN1239" t="s">
        <v>216</v>
      </c>
      <c r="DO1239" t="s">
        <v>216</v>
      </c>
      <c r="DP1239" t="s">
        <v>168</v>
      </c>
      <c r="DQ1239" t="s">
        <v>216</v>
      </c>
      <c r="DR1239" t="s">
        <v>168</v>
      </c>
      <c r="DS1239" t="s">
        <v>168</v>
      </c>
      <c r="DT1239" t="s">
        <v>168</v>
      </c>
      <c r="DU1239" t="s">
        <v>168</v>
      </c>
      <c r="DV1239" t="s">
        <v>168</v>
      </c>
      <c r="DW1239" t="s">
        <v>168</v>
      </c>
      <c r="DX1239" t="s">
        <v>168</v>
      </c>
      <c r="DY1239" t="s">
        <v>168</v>
      </c>
      <c r="DZ1239" t="s">
        <v>209</v>
      </c>
      <c r="EA1239" t="s">
        <v>216</v>
      </c>
      <c r="EB1239" t="s">
        <v>168</v>
      </c>
      <c r="EC1239" t="s">
        <v>168</v>
      </c>
      <c r="ED1239" t="s">
        <v>209</v>
      </c>
      <c r="EE1239" t="s">
        <v>168</v>
      </c>
      <c r="EL1239">
        <f>1.1</f>
        <v>1.1000000000000001</v>
      </c>
      <c r="EM1239">
        <f>0.32</f>
        <v>0.32</v>
      </c>
      <c r="EN1239">
        <f>1.5</f>
        <v>1.5</v>
      </c>
      <c r="EO1239">
        <f>1.1</f>
        <v>1.1000000000000001</v>
      </c>
      <c r="ER1239">
        <f>4</f>
        <v>4</v>
      </c>
    </row>
    <row r="1240" spans="1:149" x14ac:dyDescent="0.25">
      <c r="A1240" t="s">
        <v>3742</v>
      </c>
      <c r="B1240" t="s">
        <v>148</v>
      </c>
      <c r="C1240" s="1">
        <v>45789</v>
      </c>
      <c r="D1240" t="s">
        <v>175</v>
      </c>
      <c r="E1240" t="s">
        <v>649</v>
      </c>
      <c r="F1240" t="s">
        <v>685</v>
      </c>
      <c r="G1240" t="s">
        <v>1972</v>
      </c>
      <c r="H1240">
        <v>1501</v>
      </c>
      <c r="I1240" t="s">
        <v>1973</v>
      </c>
      <c r="J1240">
        <v>600</v>
      </c>
      <c r="K1240" t="s">
        <v>5257</v>
      </c>
      <c r="L1240" t="s">
        <v>393</v>
      </c>
      <c r="M1240" t="s">
        <v>6031</v>
      </c>
      <c r="N1240" t="s">
        <v>1974</v>
      </c>
      <c r="O1240" t="s">
        <v>1975</v>
      </c>
      <c r="Q1240" t="s">
        <v>6311</v>
      </c>
      <c r="R1240">
        <f>1</f>
        <v>1</v>
      </c>
      <c r="S1240">
        <f>16.6</f>
        <v>16.600000000000001</v>
      </c>
      <c r="T1240">
        <f>7.5</f>
        <v>7.5</v>
      </c>
      <c r="U1240">
        <f>575</f>
        <v>575</v>
      </c>
      <c r="X1240">
        <f>0</f>
        <v>0</v>
      </c>
      <c r="Y1240" t="s">
        <v>157</v>
      </c>
      <c r="Z1240">
        <f>0</f>
        <v>0</v>
      </c>
      <c r="AA1240" t="s">
        <v>158</v>
      </c>
      <c r="AB1240" t="s">
        <v>158</v>
      </c>
      <c r="AC1240">
        <f>0</f>
        <v>0</v>
      </c>
      <c r="AD1240">
        <f>0</f>
        <v>0</v>
      </c>
      <c r="AE1240">
        <f>0</f>
        <v>0</v>
      </c>
      <c r="AH1240" t="s">
        <v>157</v>
      </c>
      <c r="AI1240" t="s">
        <v>238</v>
      </c>
      <c r="AL1240" t="s">
        <v>164</v>
      </c>
      <c r="AM1240" t="s">
        <v>165</v>
      </c>
      <c r="AN1240">
        <f>3.9</f>
        <v>3.9</v>
      </c>
      <c r="AO1240">
        <f>0.08</f>
        <v>0.08</v>
      </c>
      <c r="AP1240">
        <f>9.8</f>
        <v>9.8000000000000007</v>
      </c>
      <c r="AQ1240">
        <f>4.4</f>
        <v>4.4000000000000004</v>
      </c>
      <c r="AR1240" t="s">
        <v>157</v>
      </c>
      <c r="AS1240">
        <f>2.7</f>
        <v>2.7</v>
      </c>
      <c r="AY1240" t="s">
        <v>167</v>
      </c>
      <c r="AZ1240" t="s">
        <v>158</v>
      </c>
      <c r="BA1240" t="s">
        <v>216</v>
      </c>
      <c r="BB1240" t="s">
        <v>158</v>
      </c>
      <c r="BC1240" t="s">
        <v>166</v>
      </c>
      <c r="BD1240" t="s">
        <v>167</v>
      </c>
      <c r="BE1240">
        <f>0.0019</f>
        <v>1.9E-3</v>
      </c>
      <c r="BF1240" t="s">
        <v>168</v>
      </c>
      <c r="BG1240" t="s">
        <v>167</v>
      </c>
      <c r="BH1240" t="s">
        <v>167</v>
      </c>
      <c r="BK1240">
        <f>0.47</f>
        <v>0.47</v>
      </c>
      <c r="EL1240">
        <f>0.21</f>
        <v>0.21</v>
      </c>
      <c r="EM1240">
        <f>0.25</f>
        <v>0.25</v>
      </c>
      <c r="EN1240">
        <f>0.33</f>
        <v>0.33</v>
      </c>
      <c r="EO1240">
        <f>0.45</f>
        <v>0.45</v>
      </c>
      <c r="ER1240">
        <f>1.2</f>
        <v>1.2</v>
      </c>
    </row>
    <row r="1241" spans="1:149" x14ac:dyDescent="0.25">
      <c r="A1241" t="s">
        <v>3743</v>
      </c>
      <c r="B1241" t="s">
        <v>148</v>
      </c>
      <c r="C1241" s="1">
        <v>45789</v>
      </c>
      <c r="D1241" t="s">
        <v>175</v>
      </c>
      <c r="E1241" t="s">
        <v>649</v>
      </c>
      <c r="F1241" t="s">
        <v>685</v>
      </c>
      <c r="G1241" t="s">
        <v>6694</v>
      </c>
      <c r="H1241">
        <v>1502</v>
      </c>
      <c r="I1241" t="s">
        <v>6695</v>
      </c>
      <c r="J1241">
        <v>750</v>
      </c>
      <c r="K1241" t="s">
        <v>5257</v>
      </c>
      <c r="L1241" t="s">
        <v>431</v>
      </c>
      <c r="M1241" t="s">
        <v>5482</v>
      </c>
      <c r="N1241" t="s">
        <v>4803</v>
      </c>
      <c r="O1241" t="s">
        <v>1977</v>
      </c>
      <c r="Q1241" t="s">
        <v>6311</v>
      </c>
      <c r="R1241">
        <f>1</f>
        <v>1</v>
      </c>
      <c r="S1241">
        <f>15.5</f>
        <v>15.5</v>
      </c>
      <c r="T1241">
        <f>7.9</f>
        <v>7.9</v>
      </c>
      <c r="U1241">
        <f>424</f>
        <v>424</v>
      </c>
      <c r="X1241">
        <f>0</f>
        <v>0</v>
      </c>
      <c r="Y1241" t="s">
        <v>157</v>
      </c>
      <c r="Z1241">
        <f>0</f>
        <v>0</v>
      </c>
      <c r="AA1241" t="s">
        <v>158</v>
      </c>
      <c r="AB1241" t="s">
        <v>158</v>
      </c>
      <c r="AC1241">
        <f>0</f>
        <v>0</v>
      </c>
      <c r="AD1241">
        <f>0</f>
        <v>0</v>
      </c>
      <c r="AE1241">
        <f>0</f>
        <v>0</v>
      </c>
      <c r="AH1241" t="s">
        <v>157</v>
      </c>
      <c r="AI1241" t="s">
        <v>238</v>
      </c>
      <c r="AL1241" t="s">
        <v>164</v>
      </c>
      <c r="AM1241" t="s">
        <v>165</v>
      </c>
      <c r="AN1241">
        <f>2.7</f>
        <v>2.7</v>
      </c>
      <c r="AO1241">
        <f>0.05</f>
        <v>0.05</v>
      </c>
      <c r="AP1241">
        <f>11</f>
        <v>11</v>
      </c>
      <c r="AQ1241">
        <f>2.9</f>
        <v>2.9</v>
      </c>
      <c r="AR1241" t="s">
        <v>157</v>
      </c>
      <c r="AS1241">
        <f>1.8</f>
        <v>1.8</v>
      </c>
      <c r="AY1241" t="s">
        <v>167</v>
      </c>
      <c r="AZ1241" t="s">
        <v>158</v>
      </c>
      <c r="BA1241" t="s">
        <v>216</v>
      </c>
      <c r="BB1241" t="s">
        <v>158</v>
      </c>
      <c r="BC1241" t="s">
        <v>166</v>
      </c>
      <c r="BD1241" t="s">
        <v>167</v>
      </c>
      <c r="BE1241">
        <f>0.0094</f>
        <v>9.4000000000000004E-3</v>
      </c>
      <c r="BF1241" t="s">
        <v>168</v>
      </c>
      <c r="BG1241" t="s">
        <v>167</v>
      </c>
      <c r="BH1241" t="s">
        <v>167</v>
      </c>
      <c r="BK1241">
        <f>0.19</f>
        <v>0.19</v>
      </c>
      <c r="EL1241">
        <f>1</f>
        <v>1</v>
      </c>
      <c r="EM1241" t="s">
        <v>166</v>
      </c>
      <c r="EN1241">
        <f>0.93</f>
        <v>0.93</v>
      </c>
      <c r="EO1241">
        <f>0.55</f>
        <v>0.55000000000000004</v>
      </c>
      <c r="ER1241">
        <f>2.5</f>
        <v>2.5</v>
      </c>
    </row>
    <row r="1242" spans="1:149" x14ac:dyDescent="0.25">
      <c r="A1242" t="s">
        <v>3744</v>
      </c>
      <c r="B1242" t="s">
        <v>148</v>
      </c>
      <c r="C1242" s="1">
        <v>45792</v>
      </c>
      <c r="D1242" t="s">
        <v>149</v>
      </c>
      <c r="E1242" t="s">
        <v>150</v>
      </c>
      <c r="F1242" t="s">
        <v>151</v>
      </c>
      <c r="G1242" t="s">
        <v>5950</v>
      </c>
      <c r="H1242">
        <v>1499</v>
      </c>
      <c r="I1242" t="s">
        <v>5951</v>
      </c>
      <c r="J1242">
        <v>851</v>
      </c>
      <c r="K1242" t="s">
        <v>5254</v>
      </c>
      <c r="L1242" t="s">
        <v>180</v>
      </c>
      <c r="M1242" t="s">
        <v>5952</v>
      </c>
      <c r="N1242" t="s">
        <v>5953</v>
      </c>
      <c r="O1242" t="s">
        <v>1516</v>
      </c>
      <c r="Q1242" t="s">
        <v>6470</v>
      </c>
      <c r="R1242">
        <f>1</f>
        <v>1</v>
      </c>
      <c r="S1242">
        <f>13.2</f>
        <v>13.2</v>
      </c>
      <c r="T1242">
        <f>7</f>
        <v>7</v>
      </c>
      <c r="U1242">
        <f>218</f>
        <v>218</v>
      </c>
      <c r="X1242">
        <f>0</f>
        <v>0</v>
      </c>
      <c r="Y1242">
        <f>0.1</f>
        <v>0.1</v>
      </c>
      <c r="Z1242">
        <f>0</f>
        <v>0</v>
      </c>
      <c r="AA1242" t="s">
        <v>158</v>
      </c>
      <c r="AB1242" t="s">
        <v>158</v>
      </c>
      <c r="AD1242">
        <f>0</f>
        <v>0</v>
      </c>
      <c r="AE1242">
        <f>0</f>
        <v>0</v>
      </c>
      <c r="AH1242" t="s">
        <v>157</v>
      </c>
      <c r="BL1242" t="s">
        <v>168</v>
      </c>
      <c r="BM1242" t="s">
        <v>168</v>
      </c>
      <c r="BN1242" t="s">
        <v>168</v>
      </c>
      <c r="BO1242" t="s">
        <v>168</v>
      </c>
      <c r="BP1242" t="s">
        <v>168</v>
      </c>
      <c r="BQ1242" t="s">
        <v>168</v>
      </c>
      <c r="BR1242" t="s">
        <v>168</v>
      </c>
      <c r="BS1242" t="s">
        <v>168</v>
      </c>
      <c r="BT1242" t="s">
        <v>216</v>
      </c>
      <c r="BU1242" t="s">
        <v>168</v>
      </c>
      <c r="BV1242" t="s">
        <v>209</v>
      </c>
      <c r="BW1242" t="s">
        <v>209</v>
      </c>
      <c r="BX1242" t="s">
        <v>209</v>
      </c>
      <c r="BY1242" t="s">
        <v>209</v>
      </c>
      <c r="BZ1242" t="s">
        <v>216</v>
      </c>
      <c r="CA1242" t="s">
        <v>216</v>
      </c>
      <c r="CB1242" t="s">
        <v>168</v>
      </c>
      <c r="CC1242" t="s">
        <v>168</v>
      </c>
      <c r="CD1242" t="s">
        <v>216</v>
      </c>
      <c r="CE1242" t="s">
        <v>209</v>
      </c>
      <c r="CF1242" t="s">
        <v>168</v>
      </c>
      <c r="CG1242" t="s">
        <v>168</v>
      </c>
      <c r="CH1242" t="s">
        <v>165</v>
      </c>
      <c r="CI1242" t="s">
        <v>216</v>
      </c>
      <c r="CJ1242" t="s">
        <v>216</v>
      </c>
      <c r="CK1242" t="s">
        <v>216</v>
      </c>
      <c r="CL1242" t="s">
        <v>216</v>
      </c>
      <c r="CM1242" t="s">
        <v>216</v>
      </c>
      <c r="CN1242" t="s">
        <v>216</v>
      </c>
      <c r="CO1242" t="s">
        <v>216</v>
      </c>
      <c r="CP1242" t="s">
        <v>216</v>
      </c>
      <c r="CQ1242" t="s">
        <v>216</v>
      </c>
      <c r="CR1242" t="s">
        <v>216</v>
      </c>
      <c r="CS1242" t="s">
        <v>216</v>
      </c>
      <c r="CT1242" t="s">
        <v>216</v>
      </c>
      <c r="CU1242" t="s">
        <v>216</v>
      </c>
      <c r="CV1242" t="s">
        <v>216</v>
      </c>
      <c r="CW1242" t="s">
        <v>216</v>
      </c>
      <c r="CX1242" t="s">
        <v>216</v>
      </c>
      <c r="CY1242" t="s">
        <v>216</v>
      </c>
      <c r="CZ1242" t="s">
        <v>216</v>
      </c>
      <c r="DA1242" t="s">
        <v>168</v>
      </c>
      <c r="DB1242" t="s">
        <v>216</v>
      </c>
      <c r="DC1242" t="s">
        <v>216</v>
      </c>
      <c r="DD1242" t="s">
        <v>216</v>
      </c>
      <c r="DE1242" t="s">
        <v>168</v>
      </c>
      <c r="DF1242" t="s">
        <v>168</v>
      </c>
      <c r="DG1242" t="s">
        <v>216</v>
      </c>
      <c r="DH1242" t="s">
        <v>216</v>
      </c>
      <c r="DI1242" t="s">
        <v>216</v>
      </c>
      <c r="DJ1242" t="s">
        <v>216</v>
      </c>
      <c r="DK1242" t="s">
        <v>168</v>
      </c>
      <c r="DL1242" t="s">
        <v>216</v>
      </c>
      <c r="DM1242" t="s">
        <v>216</v>
      </c>
      <c r="DN1242" t="s">
        <v>216</v>
      </c>
      <c r="DO1242" t="s">
        <v>216</v>
      </c>
      <c r="DP1242" t="s">
        <v>168</v>
      </c>
      <c r="DQ1242" t="s">
        <v>216</v>
      </c>
      <c r="DR1242" t="s">
        <v>168</v>
      </c>
      <c r="DS1242" t="s">
        <v>168</v>
      </c>
      <c r="DT1242" t="s">
        <v>168</v>
      </c>
      <c r="DU1242" t="s">
        <v>168</v>
      </c>
      <c r="DV1242" t="s">
        <v>168</v>
      </c>
      <c r="DW1242" t="s">
        <v>168</v>
      </c>
      <c r="DX1242" t="s">
        <v>168</v>
      </c>
      <c r="DY1242" t="s">
        <v>168</v>
      </c>
      <c r="DZ1242" t="s">
        <v>209</v>
      </c>
      <c r="EA1242" t="s">
        <v>216</v>
      </c>
      <c r="EB1242" t="s">
        <v>168</v>
      </c>
      <c r="EC1242" t="s">
        <v>168</v>
      </c>
      <c r="ED1242" t="s">
        <v>209</v>
      </c>
      <c r="EE1242" t="s">
        <v>168</v>
      </c>
      <c r="EP1242" t="s">
        <v>157</v>
      </c>
      <c r="EQ1242" t="s">
        <v>157</v>
      </c>
      <c r="ES1242" t="s">
        <v>166</v>
      </c>
    </row>
    <row r="1243" spans="1:149" x14ac:dyDescent="0.25">
      <c r="A1243" t="s">
        <v>3745</v>
      </c>
      <c r="B1243" t="s">
        <v>148</v>
      </c>
      <c r="C1243" s="1">
        <v>45720</v>
      </c>
      <c r="D1243" t="s">
        <v>175</v>
      </c>
      <c r="E1243" t="s">
        <v>649</v>
      </c>
      <c r="F1243" t="s">
        <v>685</v>
      </c>
      <c r="G1243" t="s">
        <v>6696</v>
      </c>
      <c r="H1243">
        <v>1516</v>
      </c>
      <c r="I1243" t="s">
        <v>6696</v>
      </c>
      <c r="J1243">
        <v>584</v>
      </c>
      <c r="K1243" t="s">
        <v>5254</v>
      </c>
      <c r="L1243" t="s">
        <v>431</v>
      </c>
      <c r="M1243" t="s">
        <v>6032</v>
      </c>
      <c r="N1243" t="s">
        <v>4804</v>
      </c>
      <c r="O1243" t="s">
        <v>1997</v>
      </c>
      <c r="R1243">
        <f>1</f>
        <v>1</v>
      </c>
      <c r="S1243">
        <f>13.8</f>
        <v>13.8</v>
      </c>
      <c r="T1243">
        <f>7.5</f>
        <v>7.5</v>
      </c>
      <c r="U1243">
        <f>576</f>
        <v>576</v>
      </c>
      <c r="X1243">
        <f>1</f>
        <v>1</v>
      </c>
      <c r="Y1243" t="s">
        <v>157</v>
      </c>
      <c r="Z1243">
        <f>0</f>
        <v>0</v>
      </c>
      <c r="AA1243" t="s">
        <v>158</v>
      </c>
      <c r="AB1243" t="s">
        <v>158</v>
      </c>
      <c r="AD1243">
        <f>0</f>
        <v>0</v>
      </c>
      <c r="AE1243">
        <f>0</f>
        <v>0</v>
      </c>
    </row>
    <row r="1244" spans="1:149" x14ac:dyDescent="0.25">
      <c r="A1244" t="s">
        <v>3746</v>
      </c>
      <c r="B1244" t="s">
        <v>148</v>
      </c>
      <c r="C1244" s="1">
        <v>45789</v>
      </c>
      <c r="D1244" t="s">
        <v>175</v>
      </c>
      <c r="E1244" t="s">
        <v>649</v>
      </c>
      <c r="F1244" t="s">
        <v>685</v>
      </c>
      <c r="G1244" t="s">
        <v>6697</v>
      </c>
      <c r="H1244">
        <v>1356</v>
      </c>
      <c r="I1244" t="s">
        <v>6697</v>
      </c>
      <c r="J1244">
        <v>510</v>
      </c>
      <c r="K1244" t="s">
        <v>5257</v>
      </c>
      <c r="L1244" t="s">
        <v>431</v>
      </c>
      <c r="M1244" t="s">
        <v>2004</v>
      </c>
      <c r="N1244" t="s">
        <v>2005</v>
      </c>
      <c r="O1244" t="s">
        <v>2006</v>
      </c>
      <c r="Q1244" t="s">
        <v>6311</v>
      </c>
      <c r="R1244">
        <f>1</f>
        <v>1</v>
      </c>
      <c r="S1244">
        <f>14.9</f>
        <v>14.9</v>
      </c>
      <c r="T1244">
        <f>7.6</f>
        <v>7.6</v>
      </c>
      <c r="U1244">
        <f>500</f>
        <v>500</v>
      </c>
      <c r="V1244">
        <f>0.17</f>
        <v>0.17</v>
      </c>
      <c r="X1244">
        <f>0</f>
        <v>0</v>
      </c>
      <c r="Y1244" t="s">
        <v>157</v>
      </c>
      <c r="Z1244">
        <f>0</f>
        <v>0</v>
      </c>
      <c r="AA1244" t="s">
        <v>158</v>
      </c>
      <c r="AB1244" t="s">
        <v>158</v>
      </c>
      <c r="AC1244">
        <f>0</f>
        <v>0</v>
      </c>
      <c r="AD1244">
        <f>0</f>
        <v>0</v>
      </c>
      <c r="AE1244">
        <f>0</f>
        <v>0</v>
      </c>
      <c r="AH1244" t="s">
        <v>157</v>
      </c>
      <c r="AI1244" t="s">
        <v>238</v>
      </c>
      <c r="AL1244" t="s">
        <v>164</v>
      </c>
      <c r="AM1244" t="s">
        <v>165</v>
      </c>
      <c r="AN1244">
        <f>6.2</f>
        <v>6.2</v>
      </c>
      <c r="AO1244">
        <f>0.12</f>
        <v>0.12</v>
      </c>
      <c r="AP1244">
        <f>12</f>
        <v>12</v>
      </c>
      <c r="AQ1244">
        <f>2.6</f>
        <v>2.6</v>
      </c>
      <c r="AR1244" t="s">
        <v>157</v>
      </c>
      <c r="AS1244">
        <f>1.4</f>
        <v>1.4</v>
      </c>
      <c r="AY1244" t="s">
        <v>167</v>
      </c>
      <c r="AZ1244" t="s">
        <v>158</v>
      </c>
      <c r="BA1244" t="s">
        <v>216</v>
      </c>
      <c r="BB1244" t="s">
        <v>158</v>
      </c>
      <c r="BC1244" t="s">
        <v>166</v>
      </c>
      <c r="BD1244" t="s">
        <v>167</v>
      </c>
      <c r="BE1244">
        <f>0.0039</f>
        <v>3.8999999999999998E-3</v>
      </c>
      <c r="BF1244">
        <f>0.024</f>
        <v>2.4E-2</v>
      </c>
      <c r="BG1244" t="s">
        <v>167</v>
      </c>
      <c r="BH1244" t="s">
        <v>167</v>
      </c>
      <c r="BI1244">
        <f>0.26</f>
        <v>0.26</v>
      </c>
      <c r="BK1244">
        <f>0.23</f>
        <v>0.23</v>
      </c>
      <c r="EL1244">
        <f>0.53</f>
        <v>0.53</v>
      </c>
      <c r="EM1244" t="s">
        <v>166</v>
      </c>
      <c r="EN1244">
        <f>0.67</f>
        <v>0.67</v>
      </c>
      <c r="EO1244">
        <f>0.46</f>
        <v>0.46</v>
      </c>
      <c r="ER1244">
        <f>1.7</f>
        <v>1.7</v>
      </c>
    </row>
    <row r="1245" spans="1:149" x14ac:dyDescent="0.25">
      <c r="A1245" t="s">
        <v>3747</v>
      </c>
      <c r="B1245" t="s">
        <v>148</v>
      </c>
      <c r="C1245" s="1">
        <v>45750</v>
      </c>
      <c r="D1245" t="s">
        <v>175</v>
      </c>
      <c r="E1245" t="s">
        <v>649</v>
      </c>
      <c r="F1245" t="s">
        <v>1191</v>
      </c>
      <c r="G1245" t="s">
        <v>1518</v>
      </c>
      <c r="H1245">
        <v>715</v>
      </c>
      <c r="I1245" t="s">
        <v>1518</v>
      </c>
      <c r="J1245">
        <v>1066</v>
      </c>
      <c r="K1245" t="s">
        <v>5254</v>
      </c>
      <c r="L1245" t="s">
        <v>154</v>
      </c>
      <c r="M1245" t="s">
        <v>1519</v>
      </c>
      <c r="N1245" t="s">
        <v>1520</v>
      </c>
      <c r="O1245" t="s">
        <v>1521</v>
      </c>
      <c r="R1245">
        <f>1</f>
        <v>1</v>
      </c>
      <c r="S1245">
        <f>10.5</f>
        <v>10.5</v>
      </c>
      <c r="T1245">
        <f>7.6</f>
        <v>7.6</v>
      </c>
      <c r="U1245">
        <f>444</f>
        <v>444</v>
      </c>
      <c r="V1245">
        <f>0.25</f>
        <v>0.25</v>
      </c>
      <c r="X1245">
        <f>0</f>
        <v>0</v>
      </c>
      <c r="Y1245" t="s">
        <v>157</v>
      </c>
      <c r="Z1245">
        <f>0</f>
        <v>0</v>
      </c>
      <c r="AA1245" t="s">
        <v>158</v>
      </c>
      <c r="AB1245" t="s">
        <v>158</v>
      </c>
      <c r="AD1245">
        <f>0</f>
        <v>0</v>
      </c>
      <c r="AE1245">
        <f>0</f>
        <v>0</v>
      </c>
      <c r="AH1245" t="s">
        <v>157</v>
      </c>
    </row>
    <row r="1246" spans="1:149" x14ac:dyDescent="0.25">
      <c r="A1246" t="s">
        <v>3748</v>
      </c>
      <c r="B1246" t="s">
        <v>148</v>
      </c>
      <c r="C1246" s="1">
        <v>45726</v>
      </c>
      <c r="D1246" t="s">
        <v>242</v>
      </c>
      <c r="E1246" t="s">
        <v>243</v>
      </c>
      <c r="F1246" t="s">
        <v>5284</v>
      </c>
      <c r="G1246" t="s">
        <v>5957</v>
      </c>
      <c r="H1246">
        <v>1537</v>
      </c>
      <c r="I1246" t="s">
        <v>5957</v>
      </c>
      <c r="J1246">
        <v>575</v>
      </c>
      <c r="K1246" t="s">
        <v>5254</v>
      </c>
      <c r="L1246" t="s">
        <v>393</v>
      </c>
      <c r="M1246" t="s">
        <v>5958</v>
      </c>
      <c r="N1246" t="s">
        <v>5959</v>
      </c>
      <c r="O1246" t="s">
        <v>1546</v>
      </c>
      <c r="Q1246" t="s">
        <v>6471</v>
      </c>
      <c r="R1246">
        <f>1</f>
        <v>1</v>
      </c>
      <c r="S1246">
        <f>9.7</f>
        <v>9.6999999999999993</v>
      </c>
      <c r="T1246">
        <f>7.6</f>
        <v>7.6</v>
      </c>
      <c r="U1246">
        <f>452</f>
        <v>452</v>
      </c>
      <c r="V1246">
        <f>0.19</f>
        <v>0.19</v>
      </c>
      <c r="X1246">
        <f>1</f>
        <v>1</v>
      </c>
      <c r="Y1246" t="s">
        <v>157</v>
      </c>
      <c r="Z1246">
        <f>0</f>
        <v>0</v>
      </c>
      <c r="AA1246" t="s">
        <v>158</v>
      </c>
      <c r="AB1246" t="s">
        <v>158</v>
      </c>
      <c r="AD1246">
        <f>0</f>
        <v>0</v>
      </c>
      <c r="AE1246">
        <f>0</f>
        <v>0</v>
      </c>
      <c r="AH1246" t="s">
        <v>157</v>
      </c>
    </row>
    <row r="1247" spans="1:149" x14ac:dyDescent="0.25">
      <c r="A1247" t="s">
        <v>3749</v>
      </c>
      <c r="B1247" t="s">
        <v>148</v>
      </c>
      <c r="C1247" s="1">
        <v>45741</v>
      </c>
      <c r="D1247" t="s">
        <v>317</v>
      </c>
      <c r="E1247" t="s">
        <v>318</v>
      </c>
      <c r="F1247" t="s">
        <v>1551</v>
      </c>
      <c r="G1247" t="s">
        <v>1552</v>
      </c>
      <c r="H1247">
        <v>632</v>
      </c>
      <c r="I1247" t="s">
        <v>1552</v>
      </c>
      <c r="J1247">
        <v>700</v>
      </c>
      <c r="K1247" t="s">
        <v>5254</v>
      </c>
      <c r="L1247" t="s">
        <v>180</v>
      </c>
      <c r="M1247" t="s">
        <v>5433</v>
      </c>
      <c r="N1247" t="s">
        <v>1553</v>
      </c>
      <c r="O1247" t="s">
        <v>1554</v>
      </c>
      <c r="Q1247" t="s">
        <v>329</v>
      </c>
      <c r="R1247">
        <f>1</f>
        <v>1</v>
      </c>
      <c r="S1247">
        <f>8.4</f>
        <v>8.4</v>
      </c>
      <c r="T1247">
        <f>8.1</f>
        <v>8.1</v>
      </c>
      <c r="U1247">
        <f>98</f>
        <v>98</v>
      </c>
      <c r="X1247">
        <f>0</f>
        <v>0</v>
      </c>
      <c r="Y1247" t="s">
        <v>157</v>
      </c>
      <c r="Z1247">
        <f>0</f>
        <v>0</v>
      </c>
      <c r="AA1247">
        <f>0</f>
        <v>0</v>
      </c>
      <c r="AB1247">
        <f>0</f>
        <v>0</v>
      </c>
      <c r="AD1247">
        <f>0</f>
        <v>0</v>
      </c>
      <c r="AE1247">
        <f>0</f>
        <v>0</v>
      </c>
      <c r="AH1247" t="s">
        <v>157</v>
      </c>
    </row>
    <row r="1248" spans="1:149" x14ac:dyDescent="0.25">
      <c r="A1248" t="s">
        <v>3750</v>
      </c>
      <c r="B1248" t="s">
        <v>148</v>
      </c>
      <c r="C1248" s="1">
        <v>45810</v>
      </c>
      <c r="D1248" t="s">
        <v>175</v>
      </c>
      <c r="E1248" t="s">
        <v>649</v>
      </c>
      <c r="F1248" t="s">
        <v>685</v>
      </c>
      <c r="G1248" t="s">
        <v>2052</v>
      </c>
      <c r="H1248">
        <v>1531</v>
      </c>
      <c r="I1248" t="s">
        <v>2052</v>
      </c>
      <c r="J1248">
        <v>520</v>
      </c>
      <c r="K1248" t="s">
        <v>5254</v>
      </c>
      <c r="L1248" t="s">
        <v>4968</v>
      </c>
      <c r="M1248" t="s">
        <v>6035</v>
      </c>
      <c r="N1248" t="s">
        <v>6036</v>
      </c>
      <c r="O1248" t="s">
        <v>2053</v>
      </c>
      <c r="Q1248" t="s">
        <v>1097</v>
      </c>
      <c r="R1248">
        <f>1</f>
        <v>1</v>
      </c>
      <c r="S1248">
        <f>15.7</f>
        <v>15.7</v>
      </c>
      <c r="T1248">
        <f>7.5</f>
        <v>7.5</v>
      </c>
      <c r="U1248">
        <f>409</f>
        <v>409</v>
      </c>
      <c r="V1248">
        <f>0.18</f>
        <v>0.18</v>
      </c>
      <c r="X1248">
        <f>0</f>
        <v>0</v>
      </c>
      <c r="Y1248" t="s">
        <v>157</v>
      </c>
      <c r="Z1248">
        <f>0</f>
        <v>0</v>
      </c>
      <c r="AA1248" t="s">
        <v>158</v>
      </c>
      <c r="AB1248" t="s">
        <v>158</v>
      </c>
      <c r="AD1248">
        <f>0</f>
        <v>0</v>
      </c>
      <c r="AE1248">
        <f>0</f>
        <v>0</v>
      </c>
      <c r="AH1248" t="s">
        <v>157</v>
      </c>
      <c r="AI1248" t="s">
        <v>238</v>
      </c>
      <c r="AL1248" t="s">
        <v>164</v>
      </c>
      <c r="AM1248" t="s">
        <v>165</v>
      </c>
      <c r="AN1248">
        <f>3.1</f>
        <v>3.1</v>
      </c>
      <c r="AO1248">
        <f>0.06</f>
        <v>0.06</v>
      </c>
      <c r="AP1248">
        <f>5.5</f>
        <v>5.5</v>
      </c>
      <c r="AQ1248">
        <f>2.3</f>
        <v>2.2999999999999998</v>
      </c>
      <c r="AR1248" t="s">
        <v>157</v>
      </c>
      <c r="AS1248">
        <f>1.7</f>
        <v>1.7</v>
      </c>
      <c r="AY1248" t="s">
        <v>167</v>
      </c>
      <c r="AZ1248" t="s">
        <v>158</v>
      </c>
      <c r="BA1248" t="s">
        <v>216</v>
      </c>
      <c r="BB1248" t="s">
        <v>158</v>
      </c>
      <c r="BC1248" t="s">
        <v>166</v>
      </c>
      <c r="BD1248" t="s">
        <v>167</v>
      </c>
      <c r="BE1248">
        <f>0.0045</f>
        <v>4.4999999999999997E-3</v>
      </c>
      <c r="BF1248" t="s">
        <v>168</v>
      </c>
      <c r="BG1248" t="s">
        <v>167</v>
      </c>
      <c r="BH1248">
        <f>2.3</f>
        <v>2.2999999999999998</v>
      </c>
      <c r="BK1248">
        <f>0.23</f>
        <v>0.23</v>
      </c>
      <c r="EL1248" t="s">
        <v>157</v>
      </c>
      <c r="EM1248" t="s">
        <v>166</v>
      </c>
      <c r="EN1248">
        <f>0.21</f>
        <v>0.21</v>
      </c>
      <c r="EO1248">
        <f>0.33</f>
        <v>0.33</v>
      </c>
      <c r="ER1248">
        <f>0.54</f>
        <v>0.54</v>
      </c>
    </row>
    <row r="1249" spans="1:148" x14ac:dyDescent="0.25">
      <c r="A1249" t="s">
        <v>3751</v>
      </c>
      <c r="B1249" t="s">
        <v>148</v>
      </c>
      <c r="C1249" s="1">
        <v>45824</v>
      </c>
      <c r="D1249" t="s">
        <v>175</v>
      </c>
      <c r="E1249" t="s">
        <v>176</v>
      </c>
      <c r="F1249" t="s">
        <v>690</v>
      </c>
      <c r="G1249" t="s">
        <v>6037</v>
      </c>
      <c r="H1249">
        <v>1266</v>
      </c>
      <c r="I1249" t="s">
        <v>6037</v>
      </c>
      <c r="J1249">
        <v>736</v>
      </c>
      <c r="K1249" t="s">
        <v>5257</v>
      </c>
      <c r="L1249" t="s">
        <v>431</v>
      </c>
      <c r="M1249" t="s">
        <v>5492</v>
      </c>
      <c r="N1249" t="s">
        <v>5493</v>
      </c>
      <c r="O1249" t="s">
        <v>2060</v>
      </c>
      <c r="R1249">
        <f>1</f>
        <v>1</v>
      </c>
      <c r="S1249">
        <f>18</f>
        <v>18</v>
      </c>
      <c r="T1249">
        <f>7.7</f>
        <v>7.7</v>
      </c>
      <c r="U1249">
        <f>408</f>
        <v>408</v>
      </c>
      <c r="V1249">
        <f>0.24</f>
        <v>0.24</v>
      </c>
      <c r="X1249">
        <f>1</f>
        <v>1</v>
      </c>
      <c r="Y1249" t="s">
        <v>157</v>
      </c>
      <c r="Z1249">
        <f>0</f>
        <v>0</v>
      </c>
      <c r="AA1249" t="s">
        <v>158</v>
      </c>
      <c r="AB1249" t="s">
        <v>158</v>
      </c>
      <c r="AC1249">
        <f>0</f>
        <v>0</v>
      </c>
      <c r="AD1249">
        <f>0</f>
        <v>0</v>
      </c>
      <c r="AE1249">
        <f>0</f>
        <v>0</v>
      </c>
      <c r="AH1249" t="s">
        <v>157</v>
      </c>
      <c r="AI1249" t="s">
        <v>238</v>
      </c>
      <c r="AL1249" t="s">
        <v>164</v>
      </c>
      <c r="AM1249" t="s">
        <v>165</v>
      </c>
      <c r="AN1249">
        <f>4.9</f>
        <v>4.9000000000000004</v>
      </c>
      <c r="AO1249">
        <f>0.1</f>
        <v>0.1</v>
      </c>
      <c r="AP1249">
        <f>3.8</f>
        <v>3.8</v>
      </c>
      <c r="AQ1249">
        <f>1.7</f>
        <v>1.7</v>
      </c>
      <c r="AR1249" t="s">
        <v>157</v>
      </c>
      <c r="AS1249">
        <f>1.2</f>
        <v>1.2</v>
      </c>
      <c r="AY1249" t="s">
        <v>167</v>
      </c>
      <c r="AZ1249" t="s">
        <v>158</v>
      </c>
      <c r="BA1249" t="s">
        <v>216</v>
      </c>
      <c r="BB1249" t="s">
        <v>158</v>
      </c>
      <c r="BC1249" t="s">
        <v>166</v>
      </c>
      <c r="BD1249" t="s">
        <v>167</v>
      </c>
      <c r="BE1249">
        <f>0.021</f>
        <v>2.1000000000000001E-2</v>
      </c>
      <c r="BF1249" t="s">
        <v>168</v>
      </c>
      <c r="BG1249" t="s">
        <v>167</v>
      </c>
      <c r="BH1249" t="s">
        <v>167</v>
      </c>
      <c r="BK1249">
        <f>0.4</f>
        <v>0.4</v>
      </c>
      <c r="EL1249">
        <f>0.69</f>
        <v>0.69</v>
      </c>
      <c r="EM1249" t="s">
        <v>166</v>
      </c>
      <c r="EN1249">
        <f>0.78</f>
        <v>0.78</v>
      </c>
      <c r="EO1249">
        <f>0.56</f>
        <v>0.56000000000000005</v>
      </c>
      <c r="ER1249">
        <f>2</f>
        <v>2</v>
      </c>
    </row>
    <row r="1250" spans="1:148" x14ac:dyDescent="0.25">
      <c r="A1250" t="s">
        <v>3752</v>
      </c>
      <c r="B1250" t="s">
        <v>148</v>
      </c>
      <c r="C1250" s="1">
        <v>45817</v>
      </c>
      <c r="D1250" t="s">
        <v>175</v>
      </c>
      <c r="E1250" t="s">
        <v>176</v>
      </c>
      <c r="F1250" t="s">
        <v>2074</v>
      </c>
      <c r="G1250" t="s">
        <v>5497</v>
      </c>
      <c r="H1250">
        <v>1575</v>
      </c>
      <c r="I1250" t="s">
        <v>5497</v>
      </c>
      <c r="J1250">
        <v>700</v>
      </c>
      <c r="K1250" t="s">
        <v>5257</v>
      </c>
      <c r="L1250" t="s">
        <v>431</v>
      </c>
      <c r="M1250" t="s">
        <v>6040</v>
      </c>
      <c r="N1250" t="s">
        <v>2075</v>
      </c>
      <c r="O1250" t="s">
        <v>2076</v>
      </c>
      <c r="Q1250" t="s">
        <v>6472</v>
      </c>
      <c r="R1250">
        <f>1</f>
        <v>1</v>
      </c>
      <c r="S1250">
        <f>16.3</f>
        <v>16.3</v>
      </c>
      <c r="T1250">
        <f>7.7</f>
        <v>7.7</v>
      </c>
      <c r="U1250">
        <f>561</f>
        <v>561</v>
      </c>
      <c r="V1250">
        <f>0.05</f>
        <v>0.05</v>
      </c>
      <c r="X1250">
        <f>0</f>
        <v>0</v>
      </c>
      <c r="Y1250" t="s">
        <v>157</v>
      </c>
      <c r="Z1250">
        <f>0</f>
        <v>0</v>
      </c>
      <c r="AA1250" t="s">
        <v>158</v>
      </c>
      <c r="AB1250" t="s">
        <v>158</v>
      </c>
      <c r="AC1250">
        <f>0</f>
        <v>0</v>
      </c>
      <c r="AD1250">
        <f>0</f>
        <v>0</v>
      </c>
      <c r="AE1250">
        <f>0</f>
        <v>0</v>
      </c>
      <c r="AH1250" t="s">
        <v>157</v>
      </c>
      <c r="AI1250">
        <f>0.6</f>
        <v>0.6</v>
      </c>
      <c r="AL1250" t="s">
        <v>164</v>
      </c>
      <c r="AM1250" t="s">
        <v>165</v>
      </c>
      <c r="AN1250">
        <f>3.1</f>
        <v>3.1</v>
      </c>
      <c r="AO1250">
        <f>0.06</f>
        <v>0.06</v>
      </c>
      <c r="AP1250">
        <f>4.6</f>
        <v>4.5999999999999996</v>
      </c>
      <c r="AQ1250">
        <f>2</f>
        <v>2</v>
      </c>
      <c r="AR1250" t="s">
        <v>157</v>
      </c>
      <c r="AS1250">
        <f>0.86</f>
        <v>0.86</v>
      </c>
      <c r="AY1250" t="s">
        <v>167</v>
      </c>
      <c r="AZ1250" t="s">
        <v>158</v>
      </c>
      <c r="BA1250" t="s">
        <v>216</v>
      </c>
      <c r="BB1250" t="s">
        <v>158</v>
      </c>
      <c r="BC1250" t="s">
        <v>166</v>
      </c>
      <c r="BD1250" t="s">
        <v>167</v>
      </c>
      <c r="BE1250">
        <f>0.012</f>
        <v>1.2E-2</v>
      </c>
      <c r="BF1250">
        <f>0.023</f>
        <v>2.3E-2</v>
      </c>
      <c r="BG1250" t="s">
        <v>167</v>
      </c>
      <c r="BH1250">
        <f>1.8</f>
        <v>1.8</v>
      </c>
      <c r="BI1250">
        <f>0.4</f>
        <v>0.4</v>
      </c>
      <c r="BK1250">
        <f>0.4</f>
        <v>0.4</v>
      </c>
    </row>
    <row r="1251" spans="1:148" x14ac:dyDescent="0.25">
      <c r="A1251" t="s">
        <v>3753</v>
      </c>
      <c r="B1251" t="s">
        <v>148</v>
      </c>
      <c r="C1251" s="1">
        <v>45791</v>
      </c>
      <c r="D1251" t="s">
        <v>618</v>
      </c>
      <c r="E1251" t="s">
        <v>619</v>
      </c>
      <c r="F1251" t="s">
        <v>730</v>
      </c>
      <c r="G1251" t="s">
        <v>1560</v>
      </c>
      <c r="H1251">
        <v>50</v>
      </c>
      <c r="I1251" t="s">
        <v>5964</v>
      </c>
      <c r="J1251">
        <v>700</v>
      </c>
      <c r="K1251" t="s">
        <v>5257</v>
      </c>
      <c r="L1251" t="s">
        <v>393</v>
      </c>
      <c r="M1251" t="s">
        <v>1561</v>
      </c>
      <c r="N1251" t="s">
        <v>5965</v>
      </c>
      <c r="O1251" t="s">
        <v>1562</v>
      </c>
      <c r="R1251">
        <f>1</f>
        <v>1</v>
      </c>
      <c r="S1251">
        <f>12.4</f>
        <v>12.4</v>
      </c>
      <c r="T1251">
        <f>7.7</f>
        <v>7.7</v>
      </c>
      <c r="U1251">
        <f>369</f>
        <v>369</v>
      </c>
      <c r="V1251">
        <f>0.06</f>
        <v>0.06</v>
      </c>
      <c r="X1251">
        <f>0</f>
        <v>0</v>
      </c>
      <c r="Y1251">
        <f>0.1</f>
        <v>0.1</v>
      </c>
      <c r="Z1251">
        <f>0</f>
        <v>0</v>
      </c>
      <c r="AA1251" t="s">
        <v>158</v>
      </c>
      <c r="AB1251" t="s">
        <v>158</v>
      </c>
      <c r="AC1251">
        <f>0</f>
        <v>0</v>
      </c>
      <c r="AD1251">
        <f>0</f>
        <v>0</v>
      </c>
      <c r="AE1251">
        <f>0</f>
        <v>0</v>
      </c>
      <c r="AH1251" t="s">
        <v>157</v>
      </c>
      <c r="AI1251" t="s">
        <v>238</v>
      </c>
      <c r="AL1251" t="s">
        <v>164</v>
      </c>
      <c r="AM1251" t="s">
        <v>165</v>
      </c>
      <c r="AN1251">
        <f>3.9</f>
        <v>3.9</v>
      </c>
      <c r="AO1251">
        <f>0.08</f>
        <v>0.08</v>
      </c>
      <c r="AP1251">
        <f>13</f>
        <v>13</v>
      </c>
      <c r="AQ1251">
        <f>1.2</f>
        <v>1.2</v>
      </c>
      <c r="AR1251" t="s">
        <v>157</v>
      </c>
      <c r="AS1251">
        <f>0.8</f>
        <v>0.8</v>
      </c>
      <c r="AY1251" t="s">
        <v>167</v>
      </c>
      <c r="AZ1251" t="s">
        <v>158</v>
      </c>
      <c r="BA1251" t="s">
        <v>216</v>
      </c>
      <c r="BB1251" t="s">
        <v>158</v>
      </c>
      <c r="BC1251" t="s">
        <v>166</v>
      </c>
      <c r="BD1251" t="s">
        <v>167</v>
      </c>
      <c r="BE1251">
        <f>0.0019</f>
        <v>1.9E-3</v>
      </c>
      <c r="BF1251" t="s">
        <v>168</v>
      </c>
      <c r="BG1251" t="s">
        <v>167</v>
      </c>
      <c r="BH1251" t="s">
        <v>167</v>
      </c>
      <c r="BK1251">
        <f>1.8</f>
        <v>1.8</v>
      </c>
      <c r="EL1251">
        <f>2.2</f>
        <v>2.2000000000000002</v>
      </c>
      <c r="EM1251" t="s">
        <v>166</v>
      </c>
      <c r="EN1251">
        <f>1.1</f>
        <v>1.1000000000000001</v>
      </c>
      <c r="EO1251">
        <f>0.35</f>
        <v>0.35</v>
      </c>
      <c r="ER1251">
        <f>3.6</f>
        <v>3.6</v>
      </c>
    </row>
    <row r="1252" spans="1:148" x14ac:dyDescent="0.25">
      <c r="A1252" t="s">
        <v>3754</v>
      </c>
      <c r="B1252" t="s">
        <v>148</v>
      </c>
      <c r="C1252" s="1">
        <v>45783</v>
      </c>
      <c r="D1252" t="s">
        <v>618</v>
      </c>
      <c r="E1252" t="s">
        <v>619</v>
      </c>
      <c r="F1252" t="s">
        <v>730</v>
      </c>
      <c r="G1252" t="s">
        <v>731</v>
      </c>
      <c r="H1252">
        <v>816</v>
      </c>
      <c r="I1252" t="s">
        <v>3755</v>
      </c>
      <c r="J1252">
        <v>1000</v>
      </c>
      <c r="K1252" t="s">
        <v>5254</v>
      </c>
      <c r="L1252" t="s">
        <v>387</v>
      </c>
      <c r="M1252" t="s">
        <v>3756</v>
      </c>
      <c r="N1252" t="s">
        <v>3757</v>
      </c>
      <c r="O1252" t="s">
        <v>3758</v>
      </c>
      <c r="R1252">
        <f>1</f>
        <v>1</v>
      </c>
      <c r="S1252">
        <f>13.1</f>
        <v>13.1</v>
      </c>
      <c r="T1252">
        <f>7.6</f>
        <v>7.6</v>
      </c>
      <c r="U1252">
        <f>353</f>
        <v>353</v>
      </c>
      <c r="V1252">
        <f>0.12</f>
        <v>0.12</v>
      </c>
      <c r="X1252">
        <f>0</f>
        <v>0</v>
      </c>
      <c r="Y1252">
        <f>0.1</f>
        <v>0.1</v>
      </c>
      <c r="Z1252">
        <f>0</f>
        <v>0</v>
      </c>
      <c r="AA1252" t="s">
        <v>158</v>
      </c>
      <c r="AB1252" t="s">
        <v>158</v>
      </c>
      <c r="AD1252">
        <f>0</f>
        <v>0</v>
      </c>
      <c r="AE1252">
        <f>0</f>
        <v>0</v>
      </c>
      <c r="AH1252" t="s">
        <v>157</v>
      </c>
    </row>
    <row r="1253" spans="1:148" x14ac:dyDescent="0.25">
      <c r="A1253" t="s">
        <v>3759</v>
      </c>
      <c r="B1253" t="s">
        <v>148</v>
      </c>
      <c r="C1253" s="1">
        <v>45817</v>
      </c>
      <c r="D1253" t="s">
        <v>175</v>
      </c>
      <c r="E1253" t="s">
        <v>176</v>
      </c>
      <c r="F1253" t="s">
        <v>5498</v>
      </c>
      <c r="G1253" t="s">
        <v>5499</v>
      </c>
      <c r="H1253">
        <v>1612</v>
      </c>
      <c r="I1253" t="s">
        <v>5500</v>
      </c>
      <c r="J1253">
        <v>600</v>
      </c>
      <c r="K1253" t="s">
        <v>5254</v>
      </c>
      <c r="L1253" t="s">
        <v>431</v>
      </c>
      <c r="M1253" t="s">
        <v>5013</v>
      </c>
      <c r="N1253" t="s">
        <v>5501</v>
      </c>
      <c r="O1253" t="s">
        <v>2085</v>
      </c>
      <c r="Q1253" t="s">
        <v>6311</v>
      </c>
      <c r="R1253">
        <f>1</f>
        <v>1</v>
      </c>
      <c r="S1253">
        <f>13.5</f>
        <v>13.5</v>
      </c>
      <c r="T1253">
        <f>7.6</f>
        <v>7.6</v>
      </c>
      <c r="U1253">
        <f>472</f>
        <v>472</v>
      </c>
      <c r="X1253">
        <f>0</f>
        <v>0</v>
      </c>
      <c r="Y1253" t="s">
        <v>157</v>
      </c>
      <c r="Z1253">
        <f>0</f>
        <v>0</v>
      </c>
      <c r="AA1253" t="s">
        <v>158</v>
      </c>
      <c r="AB1253" t="s">
        <v>158</v>
      </c>
      <c r="AD1253">
        <f>0</f>
        <v>0</v>
      </c>
      <c r="AE1253">
        <f>0</f>
        <v>0</v>
      </c>
      <c r="AH1253" t="s">
        <v>157</v>
      </c>
      <c r="AI1253" t="s">
        <v>238</v>
      </c>
      <c r="AL1253" t="s">
        <v>164</v>
      </c>
      <c r="AM1253" t="s">
        <v>165</v>
      </c>
      <c r="AN1253">
        <f>2.7</f>
        <v>2.7</v>
      </c>
      <c r="AO1253">
        <f>0.05</f>
        <v>0.05</v>
      </c>
      <c r="AP1253">
        <f>4</f>
        <v>4</v>
      </c>
      <c r="AQ1253">
        <f>1.9</f>
        <v>1.9</v>
      </c>
      <c r="AR1253" t="s">
        <v>157</v>
      </c>
      <c r="AS1253">
        <f>0.94</f>
        <v>0.94</v>
      </c>
      <c r="AY1253" t="s">
        <v>167</v>
      </c>
      <c r="AZ1253" t="s">
        <v>158</v>
      </c>
      <c r="BA1253" t="s">
        <v>216</v>
      </c>
      <c r="BB1253" t="s">
        <v>158</v>
      </c>
      <c r="BC1253" t="s">
        <v>166</v>
      </c>
      <c r="BD1253" t="s">
        <v>167</v>
      </c>
      <c r="BE1253">
        <f>0.0028</f>
        <v>2.8E-3</v>
      </c>
      <c r="BF1253" t="s">
        <v>168</v>
      </c>
      <c r="BG1253" t="s">
        <v>167</v>
      </c>
      <c r="BH1253">
        <f>2.3</f>
        <v>2.2999999999999998</v>
      </c>
      <c r="BI1253" t="s">
        <v>836</v>
      </c>
      <c r="BK1253">
        <f>0.42</f>
        <v>0.42</v>
      </c>
      <c r="EL1253" t="s">
        <v>157</v>
      </c>
      <c r="EM1253" t="s">
        <v>166</v>
      </c>
      <c r="EN1253">
        <f>0.24</f>
        <v>0.24</v>
      </c>
      <c r="EO1253">
        <f>0.32</f>
        <v>0.32</v>
      </c>
      <c r="ER1253">
        <f>0.56</f>
        <v>0.56000000000000005</v>
      </c>
    </row>
    <row r="1254" spans="1:148" x14ac:dyDescent="0.25">
      <c r="A1254" t="s">
        <v>3760</v>
      </c>
      <c r="B1254" t="s">
        <v>148</v>
      </c>
      <c r="C1254" s="1">
        <v>45818</v>
      </c>
      <c r="D1254" t="s">
        <v>242</v>
      </c>
      <c r="E1254" t="s">
        <v>243</v>
      </c>
      <c r="F1254" t="s">
        <v>244</v>
      </c>
      <c r="G1254" t="s">
        <v>245</v>
      </c>
      <c r="H1254">
        <v>156</v>
      </c>
      <c r="I1254" t="s">
        <v>5435</v>
      </c>
      <c r="J1254">
        <v>456</v>
      </c>
      <c r="K1254" t="s">
        <v>5257</v>
      </c>
      <c r="L1254" t="s">
        <v>1586</v>
      </c>
      <c r="M1254" t="s">
        <v>5436</v>
      </c>
      <c r="N1254" t="s">
        <v>5970</v>
      </c>
      <c r="O1254" t="s">
        <v>1587</v>
      </c>
      <c r="R1254">
        <f>1</f>
        <v>1</v>
      </c>
      <c r="S1254">
        <f>18.6</f>
        <v>18.600000000000001</v>
      </c>
      <c r="T1254">
        <f>8</f>
        <v>8</v>
      </c>
      <c r="U1254">
        <f>404</f>
        <v>404</v>
      </c>
      <c r="X1254">
        <f>0</f>
        <v>0</v>
      </c>
      <c r="Y1254" t="s">
        <v>157</v>
      </c>
      <c r="Z1254">
        <f>0</f>
        <v>0</v>
      </c>
      <c r="AA1254" t="s">
        <v>158</v>
      </c>
      <c r="AB1254" t="s">
        <v>158</v>
      </c>
      <c r="AC1254">
        <f>0</f>
        <v>0</v>
      </c>
      <c r="AD1254">
        <f>0</f>
        <v>0</v>
      </c>
      <c r="AE1254">
        <f>0</f>
        <v>0</v>
      </c>
      <c r="AH1254" t="s">
        <v>157</v>
      </c>
      <c r="AI1254" t="s">
        <v>238</v>
      </c>
      <c r="AL1254" t="s">
        <v>164</v>
      </c>
      <c r="AM1254" t="s">
        <v>165</v>
      </c>
      <c r="AN1254">
        <f>3.2</f>
        <v>3.2</v>
      </c>
      <c r="AO1254">
        <f>0.06</f>
        <v>0.06</v>
      </c>
      <c r="AP1254">
        <f>17</f>
        <v>17</v>
      </c>
      <c r="AQ1254">
        <f>2.9</f>
        <v>2.9</v>
      </c>
      <c r="AR1254" t="s">
        <v>157</v>
      </c>
      <c r="AS1254">
        <f>1.4</f>
        <v>1.4</v>
      </c>
      <c r="AY1254" t="s">
        <v>167</v>
      </c>
      <c r="AZ1254" t="s">
        <v>158</v>
      </c>
      <c r="BA1254" t="s">
        <v>216</v>
      </c>
      <c r="BB1254" t="s">
        <v>158</v>
      </c>
      <c r="BC1254" t="s">
        <v>166</v>
      </c>
      <c r="BD1254" t="s">
        <v>167</v>
      </c>
      <c r="BE1254">
        <f>0.0024</f>
        <v>2.3999999999999998E-3</v>
      </c>
      <c r="BF1254">
        <f>0.024</f>
        <v>2.4E-2</v>
      </c>
      <c r="BG1254" t="s">
        <v>167</v>
      </c>
      <c r="BH1254">
        <f>1.6</f>
        <v>1.6</v>
      </c>
      <c r="BK1254">
        <f>0.65</f>
        <v>0.65</v>
      </c>
      <c r="EL1254">
        <f>0.3</f>
        <v>0.3</v>
      </c>
      <c r="EM1254" t="s">
        <v>166</v>
      </c>
      <c r="EN1254">
        <f>0.5</f>
        <v>0.5</v>
      </c>
      <c r="EO1254">
        <f>0.45</f>
        <v>0.45</v>
      </c>
      <c r="ER1254">
        <f>1.3</f>
        <v>1.3</v>
      </c>
    </row>
    <row r="1255" spans="1:148" x14ac:dyDescent="0.25">
      <c r="A1255" t="s">
        <v>3761</v>
      </c>
      <c r="B1255" t="s">
        <v>148</v>
      </c>
      <c r="C1255" s="1">
        <v>45838</v>
      </c>
      <c r="D1255" t="s">
        <v>175</v>
      </c>
      <c r="E1255" t="s">
        <v>176</v>
      </c>
      <c r="F1255" t="s">
        <v>177</v>
      </c>
      <c r="G1255" t="s">
        <v>2087</v>
      </c>
      <c r="H1255">
        <v>1607</v>
      </c>
      <c r="I1255" t="s">
        <v>2087</v>
      </c>
      <c r="J1255">
        <v>574</v>
      </c>
      <c r="K1255" t="s">
        <v>5254</v>
      </c>
      <c r="L1255" t="s">
        <v>431</v>
      </c>
      <c r="M1255" t="s">
        <v>5502</v>
      </c>
      <c r="N1255" t="s">
        <v>2088</v>
      </c>
      <c r="O1255" t="s">
        <v>2089</v>
      </c>
      <c r="Q1255" t="s">
        <v>6473</v>
      </c>
      <c r="R1255">
        <f>1</f>
        <v>1</v>
      </c>
      <c r="S1255">
        <f>19.6</f>
        <v>19.600000000000001</v>
      </c>
      <c r="T1255">
        <f>7.6</f>
        <v>7.6</v>
      </c>
      <c r="U1255">
        <f>457</f>
        <v>457</v>
      </c>
      <c r="X1255">
        <f>0</f>
        <v>0</v>
      </c>
      <c r="Y1255">
        <f>0.1</f>
        <v>0.1</v>
      </c>
      <c r="Z1255">
        <f>0</f>
        <v>0</v>
      </c>
      <c r="AA1255" t="s">
        <v>158</v>
      </c>
      <c r="AB1255" t="s">
        <v>158</v>
      </c>
      <c r="AD1255">
        <f>0</f>
        <v>0</v>
      </c>
      <c r="AE1255">
        <f>0</f>
        <v>0</v>
      </c>
      <c r="AH1255" t="s">
        <v>157</v>
      </c>
      <c r="AI1255" t="s">
        <v>238</v>
      </c>
      <c r="AL1255" t="s">
        <v>164</v>
      </c>
      <c r="AM1255" t="s">
        <v>165</v>
      </c>
      <c r="AN1255">
        <f>1.5</f>
        <v>1.5</v>
      </c>
      <c r="AO1255">
        <f>0.03</f>
        <v>0.03</v>
      </c>
      <c r="AP1255">
        <f>15</f>
        <v>15</v>
      </c>
      <c r="AQ1255">
        <f>7.6</f>
        <v>7.6</v>
      </c>
      <c r="AR1255" t="s">
        <v>157</v>
      </c>
      <c r="AS1255">
        <f>6</f>
        <v>6</v>
      </c>
      <c r="AY1255" t="s">
        <v>167</v>
      </c>
      <c r="AZ1255" t="s">
        <v>158</v>
      </c>
      <c r="BA1255" t="s">
        <v>216</v>
      </c>
      <c r="BB1255" t="s">
        <v>158</v>
      </c>
      <c r="BC1255" t="s">
        <v>166</v>
      </c>
      <c r="BD1255" t="s">
        <v>167</v>
      </c>
      <c r="BE1255">
        <f>0.0015</f>
        <v>1.5E-3</v>
      </c>
      <c r="BF1255">
        <f>0.078</f>
        <v>7.8E-2</v>
      </c>
      <c r="BG1255" t="s">
        <v>167</v>
      </c>
      <c r="BH1255">
        <f>1.4</f>
        <v>1.4</v>
      </c>
      <c r="BK1255">
        <f>0.61</f>
        <v>0.61</v>
      </c>
      <c r="EL1255">
        <f>0.16</f>
        <v>0.16</v>
      </c>
      <c r="EM1255">
        <f>0.22</f>
        <v>0.22</v>
      </c>
      <c r="EN1255">
        <f>0.27</f>
        <v>0.27</v>
      </c>
      <c r="EO1255">
        <f>0.43</f>
        <v>0.43</v>
      </c>
      <c r="ER1255">
        <f>1.1</f>
        <v>1.1000000000000001</v>
      </c>
    </row>
    <row r="1256" spans="1:148" x14ac:dyDescent="0.25">
      <c r="A1256" t="s">
        <v>3762</v>
      </c>
      <c r="B1256" t="s">
        <v>148</v>
      </c>
      <c r="C1256" s="1">
        <v>45817</v>
      </c>
      <c r="D1256" t="s">
        <v>175</v>
      </c>
      <c r="E1256" t="s">
        <v>176</v>
      </c>
      <c r="F1256" t="s">
        <v>556</v>
      </c>
      <c r="G1256" t="s">
        <v>2096</v>
      </c>
      <c r="H1256">
        <v>1628</v>
      </c>
      <c r="I1256" t="s">
        <v>2096</v>
      </c>
      <c r="J1256">
        <v>828</v>
      </c>
      <c r="K1256" t="s">
        <v>5254</v>
      </c>
      <c r="L1256" t="s">
        <v>431</v>
      </c>
      <c r="M1256" t="s">
        <v>6042</v>
      </c>
      <c r="N1256" t="s">
        <v>5014</v>
      </c>
      <c r="O1256" t="s">
        <v>2097</v>
      </c>
      <c r="Q1256" t="s">
        <v>6311</v>
      </c>
      <c r="R1256">
        <f>1</f>
        <v>1</v>
      </c>
      <c r="S1256">
        <f>16</f>
        <v>16</v>
      </c>
      <c r="T1256">
        <f>7.5</f>
        <v>7.5</v>
      </c>
      <c r="U1256">
        <f>528</f>
        <v>528</v>
      </c>
      <c r="X1256">
        <f>0</f>
        <v>0</v>
      </c>
      <c r="Y1256" t="s">
        <v>157</v>
      </c>
      <c r="Z1256">
        <f>0</f>
        <v>0</v>
      </c>
      <c r="AA1256" t="s">
        <v>158</v>
      </c>
      <c r="AB1256" t="s">
        <v>158</v>
      </c>
      <c r="AD1256">
        <f>0</f>
        <v>0</v>
      </c>
      <c r="AE1256">
        <f>0</f>
        <v>0</v>
      </c>
      <c r="AH1256" t="s">
        <v>157</v>
      </c>
      <c r="AI1256" t="s">
        <v>238</v>
      </c>
      <c r="AL1256" t="s">
        <v>164</v>
      </c>
      <c r="AM1256" t="s">
        <v>165</v>
      </c>
      <c r="AN1256">
        <f>0.8</f>
        <v>0.8</v>
      </c>
      <c r="AO1256">
        <f>0.02</f>
        <v>0.02</v>
      </c>
      <c r="AP1256">
        <f>5.2</f>
        <v>5.2</v>
      </c>
      <c r="AQ1256">
        <f>1.8</f>
        <v>1.8</v>
      </c>
      <c r="AR1256" t="s">
        <v>157</v>
      </c>
      <c r="AS1256">
        <f>0.97</f>
        <v>0.97</v>
      </c>
      <c r="AY1256" t="s">
        <v>167</v>
      </c>
      <c r="AZ1256" t="s">
        <v>158</v>
      </c>
      <c r="BA1256" t="s">
        <v>216</v>
      </c>
      <c r="BB1256" t="s">
        <v>158</v>
      </c>
      <c r="BC1256" t="s">
        <v>166</v>
      </c>
      <c r="BD1256" t="s">
        <v>167</v>
      </c>
      <c r="BE1256">
        <f>0.004</f>
        <v>4.0000000000000001E-3</v>
      </c>
      <c r="BF1256">
        <f>0.023</f>
        <v>2.3E-2</v>
      </c>
      <c r="BG1256" t="s">
        <v>167</v>
      </c>
      <c r="BH1256" t="s">
        <v>167</v>
      </c>
      <c r="BK1256">
        <f>0.22</f>
        <v>0.22</v>
      </c>
      <c r="EL1256">
        <f>0.12</f>
        <v>0.12</v>
      </c>
      <c r="EM1256">
        <f>0.2</f>
        <v>0.2</v>
      </c>
      <c r="EN1256">
        <f>0.32</f>
        <v>0.32</v>
      </c>
      <c r="EO1256">
        <f>0.38</f>
        <v>0.38</v>
      </c>
      <c r="ER1256">
        <f>1</f>
        <v>1</v>
      </c>
    </row>
    <row r="1257" spans="1:148" x14ac:dyDescent="0.25">
      <c r="A1257" t="s">
        <v>3763</v>
      </c>
      <c r="B1257" t="s">
        <v>148</v>
      </c>
      <c r="C1257" s="1">
        <v>45716</v>
      </c>
      <c r="D1257" t="s">
        <v>242</v>
      </c>
      <c r="E1257" t="s">
        <v>243</v>
      </c>
      <c r="F1257" t="s">
        <v>244</v>
      </c>
      <c r="G1257" t="s">
        <v>245</v>
      </c>
      <c r="H1257">
        <v>218</v>
      </c>
      <c r="I1257" t="s">
        <v>5974</v>
      </c>
      <c r="J1257">
        <v>969</v>
      </c>
      <c r="K1257" t="s">
        <v>5257</v>
      </c>
      <c r="L1257" t="s">
        <v>431</v>
      </c>
      <c r="M1257" t="s">
        <v>5440</v>
      </c>
      <c r="N1257" t="s">
        <v>5441</v>
      </c>
      <c r="O1257" t="s">
        <v>1605</v>
      </c>
      <c r="R1257">
        <f>1</f>
        <v>1</v>
      </c>
      <c r="S1257">
        <f>9.1</f>
        <v>9.1</v>
      </c>
      <c r="T1257">
        <f>7.8</f>
        <v>7.8</v>
      </c>
      <c r="U1257">
        <f>397</f>
        <v>397</v>
      </c>
      <c r="V1257">
        <f>0.19</f>
        <v>0.19</v>
      </c>
      <c r="X1257">
        <f>0</f>
        <v>0</v>
      </c>
      <c r="Y1257" t="s">
        <v>157</v>
      </c>
      <c r="Z1257">
        <f>0</f>
        <v>0</v>
      </c>
      <c r="AA1257" t="s">
        <v>158</v>
      </c>
      <c r="AB1257" t="s">
        <v>158</v>
      </c>
      <c r="AD1257">
        <f>0</f>
        <v>0</v>
      </c>
      <c r="AE1257">
        <f>0</f>
        <v>0</v>
      </c>
      <c r="AH1257" t="s">
        <v>157</v>
      </c>
    </row>
    <row r="1258" spans="1:148" x14ac:dyDescent="0.25">
      <c r="A1258" t="s">
        <v>3764</v>
      </c>
      <c r="B1258" t="s">
        <v>148</v>
      </c>
      <c r="C1258" s="1">
        <v>45784</v>
      </c>
      <c r="D1258" t="s">
        <v>618</v>
      </c>
      <c r="E1258" t="s">
        <v>619</v>
      </c>
      <c r="F1258" t="s">
        <v>6648</v>
      </c>
      <c r="G1258" t="s">
        <v>6649</v>
      </c>
      <c r="H1258">
        <v>38</v>
      </c>
      <c r="I1258" t="s">
        <v>1616</v>
      </c>
      <c r="J1258">
        <v>1850</v>
      </c>
      <c r="K1258" t="s">
        <v>5257</v>
      </c>
      <c r="L1258" t="s">
        <v>4724</v>
      </c>
      <c r="M1258" t="s">
        <v>6650</v>
      </c>
      <c r="N1258" t="s">
        <v>6651</v>
      </c>
      <c r="O1258" t="s">
        <v>1617</v>
      </c>
      <c r="R1258">
        <f>1</f>
        <v>1</v>
      </c>
      <c r="S1258">
        <f>10.4</f>
        <v>10.4</v>
      </c>
      <c r="T1258">
        <f>7.8</f>
        <v>7.8</v>
      </c>
      <c r="U1258">
        <f>311</f>
        <v>311</v>
      </c>
      <c r="X1258">
        <f>0</f>
        <v>0</v>
      </c>
      <c r="Y1258">
        <f>0.1</f>
        <v>0.1</v>
      </c>
      <c r="Z1258">
        <f>0</f>
        <v>0</v>
      </c>
      <c r="AA1258" t="s">
        <v>158</v>
      </c>
      <c r="AB1258" t="s">
        <v>158</v>
      </c>
      <c r="AC1258">
        <f>0</f>
        <v>0</v>
      </c>
      <c r="AD1258">
        <f>0</f>
        <v>0</v>
      </c>
      <c r="AE1258">
        <f>0</f>
        <v>0</v>
      </c>
      <c r="AH1258" t="s">
        <v>157</v>
      </c>
      <c r="AI1258" t="s">
        <v>238</v>
      </c>
      <c r="AL1258" t="s">
        <v>164</v>
      </c>
      <c r="AM1258" t="s">
        <v>165</v>
      </c>
      <c r="AN1258">
        <f>2.6</f>
        <v>2.6</v>
      </c>
      <c r="AO1258">
        <f>0.05</f>
        <v>0.05</v>
      </c>
      <c r="AP1258">
        <f>32</f>
        <v>32</v>
      </c>
      <c r="AQ1258">
        <f>0.6</f>
        <v>0.6</v>
      </c>
      <c r="AR1258">
        <f>0.33</f>
        <v>0.33</v>
      </c>
      <c r="AS1258" t="s">
        <v>3498</v>
      </c>
      <c r="AY1258" t="s">
        <v>167</v>
      </c>
      <c r="AZ1258" t="s">
        <v>158</v>
      </c>
      <c r="BA1258" t="s">
        <v>216</v>
      </c>
      <c r="BB1258" t="s">
        <v>158</v>
      </c>
      <c r="BC1258" t="s">
        <v>166</v>
      </c>
      <c r="BD1258" t="s">
        <v>167</v>
      </c>
      <c r="BE1258">
        <f>0.0015</f>
        <v>1.5E-3</v>
      </c>
      <c r="BF1258">
        <f>0.028</f>
        <v>2.8000000000000001E-2</v>
      </c>
      <c r="BG1258" t="s">
        <v>167</v>
      </c>
      <c r="BH1258" t="s">
        <v>167</v>
      </c>
      <c r="BK1258">
        <f>0.75</f>
        <v>0.75</v>
      </c>
    </row>
    <row r="1259" spans="1:148" x14ac:dyDescent="0.25">
      <c r="A1259" t="s">
        <v>3765</v>
      </c>
      <c r="B1259" t="s">
        <v>148</v>
      </c>
      <c r="C1259" s="1">
        <v>45806</v>
      </c>
      <c r="D1259" t="s">
        <v>311</v>
      </c>
      <c r="E1259" t="s">
        <v>312</v>
      </c>
      <c r="F1259" t="s">
        <v>1619</v>
      </c>
      <c r="G1259" t="s">
        <v>1620</v>
      </c>
      <c r="H1259">
        <v>906</v>
      </c>
      <c r="I1259" t="s">
        <v>1621</v>
      </c>
      <c r="J1259">
        <v>1234</v>
      </c>
      <c r="K1259" t="s">
        <v>5254</v>
      </c>
      <c r="L1259" t="s">
        <v>4775</v>
      </c>
      <c r="M1259" t="s">
        <v>1622</v>
      </c>
      <c r="N1259" t="s">
        <v>4776</v>
      </c>
      <c r="O1259" t="s">
        <v>1623</v>
      </c>
      <c r="R1259">
        <f>1</f>
        <v>1</v>
      </c>
      <c r="S1259">
        <f>13.5</f>
        <v>13.5</v>
      </c>
      <c r="T1259">
        <f>7.6</f>
        <v>7.6</v>
      </c>
      <c r="U1259">
        <f>273</f>
        <v>273</v>
      </c>
      <c r="X1259">
        <f>0</f>
        <v>0</v>
      </c>
      <c r="Y1259" t="s">
        <v>157</v>
      </c>
      <c r="Z1259">
        <f>0</f>
        <v>0</v>
      </c>
      <c r="AA1259" t="s">
        <v>158</v>
      </c>
      <c r="AB1259" t="s">
        <v>158</v>
      </c>
      <c r="AD1259">
        <f>0</f>
        <v>0</v>
      </c>
      <c r="AE1259">
        <f>0</f>
        <v>0</v>
      </c>
      <c r="AH1259" t="s">
        <v>157</v>
      </c>
      <c r="AI1259" t="s">
        <v>238</v>
      </c>
      <c r="AL1259" t="s">
        <v>164</v>
      </c>
      <c r="AM1259" t="s">
        <v>165</v>
      </c>
      <c r="AN1259">
        <f>4.9</f>
        <v>4.9000000000000004</v>
      </c>
      <c r="AO1259">
        <f>0.1</f>
        <v>0.1</v>
      </c>
      <c r="AP1259">
        <f>6</f>
        <v>6</v>
      </c>
      <c r="AQ1259">
        <f>7.5</f>
        <v>7.5</v>
      </c>
      <c r="AR1259" t="s">
        <v>157</v>
      </c>
      <c r="AS1259">
        <f>3.7</f>
        <v>3.7</v>
      </c>
      <c r="AY1259" t="s">
        <v>167</v>
      </c>
      <c r="AZ1259">
        <f>16</f>
        <v>16</v>
      </c>
      <c r="BA1259" t="s">
        <v>216</v>
      </c>
      <c r="BB1259">
        <f>18</f>
        <v>18</v>
      </c>
      <c r="BC1259" t="s">
        <v>166</v>
      </c>
      <c r="BD1259" t="s">
        <v>167</v>
      </c>
      <c r="BE1259">
        <f>0.0038</f>
        <v>3.8E-3</v>
      </c>
      <c r="BF1259" t="s">
        <v>168</v>
      </c>
      <c r="BG1259">
        <f>3.9</f>
        <v>3.9</v>
      </c>
      <c r="BH1259">
        <f>1.7</f>
        <v>1.7</v>
      </c>
      <c r="BK1259">
        <f>0.26</f>
        <v>0.26</v>
      </c>
    </row>
    <row r="1260" spans="1:148" x14ac:dyDescent="0.25">
      <c r="A1260" t="s">
        <v>3766</v>
      </c>
      <c r="B1260" t="s">
        <v>148</v>
      </c>
      <c r="C1260" s="1">
        <v>45793</v>
      </c>
      <c r="D1260" t="s">
        <v>317</v>
      </c>
      <c r="E1260" t="s">
        <v>176</v>
      </c>
      <c r="F1260" t="s">
        <v>5444</v>
      </c>
      <c r="G1260" t="s">
        <v>5978</v>
      </c>
      <c r="H1260">
        <v>1668</v>
      </c>
      <c r="I1260" t="s">
        <v>5979</v>
      </c>
      <c r="J1260">
        <v>570</v>
      </c>
      <c r="K1260" t="s">
        <v>4778</v>
      </c>
      <c r="M1260" t="s">
        <v>1633</v>
      </c>
      <c r="N1260" t="s">
        <v>1634</v>
      </c>
      <c r="O1260" t="s">
        <v>1635</v>
      </c>
      <c r="Q1260" t="s">
        <v>6474</v>
      </c>
      <c r="R1260">
        <f>1</f>
        <v>1</v>
      </c>
      <c r="S1260">
        <f>13</f>
        <v>13</v>
      </c>
      <c r="T1260">
        <f>7.4</f>
        <v>7.4</v>
      </c>
      <c r="U1260">
        <f>313</f>
        <v>313</v>
      </c>
      <c r="X1260">
        <f>0</f>
        <v>0</v>
      </c>
      <c r="Y1260">
        <f>0.21</f>
        <v>0.21</v>
      </c>
      <c r="Z1260">
        <f>0</f>
        <v>0</v>
      </c>
      <c r="AA1260">
        <f>38</f>
        <v>38</v>
      </c>
      <c r="AB1260">
        <f>4</f>
        <v>4</v>
      </c>
      <c r="AC1260">
        <f>0</f>
        <v>0</v>
      </c>
      <c r="AD1260">
        <f>0</f>
        <v>0</v>
      </c>
      <c r="AE1260">
        <f>0</f>
        <v>0</v>
      </c>
      <c r="AH1260" t="s">
        <v>157</v>
      </c>
      <c r="AI1260" t="s">
        <v>167</v>
      </c>
      <c r="AL1260" t="s">
        <v>168</v>
      </c>
      <c r="AM1260" t="s">
        <v>216</v>
      </c>
      <c r="AN1260">
        <f>3.5</f>
        <v>3.5</v>
      </c>
      <c r="AO1260">
        <f>0.07</f>
        <v>7.0000000000000007E-2</v>
      </c>
      <c r="AP1260">
        <f>7.9</f>
        <v>7.9</v>
      </c>
      <c r="AQ1260">
        <f>1.5</f>
        <v>1.5</v>
      </c>
      <c r="AR1260" t="s">
        <v>167</v>
      </c>
      <c r="AS1260">
        <f>1.1</f>
        <v>1.1000000000000001</v>
      </c>
      <c r="AY1260" t="s">
        <v>158</v>
      </c>
      <c r="AZ1260" t="s">
        <v>158</v>
      </c>
      <c r="BA1260" t="s">
        <v>216</v>
      </c>
      <c r="BB1260" t="s">
        <v>158</v>
      </c>
      <c r="BC1260" t="s">
        <v>167</v>
      </c>
      <c r="BD1260" t="s">
        <v>167</v>
      </c>
      <c r="BE1260" t="s">
        <v>216</v>
      </c>
      <c r="BF1260" t="s">
        <v>167</v>
      </c>
      <c r="BG1260" t="s">
        <v>158</v>
      </c>
      <c r="BH1260" t="s">
        <v>167</v>
      </c>
      <c r="BI1260">
        <f>1</f>
        <v>1</v>
      </c>
      <c r="BK1260" t="s">
        <v>158</v>
      </c>
    </row>
    <row r="1261" spans="1:148" x14ac:dyDescent="0.25">
      <c r="A1261" t="s">
        <v>3767</v>
      </c>
      <c r="B1261" t="s">
        <v>148</v>
      </c>
      <c r="C1261" s="1">
        <v>45817</v>
      </c>
      <c r="D1261" t="s">
        <v>175</v>
      </c>
      <c r="E1261" t="s">
        <v>176</v>
      </c>
      <c r="F1261" t="s">
        <v>1637</v>
      </c>
      <c r="G1261" t="s">
        <v>2136</v>
      </c>
      <c r="H1261">
        <v>177</v>
      </c>
      <c r="I1261" t="s">
        <v>2136</v>
      </c>
      <c r="J1261">
        <v>831</v>
      </c>
      <c r="K1261" t="s">
        <v>5254</v>
      </c>
      <c r="L1261" t="s">
        <v>154</v>
      </c>
      <c r="M1261" t="s">
        <v>6709</v>
      </c>
      <c r="N1261" t="s">
        <v>2137</v>
      </c>
      <c r="O1261" t="s">
        <v>2138</v>
      </c>
      <c r="R1261">
        <f>1</f>
        <v>1</v>
      </c>
      <c r="S1261">
        <f>19.1</f>
        <v>19.100000000000001</v>
      </c>
      <c r="T1261">
        <f>7.2</f>
        <v>7.2</v>
      </c>
      <c r="U1261">
        <f>490</f>
        <v>490</v>
      </c>
      <c r="X1261">
        <f>0</f>
        <v>0</v>
      </c>
      <c r="Y1261" t="s">
        <v>157</v>
      </c>
      <c r="Z1261">
        <f>0</f>
        <v>0</v>
      </c>
      <c r="AA1261" t="s">
        <v>158</v>
      </c>
      <c r="AB1261" t="s">
        <v>158</v>
      </c>
      <c r="AD1261">
        <f>0</f>
        <v>0</v>
      </c>
      <c r="AE1261">
        <f>0</f>
        <v>0</v>
      </c>
      <c r="AH1261" t="s">
        <v>157</v>
      </c>
      <c r="AI1261" t="s">
        <v>238</v>
      </c>
      <c r="AL1261" t="s">
        <v>164</v>
      </c>
      <c r="AM1261" t="s">
        <v>165</v>
      </c>
      <c r="AN1261">
        <f>4.1</f>
        <v>4.0999999999999996</v>
      </c>
      <c r="AO1261">
        <f>0.08</f>
        <v>0.08</v>
      </c>
      <c r="AP1261">
        <f>3.5</f>
        <v>3.5</v>
      </c>
      <c r="AQ1261">
        <f>10</f>
        <v>10</v>
      </c>
      <c r="AR1261" t="s">
        <v>157</v>
      </c>
      <c r="AS1261">
        <f>7.1</f>
        <v>7.1</v>
      </c>
      <c r="AY1261" t="s">
        <v>167</v>
      </c>
      <c r="AZ1261" t="s">
        <v>158</v>
      </c>
      <c r="BA1261" t="s">
        <v>216</v>
      </c>
      <c r="BB1261" t="s">
        <v>158</v>
      </c>
      <c r="BC1261" t="s">
        <v>166</v>
      </c>
      <c r="BD1261" t="s">
        <v>167</v>
      </c>
      <c r="BE1261">
        <f>0.02</f>
        <v>0.02</v>
      </c>
      <c r="BF1261" t="s">
        <v>168</v>
      </c>
      <c r="BG1261" t="s">
        <v>167</v>
      </c>
      <c r="BH1261">
        <f>1.2</f>
        <v>1.2</v>
      </c>
      <c r="BK1261">
        <f>0.56</f>
        <v>0.56000000000000005</v>
      </c>
      <c r="EL1261">
        <f>3.6</f>
        <v>3.6</v>
      </c>
      <c r="EM1261" t="s">
        <v>166</v>
      </c>
      <c r="EN1261">
        <f>1.7</f>
        <v>1.7</v>
      </c>
      <c r="EO1261">
        <f>0.39</f>
        <v>0.39</v>
      </c>
      <c r="ER1261">
        <f>5.7</f>
        <v>5.7</v>
      </c>
    </row>
    <row r="1262" spans="1:148" x14ac:dyDescent="0.25">
      <c r="A1262" t="s">
        <v>3768</v>
      </c>
      <c r="B1262" t="s">
        <v>268</v>
      </c>
      <c r="C1262" s="1">
        <v>45813</v>
      </c>
      <c r="D1262" t="s">
        <v>175</v>
      </c>
      <c r="E1262" t="s">
        <v>176</v>
      </c>
      <c r="F1262" t="s">
        <v>6615</v>
      </c>
      <c r="G1262" t="s">
        <v>5168</v>
      </c>
      <c r="H1262">
        <v>587</v>
      </c>
      <c r="I1262" t="s">
        <v>5168</v>
      </c>
      <c r="J1262">
        <v>703</v>
      </c>
      <c r="K1262" t="s">
        <v>5254</v>
      </c>
      <c r="L1262" t="s">
        <v>4947</v>
      </c>
      <c r="M1262" t="s">
        <v>6818</v>
      </c>
      <c r="N1262" t="s">
        <v>3769</v>
      </c>
      <c r="O1262" t="s">
        <v>3770</v>
      </c>
      <c r="R1262">
        <f>1</f>
        <v>1</v>
      </c>
      <c r="S1262">
        <f>16.9</f>
        <v>16.899999999999999</v>
      </c>
      <c r="T1262">
        <f>7.4</f>
        <v>7.4</v>
      </c>
      <c r="U1262">
        <f>488</f>
        <v>488</v>
      </c>
      <c r="V1262" t="s">
        <v>1723</v>
      </c>
      <c r="X1262">
        <f>0</f>
        <v>0</v>
      </c>
      <c r="Y1262" t="s">
        <v>157</v>
      </c>
      <c r="Z1262">
        <f>0</f>
        <v>0</v>
      </c>
      <c r="AA1262" t="s">
        <v>158</v>
      </c>
      <c r="AB1262" t="s">
        <v>158</v>
      </c>
      <c r="AD1262">
        <f>0</f>
        <v>0</v>
      </c>
      <c r="AE1262">
        <f>3</f>
        <v>3</v>
      </c>
      <c r="AH1262" t="s">
        <v>157</v>
      </c>
      <c r="AI1262" t="s">
        <v>238</v>
      </c>
      <c r="AL1262" t="s">
        <v>164</v>
      </c>
      <c r="AM1262" t="s">
        <v>165</v>
      </c>
      <c r="AN1262">
        <f>2.7</f>
        <v>2.7</v>
      </c>
      <c r="AO1262">
        <f>0.05</f>
        <v>0.05</v>
      </c>
      <c r="AP1262">
        <f>13</f>
        <v>13</v>
      </c>
      <c r="AQ1262">
        <f>16</f>
        <v>16</v>
      </c>
      <c r="AR1262" t="s">
        <v>157</v>
      </c>
      <c r="AS1262">
        <f>11</f>
        <v>11</v>
      </c>
      <c r="AY1262" t="s">
        <v>167</v>
      </c>
      <c r="AZ1262" t="s">
        <v>158</v>
      </c>
      <c r="BA1262" t="s">
        <v>216</v>
      </c>
      <c r="BB1262" t="s">
        <v>158</v>
      </c>
      <c r="BC1262" t="s">
        <v>166</v>
      </c>
      <c r="BD1262" t="s">
        <v>167</v>
      </c>
      <c r="BE1262">
        <f>0.0013</f>
        <v>1.2999999999999999E-3</v>
      </c>
      <c r="BF1262" t="s">
        <v>168</v>
      </c>
      <c r="BG1262" t="s">
        <v>167</v>
      </c>
      <c r="BH1262">
        <f>1.3</f>
        <v>1.3</v>
      </c>
      <c r="BK1262">
        <f>0.51</f>
        <v>0.51</v>
      </c>
      <c r="EL1262" t="s">
        <v>157</v>
      </c>
      <c r="EM1262">
        <f>0.33</f>
        <v>0.33</v>
      </c>
      <c r="EN1262" t="s">
        <v>166</v>
      </c>
      <c r="EO1262">
        <f>0.3</f>
        <v>0.3</v>
      </c>
      <c r="ER1262">
        <f>0.63</f>
        <v>0.63</v>
      </c>
    </row>
    <row r="1263" spans="1:148" x14ac:dyDescent="0.25">
      <c r="A1263" t="s">
        <v>3771</v>
      </c>
      <c r="B1263" t="s">
        <v>148</v>
      </c>
      <c r="C1263" s="1">
        <v>45750</v>
      </c>
      <c r="D1263" t="s">
        <v>175</v>
      </c>
      <c r="E1263" t="s">
        <v>649</v>
      </c>
      <c r="F1263" t="s">
        <v>1191</v>
      </c>
      <c r="G1263" t="s">
        <v>2154</v>
      </c>
      <c r="H1263">
        <v>1683</v>
      </c>
      <c r="I1263" t="s">
        <v>2155</v>
      </c>
      <c r="J1263">
        <v>686</v>
      </c>
      <c r="K1263" t="s">
        <v>5254</v>
      </c>
      <c r="L1263" t="s">
        <v>431</v>
      </c>
      <c r="M1263" t="s">
        <v>5525</v>
      </c>
      <c r="N1263" t="s">
        <v>2156</v>
      </c>
      <c r="O1263" t="s">
        <v>2157</v>
      </c>
      <c r="R1263">
        <f>1</f>
        <v>1</v>
      </c>
      <c r="S1263">
        <f>9.1</f>
        <v>9.1</v>
      </c>
      <c r="T1263">
        <f>8.1</f>
        <v>8.1</v>
      </c>
      <c r="U1263">
        <f>390</f>
        <v>390</v>
      </c>
      <c r="V1263">
        <f>0.14</f>
        <v>0.14000000000000001</v>
      </c>
      <c r="X1263">
        <f>0</f>
        <v>0</v>
      </c>
      <c r="Y1263" t="s">
        <v>157</v>
      </c>
      <c r="Z1263">
        <f>0</f>
        <v>0</v>
      </c>
      <c r="AA1263" t="s">
        <v>158</v>
      </c>
      <c r="AB1263" t="s">
        <v>158</v>
      </c>
      <c r="AD1263">
        <f>0</f>
        <v>0</v>
      </c>
      <c r="AE1263">
        <f>0</f>
        <v>0</v>
      </c>
      <c r="AH1263" t="s">
        <v>157</v>
      </c>
    </row>
    <row r="1264" spans="1:148" x14ac:dyDescent="0.25">
      <c r="A1264" t="s">
        <v>3772</v>
      </c>
      <c r="B1264" t="s">
        <v>148</v>
      </c>
      <c r="C1264" s="1">
        <v>45806</v>
      </c>
      <c r="D1264" t="s">
        <v>175</v>
      </c>
      <c r="E1264" t="s">
        <v>176</v>
      </c>
      <c r="F1264" t="s">
        <v>556</v>
      </c>
      <c r="G1264" t="s">
        <v>2195</v>
      </c>
      <c r="H1264">
        <v>181</v>
      </c>
      <c r="I1264" t="s">
        <v>2195</v>
      </c>
      <c r="J1264">
        <v>632</v>
      </c>
      <c r="K1264" t="s">
        <v>5254</v>
      </c>
      <c r="L1264" t="s">
        <v>431</v>
      </c>
      <c r="M1264" t="s">
        <v>6059</v>
      </c>
      <c r="N1264" t="s">
        <v>6060</v>
      </c>
      <c r="O1264" t="s">
        <v>2196</v>
      </c>
      <c r="Q1264" t="s">
        <v>6312</v>
      </c>
      <c r="R1264">
        <f>1</f>
        <v>1</v>
      </c>
      <c r="S1264">
        <f>15.7</f>
        <v>15.7</v>
      </c>
      <c r="T1264">
        <f>7.5</f>
        <v>7.5</v>
      </c>
      <c r="U1264">
        <f>544</f>
        <v>544</v>
      </c>
      <c r="X1264">
        <f>0</f>
        <v>0</v>
      </c>
      <c r="Y1264" t="s">
        <v>157</v>
      </c>
      <c r="Z1264">
        <f>0</f>
        <v>0</v>
      </c>
      <c r="AA1264" t="s">
        <v>158</v>
      </c>
      <c r="AB1264" t="s">
        <v>158</v>
      </c>
      <c r="AD1264">
        <f>0</f>
        <v>0</v>
      </c>
      <c r="AE1264">
        <f>0</f>
        <v>0</v>
      </c>
      <c r="AH1264" t="s">
        <v>157</v>
      </c>
    </row>
    <row r="1265" spans="1:149" x14ac:dyDescent="0.25">
      <c r="A1265" t="s">
        <v>3773</v>
      </c>
      <c r="B1265" t="s">
        <v>148</v>
      </c>
      <c r="C1265" s="1">
        <v>45810</v>
      </c>
      <c r="D1265" t="s">
        <v>175</v>
      </c>
      <c r="E1265" t="s">
        <v>649</v>
      </c>
      <c r="F1265" t="s">
        <v>1652</v>
      </c>
      <c r="G1265" t="s">
        <v>1653</v>
      </c>
      <c r="H1265">
        <v>1355</v>
      </c>
      <c r="I1265" t="s">
        <v>1653</v>
      </c>
      <c r="J1265">
        <v>921</v>
      </c>
      <c r="K1265" t="s">
        <v>5257</v>
      </c>
      <c r="L1265" t="s">
        <v>431</v>
      </c>
      <c r="M1265" t="s">
        <v>5447</v>
      </c>
      <c r="N1265" t="s">
        <v>1654</v>
      </c>
      <c r="O1265" t="s">
        <v>1655</v>
      </c>
      <c r="Q1265" t="s">
        <v>6311</v>
      </c>
      <c r="R1265">
        <f>1</f>
        <v>1</v>
      </c>
      <c r="S1265">
        <f>15.7</f>
        <v>15.7</v>
      </c>
      <c r="T1265">
        <f>6.7</f>
        <v>6.7</v>
      </c>
      <c r="U1265">
        <f>88</f>
        <v>88</v>
      </c>
      <c r="V1265">
        <f>0.18</f>
        <v>0.18</v>
      </c>
      <c r="X1265">
        <f>0</f>
        <v>0</v>
      </c>
      <c r="Y1265" t="s">
        <v>157</v>
      </c>
      <c r="Z1265">
        <f>0</f>
        <v>0</v>
      </c>
      <c r="AA1265" t="s">
        <v>158</v>
      </c>
      <c r="AB1265" t="s">
        <v>158</v>
      </c>
      <c r="AC1265">
        <f>0</f>
        <v>0</v>
      </c>
      <c r="AD1265">
        <f>0</f>
        <v>0</v>
      </c>
      <c r="AE1265">
        <f>0</f>
        <v>0</v>
      </c>
      <c r="AH1265" t="s">
        <v>157</v>
      </c>
      <c r="AI1265" t="s">
        <v>238</v>
      </c>
      <c r="AL1265" t="s">
        <v>164</v>
      </c>
      <c r="AM1265" t="s">
        <v>165</v>
      </c>
      <c r="AN1265">
        <f>2.3</f>
        <v>2.2999999999999998</v>
      </c>
      <c r="AO1265">
        <f>0.05</f>
        <v>0.05</v>
      </c>
      <c r="AP1265">
        <f>4.6</f>
        <v>4.5999999999999996</v>
      </c>
      <c r="AQ1265">
        <f>1.8</f>
        <v>1.8</v>
      </c>
      <c r="AR1265" t="s">
        <v>157</v>
      </c>
      <c r="AS1265">
        <f>3.6</f>
        <v>3.6</v>
      </c>
      <c r="AY1265" t="s">
        <v>167</v>
      </c>
      <c r="AZ1265" t="s">
        <v>158</v>
      </c>
      <c r="BA1265" t="s">
        <v>216</v>
      </c>
      <c r="BB1265" t="s">
        <v>158</v>
      </c>
      <c r="BC1265" t="s">
        <v>166</v>
      </c>
      <c r="BD1265" t="s">
        <v>167</v>
      </c>
      <c r="BE1265">
        <f>0.0096</f>
        <v>9.5999999999999992E-3</v>
      </c>
      <c r="BF1265" t="s">
        <v>168</v>
      </c>
      <c r="BG1265" t="s">
        <v>167</v>
      </c>
      <c r="BH1265">
        <f>2</f>
        <v>2</v>
      </c>
      <c r="BI1265">
        <f>0.22</f>
        <v>0.22</v>
      </c>
      <c r="BK1265">
        <f>0.028</f>
        <v>2.8000000000000001E-2</v>
      </c>
      <c r="EL1265">
        <f>0.15</f>
        <v>0.15</v>
      </c>
      <c r="EM1265" t="s">
        <v>166</v>
      </c>
      <c r="EN1265">
        <f>0.36</f>
        <v>0.36</v>
      </c>
      <c r="EO1265">
        <f>0.58</f>
        <v>0.57999999999999996</v>
      </c>
      <c r="ER1265">
        <f>1.1</f>
        <v>1.1000000000000001</v>
      </c>
    </row>
    <row r="1266" spans="1:149" x14ac:dyDescent="0.25">
      <c r="A1266" t="s">
        <v>3774</v>
      </c>
      <c r="B1266" t="s">
        <v>148</v>
      </c>
      <c r="C1266" s="1">
        <v>45729</v>
      </c>
      <c r="D1266" t="s">
        <v>269</v>
      </c>
      <c r="E1266" t="s">
        <v>270</v>
      </c>
      <c r="F1266" t="s">
        <v>271</v>
      </c>
      <c r="G1266" t="s">
        <v>5148</v>
      </c>
      <c r="H1266">
        <v>1698</v>
      </c>
      <c r="I1266" t="s">
        <v>5149</v>
      </c>
      <c r="J1266">
        <v>1440</v>
      </c>
      <c r="K1266" t="s">
        <v>5257</v>
      </c>
      <c r="L1266" t="s">
        <v>393</v>
      </c>
      <c r="M1266" t="s">
        <v>5983</v>
      </c>
      <c r="N1266" t="s">
        <v>1657</v>
      </c>
      <c r="O1266" t="s">
        <v>1658</v>
      </c>
      <c r="R1266">
        <f>1</f>
        <v>1</v>
      </c>
      <c r="S1266">
        <f>9</f>
        <v>9</v>
      </c>
      <c r="T1266">
        <f>8.1</f>
        <v>8.1</v>
      </c>
      <c r="U1266">
        <f>302</f>
        <v>302</v>
      </c>
      <c r="V1266">
        <f>0.29</f>
        <v>0.28999999999999998</v>
      </c>
      <c r="X1266">
        <f>0</f>
        <v>0</v>
      </c>
      <c r="Y1266" t="s">
        <v>207</v>
      </c>
      <c r="Z1266">
        <f>0</f>
        <v>0</v>
      </c>
      <c r="AA1266" t="s">
        <v>158</v>
      </c>
      <c r="AB1266" t="s">
        <v>158</v>
      </c>
      <c r="AC1266">
        <f>0</f>
        <v>0</v>
      </c>
      <c r="AD1266">
        <f>0</f>
        <v>0</v>
      </c>
      <c r="AE1266">
        <f>0</f>
        <v>0</v>
      </c>
      <c r="AR1266" t="s">
        <v>209</v>
      </c>
      <c r="AS1266">
        <f>1.5</f>
        <v>1.5</v>
      </c>
      <c r="AY1266" t="s">
        <v>157</v>
      </c>
      <c r="AZ1266" t="s">
        <v>208</v>
      </c>
      <c r="BA1266">
        <f>0.0022</f>
        <v>2.2000000000000001E-3</v>
      </c>
      <c r="BB1266">
        <f>12</f>
        <v>12</v>
      </c>
      <c r="BC1266" t="s">
        <v>209</v>
      </c>
      <c r="BD1266">
        <f>0.1</f>
        <v>0.1</v>
      </c>
      <c r="BE1266">
        <f>0.0044</f>
        <v>4.4000000000000003E-3</v>
      </c>
      <c r="BF1266" t="s">
        <v>168</v>
      </c>
      <c r="BG1266" t="s">
        <v>237</v>
      </c>
      <c r="BH1266" t="s">
        <v>157</v>
      </c>
      <c r="BK1266">
        <f>0.48</f>
        <v>0.48</v>
      </c>
    </row>
    <row r="1267" spans="1:149" x14ac:dyDescent="0.25">
      <c r="A1267" t="s">
        <v>3775</v>
      </c>
      <c r="B1267" t="s">
        <v>148</v>
      </c>
      <c r="C1267" s="1">
        <v>45715</v>
      </c>
      <c r="D1267" t="s">
        <v>311</v>
      </c>
      <c r="E1267" t="s">
        <v>312</v>
      </c>
      <c r="F1267" t="s">
        <v>4780</v>
      </c>
      <c r="G1267" t="s">
        <v>6654</v>
      </c>
      <c r="H1267">
        <v>1033</v>
      </c>
      <c r="I1267" t="s">
        <v>1666</v>
      </c>
      <c r="J1267">
        <v>1550</v>
      </c>
      <c r="K1267" t="s">
        <v>5257</v>
      </c>
      <c r="L1267" t="s">
        <v>4775</v>
      </c>
      <c r="M1267" t="s">
        <v>1667</v>
      </c>
      <c r="N1267" t="s">
        <v>1668</v>
      </c>
      <c r="O1267" t="s">
        <v>1669</v>
      </c>
      <c r="R1267">
        <f>1</f>
        <v>1</v>
      </c>
      <c r="S1267">
        <f>7.9</f>
        <v>7.9</v>
      </c>
      <c r="T1267">
        <f>7.7</f>
        <v>7.7</v>
      </c>
      <c r="U1267">
        <f>269</f>
        <v>269</v>
      </c>
      <c r="X1267">
        <f>0</f>
        <v>0</v>
      </c>
      <c r="Y1267" t="s">
        <v>157</v>
      </c>
      <c r="Z1267">
        <f>0</f>
        <v>0</v>
      </c>
      <c r="AA1267" t="s">
        <v>158</v>
      </c>
      <c r="AB1267" t="s">
        <v>158</v>
      </c>
      <c r="AC1267">
        <f>0</f>
        <v>0</v>
      </c>
      <c r="AD1267">
        <f>0</f>
        <v>0</v>
      </c>
      <c r="AE1267">
        <f>0</f>
        <v>0</v>
      </c>
      <c r="AH1267" t="s">
        <v>157</v>
      </c>
    </row>
    <row r="1268" spans="1:149" x14ac:dyDescent="0.25">
      <c r="A1268" t="s">
        <v>3776</v>
      </c>
      <c r="B1268" t="s">
        <v>148</v>
      </c>
      <c r="C1268" s="1">
        <v>45824</v>
      </c>
      <c r="D1268" t="s">
        <v>269</v>
      </c>
      <c r="E1268" t="s">
        <v>270</v>
      </c>
      <c r="F1268" t="s">
        <v>271</v>
      </c>
      <c r="G1268" t="s">
        <v>1671</v>
      </c>
      <c r="H1268">
        <v>185</v>
      </c>
      <c r="I1268" t="s">
        <v>1671</v>
      </c>
      <c r="J1268">
        <v>1204</v>
      </c>
      <c r="K1268" t="s">
        <v>5257</v>
      </c>
      <c r="L1268" t="s">
        <v>726</v>
      </c>
      <c r="M1268" t="s">
        <v>5450</v>
      </c>
      <c r="N1268" t="s">
        <v>5987</v>
      </c>
      <c r="O1268" t="s">
        <v>1672</v>
      </c>
      <c r="R1268">
        <f>1</f>
        <v>1</v>
      </c>
      <c r="S1268">
        <f>14.2</f>
        <v>14.2</v>
      </c>
      <c r="T1268">
        <f>8.3</f>
        <v>8.3000000000000007</v>
      </c>
      <c r="U1268">
        <f>411</f>
        <v>411</v>
      </c>
      <c r="X1268">
        <f>0</f>
        <v>0</v>
      </c>
      <c r="Y1268">
        <f>0.31</f>
        <v>0.31</v>
      </c>
      <c r="Z1268">
        <f>0</f>
        <v>0</v>
      </c>
      <c r="AA1268">
        <f>32</f>
        <v>32</v>
      </c>
      <c r="AB1268" t="s">
        <v>158</v>
      </c>
      <c r="AD1268">
        <f>0</f>
        <v>0</v>
      </c>
      <c r="AE1268">
        <f>0</f>
        <v>0</v>
      </c>
      <c r="AH1268" t="s">
        <v>166</v>
      </c>
    </row>
    <row r="1269" spans="1:149" x14ac:dyDescent="0.25">
      <c r="A1269" t="s">
        <v>3777</v>
      </c>
      <c r="B1269" t="s">
        <v>148</v>
      </c>
      <c r="C1269" s="1">
        <v>45803</v>
      </c>
      <c r="D1269" t="s">
        <v>311</v>
      </c>
      <c r="E1269" t="s">
        <v>312</v>
      </c>
      <c r="F1269" t="s">
        <v>349</v>
      </c>
      <c r="G1269" t="s">
        <v>6656</v>
      </c>
      <c r="H1269">
        <v>848</v>
      </c>
      <c r="I1269" t="s">
        <v>4783</v>
      </c>
      <c r="J1269">
        <v>870</v>
      </c>
      <c r="K1269" t="s">
        <v>5257</v>
      </c>
      <c r="L1269" t="s">
        <v>431</v>
      </c>
      <c r="M1269" t="s">
        <v>6657</v>
      </c>
      <c r="N1269" t="s">
        <v>4784</v>
      </c>
      <c r="O1269" t="s">
        <v>1676</v>
      </c>
      <c r="R1269">
        <f>1</f>
        <v>1</v>
      </c>
      <c r="S1269">
        <f>12.5</f>
        <v>12.5</v>
      </c>
      <c r="T1269">
        <f>7.2</f>
        <v>7.2</v>
      </c>
      <c r="U1269">
        <f>94</f>
        <v>94</v>
      </c>
      <c r="X1269">
        <f>0</f>
        <v>0</v>
      </c>
      <c r="Y1269">
        <f>0.1</f>
        <v>0.1</v>
      </c>
      <c r="Z1269">
        <f>0</f>
        <v>0</v>
      </c>
      <c r="AA1269" t="s">
        <v>158</v>
      </c>
      <c r="AB1269" t="s">
        <v>158</v>
      </c>
      <c r="AD1269">
        <f>0</f>
        <v>0</v>
      </c>
      <c r="AE1269">
        <f>0</f>
        <v>0</v>
      </c>
      <c r="AH1269" t="s">
        <v>157</v>
      </c>
    </row>
    <row r="1270" spans="1:149" x14ac:dyDescent="0.25">
      <c r="A1270" t="s">
        <v>3778</v>
      </c>
      <c r="B1270" t="s">
        <v>148</v>
      </c>
      <c r="C1270" s="1">
        <v>45799</v>
      </c>
      <c r="D1270" t="s">
        <v>149</v>
      </c>
      <c r="E1270" t="s">
        <v>150</v>
      </c>
      <c r="F1270" t="s">
        <v>151</v>
      </c>
      <c r="G1270" t="s">
        <v>152</v>
      </c>
      <c r="H1270">
        <v>10</v>
      </c>
      <c r="I1270" t="s">
        <v>153</v>
      </c>
      <c r="J1270">
        <v>41336</v>
      </c>
      <c r="K1270" t="s">
        <v>5254</v>
      </c>
      <c r="L1270" t="s">
        <v>154</v>
      </c>
      <c r="M1270" t="s">
        <v>155</v>
      </c>
      <c r="N1270" t="s">
        <v>4693</v>
      </c>
      <c r="O1270" t="s">
        <v>156</v>
      </c>
      <c r="R1270">
        <f>1</f>
        <v>1</v>
      </c>
      <c r="S1270">
        <f>15.7</f>
        <v>15.7</v>
      </c>
      <c r="T1270">
        <f>7</f>
        <v>7</v>
      </c>
      <c r="U1270">
        <f>486</f>
        <v>486</v>
      </c>
      <c r="V1270">
        <f>0.05</f>
        <v>0.05</v>
      </c>
      <c r="X1270">
        <f>0</f>
        <v>0</v>
      </c>
      <c r="Y1270">
        <f>0.1</f>
        <v>0.1</v>
      </c>
      <c r="Z1270">
        <f>0</f>
        <v>0</v>
      </c>
      <c r="AA1270">
        <f>10</f>
        <v>10</v>
      </c>
      <c r="AB1270" t="s">
        <v>158</v>
      </c>
      <c r="AD1270">
        <f>0</f>
        <v>0</v>
      </c>
      <c r="AE1270">
        <f>0</f>
        <v>0</v>
      </c>
      <c r="AH1270" t="s">
        <v>157</v>
      </c>
      <c r="BL1270" t="s">
        <v>168</v>
      </c>
      <c r="BM1270" t="s">
        <v>168</v>
      </c>
      <c r="BN1270" t="s">
        <v>168</v>
      </c>
      <c r="BO1270" t="s">
        <v>168</v>
      </c>
      <c r="BP1270" t="s">
        <v>168</v>
      </c>
      <c r="BQ1270" t="s">
        <v>168</v>
      </c>
      <c r="BR1270" t="s">
        <v>168</v>
      </c>
      <c r="BS1270" t="s">
        <v>168</v>
      </c>
      <c r="BT1270" t="s">
        <v>216</v>
      </c>
      <c r="BU1270" t="s">
        <v>168</v>
      </c>
      <c r="BV1270" t="s">
        <v>209</v>
      </c>
      <c r="BW1270" t="s">
        <v>209</v>
      </c>
      <c r="BX1270" t="s">
        <v>209</v>
      </c>
      <c r="BY1270" t="s">
        <v>209</v>
      </c>
      <c r="BZ1270" t="s">
        <v>216</v>
      </c>
      <c r="CA1270" t="s">
        <v>216</v>
      </c>
      <c r="CB1270" t="s">
        <v>168</v>
      </c>
      <c r="CC1270" t="s">
        <v>168</v>
      </c>
      <c r="CD1270" t="s">
        <v>216</v>
      </c>
      <c r="CF1270">
        <f>0.034</f>
        <v>3.4000000000000002E-2</v>
      </c>
      <c r="CG1270" t="s">
        <v>168</v>
      </c>
      <c r="CH1270" t="s">
        <v>165</v>
      </c>
      <c r="CI1270" t="s">
        <v>216</v>
      </c>
      <c r="CJ1270" t="s">
        <v>216</v>
      </c>
      <c r="CK1270" t="s">
        <v>216</v>
      </c>
      <c r="CL1270" t="s">
        <v>216</v>
      </c>
      <c r="CM1270" t="s">
        <v>216</v>
      </c>
      <c r="CN1270" t="s">
        <v>216</v>
      </c>
      <c r="CP1270" t="s">
        <v>216</v>
      </c>
      <c r="CQ1270" t="s">
        <v>216</v>
      </c>
      <c r="CR1270" t="s">
        <v>216</v>
      </c>
      <c r="CS1270" t="s">
        <v>216</v>
      </c>
      <c r="CT1270" t="s">
        <v>216</v>
      </c>
      <c r="CU1270" t="s">
        <v>216</v>
      </c>
      <c r="CV1270" t="s">
        <v>216</v>
      </c>
      <c r="CW1270" t="s">
        <v>216</v>
      </c>
      <c r="CX1270" t="s">
        <v>216</v>
      </c>
      <c r="CY1270" t="s">
        <v>216</v>
      </c>
      <c r="CZ1270" t="s">
        <v>216</v>
      </c>
      <c r="DA1270" t="s">
        <v>168</v>
      </c>
      <c r="DB1270" t="s">
        <v>216</v>
      </c>
      <c r="DC1270" t="s">
        <v>216</v>
      </c>
      <c r="DD1270" t="s">
        <v>216</v>
      </c>
      <c r="DE1270" t="s">
        <v>168</v>
      </c>
      <c r="DF1270" t="s">
        <v>168</v>
      </c>
      <c r="DG1270" t="s">
        <v>216</v>
      </c>
      <c r="DH1270" t="s">
        <v>216</v>
      </c>
      <c r="DI1270" t="s">
        <v>216</v>
      </c>
      <c r="DJ1270" t="s">
        <v>216</v>
      </c>
      <c r="DK1270" t="s">
        <v>168</v>
      </c>
      <c r="DL1270" t="s">
        <v>216</v>
      </c>
      <c r="DM1270" t="s">
        <v>216</v>
      </c>
      <c r="DN1270" t="s">
        <v>216</v>
      </c>
      <c r="DO1270" t="s">
        <v>216</v>
      </c>
      <c r="DP1270" t="s">
        <v>168</v>
      </c>
      <c r="DQ1270" t="s">
        <v>216</v>
      </c>
      <c r="DR1270" t="s">
        <v>168</v>
      </c>
      <c r="DS1270" t="s">
        <v>168</v>
      </c>
      <c r="DT1270" t="s">
        <v>168</v>
      </c>
      <c r="DU1270" t="s">
        <v>168</v>
      </c>
      <c r="DV1270" t="s">
        <v>168</v>
      </c>
      <c r="DW1270" t="s">
        <v>168</v>
      </c>
      <c r="DX1270" t="s">
        <v>168</v>
      </c>
      <c r="DY1270" t="s">
        <v>168</v>
      </c>
      <c r="DZ1270" t="s">
        <v>209</v>
      </c>
      <c r="EA1270" t="s">
        <v>216</v>
      </c>
      <c r="EB1270" t="s">
        <v>168</v>
      </c>
      <c r="EC1270" t="s">
        <v>168</v>
      </c>
      <c r="EE1270" t="s">
        <v>168</v>
      </c>
    </row>
    <row r="1271" spans="1:149" x14ac:dyDescent="0.25">
      <c r="A1271" t="s">
        <v>3779</v>
      </c>
      <c r="B1271" t="s">
        <v>148</v>
      </c>
      <c r="C1271" s="1">
        <v>45813</v>
      </c>
      <c r="D1271" t="s">
        <v>149</v>
      </c>
      <c r="E1271" t="s">
        <v>150</v>
      </c>
      <c r="F1271" t="s">
        <v>151</v>
      </c>
      <c r="G1271" t="s">
        <v>152</v>
      </c>
      <c r="H1271">
        <v>10</v>
      </c>
      <c r="I1271" t="s">
        <v>153</v>
      </c>
      <c r="J1271">
        <v>41336</v>
      </c>
      <c r="K1271" t="s">
        <v>5254</v>
      </c>
      <c r="L1271" t="s">
        <v>154</v>
      </c>
      <c r="M1271" t="s">
        <v>5255</v>
      </c>
      <c r="N1271" t="s">
        <v>160</v>
      </c>
      <c r="O1271" t="s">
        <v>161</v>
      </c>
      <c r="R1271">
        <f>1</f>
        <v>1</v>
      </c>
      <c r="S1271">
        <f>16.1</f>
        <v>16.100000000000001</v>
      </c>
      <c r="T1271">
        <f>7.1</f>
        <v>7.1</v>
      </c>
      <c r="U1271">
        <f>495</f>
        <v>495</v>
      </c>
      <c r="V1271" t="s">
        <v>209</v>
      </c>
      <c r="X1271">
        <f>0</f>
        <v>0</v>
      </c>
      <c r="Y1271">
        <f>0.1</f>
        <v>0.1</v>
      </c>
      <c r="Z1271">
        <f>0</f>
        <v>0</v>
      </c>
      <c r="AA1271" t="s">
        <v>158</v>
      </c>
      <c r="AB1271" t="s">
        <v>158</v>
      </c>
      <c r="AD1271">
        <f>0</f>
        <v>0</v>
      </c>
      <c r="AE1271">
        <f>0</f>
        <v>0</v>
      </c>
      <c r="AH1271" t="s">
        <v>157</v>
      </c>
    </row>
    <row r="1272" spans="1:149" x14ac:dyDescent="0.25">
      <c r="A1272" t="s">
        <v>3780</v>
      </c>
      <c r="B1272" t="s">
        <v>268</v>
      </c>
      <c r="C1272" s="1">
        <v>45806</v>
      </c>
      <c r="D1272" t="s">
        <v>149</v>
      </c>
      <c r="E1272" t="s">
        <v>150</v>
      </c>
      <c r="F1272" t="s">
        <v>5770</v>
      </c>
      <c r="G1272" t="s">
        <v>170</v>
      </c>
      <c r="H1272">
        <v>1837</v>
      </c>
      <c r="I1272" t="s">
        <v>171</v>
      </c>
      <c r="J1272">
        <v>13800</v>
      </c>
      <c r="K1272" t="s">
        <v>5254</v>
      </c>
      <c r="M1272" t="s">
        <v>6808</v>
      </c>
      <c r="N1272" t="s">
        <v>6809</v>
      </c>
      <c r="O1272" t="s">
        <v>3250</v>
      </c>
      <c r="Q1272" t="s">
        <v>6475</v>
      </c>
      <c r="R1272">
        <f>1</f>
        <v>1</v>
      </c>
      <c r="S1272">
        <f>17.4</f>
        <v>17.399999999999999</v>
      </c>
      <c r="T1272">
        <f>6.9</f>
        <v>6.9</v>
      </c>
      <c r="U1272">
        <f>355</f>
        <v>355</v>
      </c>
      <c r="X1272">
        <f>0</f>
        <v>0</v>
      </c>
      <c r="Y1272">
        <f>0.1</f>
        <v>0.1</v>
      </c>
      <c r="Z1272">
        <f>0</f>
        <v>0</v>
      </c>
      <c r="AA1272" t="s">
        <v>158</v>
      </c>
      <c r="AB1272" t="s">
        <v>158</v>
      </c>
      <c r="AD1272">
        <f>0</f>
        <v>0</v>
      </c>
      <c r="AE1272">
        <f>0</f>
        <v>0</v>
      </c>
      <c r="AH1272" t="s">
        <v>157</v>
      </c>
      <c r="AI1272" t="s">
        <v>238</v>
      </c>
      <c r="AL1272" t="s">
        <v>164</v>
      </c>
      <c r="AM1272" t="s">
        <v>165</v>
      </c>
      <c r="AN1272">
        <f>13</f>
        <v>13</v>
      </c>
      <c r="AO1272">
        <f>0.26</f>
        <v>0.26</v>
      </c>
      <c r="AP1272">
        <f>16</f>
        <v>16</v>
      </c>
      <c r="AQ1272">
        <f>17</f>
        <v>17</v>
      </c>
      <c r="AR1272">
        <f>0.12</f>
        <v>0.12</v>
      </c>
      <c r="AS1272">
        <f>14</f>
        <v>14</v>
      </c>
      <c r="AY1272" t="s">
        <v>167</v>
      </c>
      <c r="AZ1272" t="s">
        <v>158</v>
      </c>
      <c r="BA1272">
        <f>0.026</f>
        <v>2.5999999999999999E-2</v>
      </c>
      <c r="BB1272" t="s">
        <v>158</v>
      </c>
      <c r="BC1272" t="s">
        <v>166</v>
      </c>
      <c r="BD1272" t="s">
        <v>167</v>
      </c>
      <c r="BE1272">
        <f>0.0023</f>
        <v>2.3E-3</v>
      </c>
      <c r="BF1272" t="s">
        <v>168</v>
      </c>
      <c r="BG1272" t="s">
        <v>167</v>
      </c>
      <c r="BH1272">
        <f>1.9</f>
        <v>1.9</v>
      </c>
      <c r="BK1272">
        <f>1.3</f>
        <v>1.3</v>
      </c>
      <c r="BL1272" t="s">
        <v>168</v>
      </c>
      <c r="BM1272" t="s">
        <v>168</v>
      </c>
      <c r="BN1272" t="s">
        <v>168</v>
      </c>
      <c r="BO1272" t="s">
        <v>168</v>
      </c>
      <c r="BP1272" t="s">
        <v>168</v>
      </c>
      <c r="BQ1272" t="s">
        <v>168</v>
      </c>
      <c r="BR1272" t="s">
        <v>168</v>
      </c>
      <c r="BS1272" t="s">
        <v>168</v>
      </c>
      <c r="BT1272" t="s">
        <v>216</v>
      </c>
      <c r="BU1272" t="s">
        <v>168</v>
      </c>
      <c r="BV1272" t="s">
        <v>209</v>
      </c>
      <c r="BW1272" t="s">
        <v>209</v>
      </c>
      <c r="BX1272" t="s">
        <v>209</v>
      </c>
      <c r="BY1272" t="s">
        <v>209</v>
      </c>
      <c r="BZ1272" t="s">
        <v>216</v>
      </c>
      <c r="CA1272" t="s">
        <v>216</v>
      </c>
      <c r="CB1272" t="s">
        <v>168</v>
      </c>
      <c r="CC1272" t="s">
        <v>168</v>
      </c>
      <c r="CD1272" t="s">
        <v>216</v>
      </c>
      <c r="CE1272" t="s">
        <v>209</v>
      </c>
      <c r="CF1272">
        <f>0.21</f>
        <v>0.21</v>
      </c>
      <c r="CG1272">
        <f>0.053</f>
        <v>5.2999999999999999E-2</v>
      </c>
      <c r="CH1272" t="s">
        <v>165</v>
      </c>
      <c r="CI1272" t="s">
        <v>216</v>
      </c>
      <c r="CJ1272" t="s">
        <v>216</v>
      </c>
      <c r="CK1272" t="s">
        <v>216</v>
      </c>
      <c r="CL1272" t="s">
        <v>216</v>
      </c>
      <c r="CM1272" t="s">
        <v>216</v>
      </c>
      <c r="CN1272" t="s">
        <v>216</v>
      </c>
      <c r="CO1272" t="s">
        <v>216</v>
      </c>
      <c r="CP1272" t="s">
        <v>216</v>
      </c>
      <c r="CQ1272" t="s">
        <v>216</v>
      </c>
      <c r="CR1272" t="s">
        <v>216</v>
      </c>
      <c r="CS1272" t="s">
        <v>216</v>
      </c>
      <c r="CT1272" t="s">
        <v>216</v>
      </c>
      <c r="CU1272" t="s">
        <v>216</v>
      </c>
      <c r="CV1272" t="s">
        <v>216</v>
      </c>
      <c r="CW1272" t="s">
        <v>216</v>
      </c>
      <c r="CX1272" t="s">
        <v>216</v>
      </c>
      <c r="CY1272" t="s">
        <v>216</v>
      </c>
      <c r="CZ1272" t="s">
        <v>216</v>
      </c>
      <c r="DA1272" t="s">
        <v>168</v>
      </c>
      <c r="DB1272" t="s">
        <v>216</v>
      </c>
      <c r="DC1272" t="s">
        <v>216</v>
      </c>
      <c r="DD1272" t="s">
        <v>216</v>
      </c>
      <c r="DE1272" t="s">
        <v>168</v>
      </c>
      <c r="DF1272" t="s">
        <v>168</v>
      </c>
      <c r="DG1272" t="s">
        <v>216</v>
      </c>
      <c r="DH1272" t="s">
        <v>216</v>
      </c>
      <c r="DI1272" t="s">
        <v>216</v>
      </c>
      <c r="DJ1272" t="s">
        <v>216</v>
      </c>
      <c r="DK1272" t="s">
        <v>168</v>
      </c>
      <c r="DL1272" t="s">
        <v>216</v>
      </c>
      <c r="DM1272" t="s">
        <v>216</v>
      </c>
      <c r="DN1272" t="s">
        <v>216</v>
      </c>
      <c r="DO1272" t="s">
        <v>216</v>
      </c>
      <c r="DP1272" t="s">
        <v>168</v>
      </c>
      <c r="DQ1272" t="s">
        <v>216</v>
      </c>
      <c r="DR1272" t="s">
        <v>168</v>
      </c>
      <c r="DS1272" t="s">
        <v>168</v>
      </c>
      <c r="DT1272" t="s">
        <v>168</v>
      </c>
      <c r="DU1272" t="s">
        <v>168</v>
      </c>
      <c r="DV1272" t="s">
        <v>168</v>
      </c>
      <c r="DW1272" t="s">
        <v>168</v>
      </c>
      <c r="DX1272" t="s">
        <v>168</v>
      </c>
      <c r="DY1272" t="s">
        <v>168</v>
      </c>
      <c r="DZ1272" t="s">
        <v>209</v>
      </c>
      <c r="EA1272" t="s">
        <v>216</v>
      </c>
      <c r="EB1272" t="s">
        <v>168</v>
      </c>
      <c r="EC1272" t="s">
        <v>168</v>
      </c>
      <c r="ED1272" t="s">
        <v>209</v>
      </c>
      <c r="EE1272" t="s">
        <v>168</v>
      </c>
      <c r="EL1272">
        <f>0.18</f>
        <v>0.18</v>
      </c>
      <c r="EM1272">
        <f>0.75</f>
        <v>0.75</v>
      </c>
      <c r="EN1272">
        <f>0.33</f>
        <v>0.33</v>
      </c>
      <c r="EO1272">
        <f>0.67</f>
        <v>0.67</v>
      </c>
      <c r="ER1272">
        <f>1.9</f>
        <v>1.9</v>
      </c>
    </row>
    <row r="1273" spans="1:149" x14ac:dyDescent="0.25">
      <c r="A1273" t="s">
        <v>3781</v>
      </c>
      <c r="B1273" t="s">
        <v>148</v>
      </c>
      <c r="C1273" s="1">
        <v>45790</v>
      </c>
      <c r="D1273" t="s">
        <v>149</v>
      </c>
      <c r="E1273" t="s">
        <v>150</v>
      </c>
      <c r="F1273" t="s">
        <v>5770</v>
      </c>
      <c r="G1273" t="s">
        <v>170</v>
      </c>
      <c r="H1273">
        <v>1837</v>
      </c>
      <c r="I1273" t="s">
        <v>171</v>
      </c>
      <c r="J1273">
        <v>13800</v>
      </c>
      <c r="K1273" t="s">
        <v>5254</v>
      </c>
      <c r="M1273" t="s">
        <v>172</v>
      </c>
      <c r="N1273" t="s">
        <v>5771</v>
      </c>
      <c r="O1273" t="s">
        <v>173</v>
      </c>
      <c r="Q1273" t="s">
        <v>6476</v>
      </c>
      <c r="R1273">
        <f>1</f>
        <v>1</v>
      </c>
      <c r="S1273">
        <f>15.5</f>
        <v>15.5</v>
      </c>
      <c r="T1273">
        <f>7</f>
        <v>7</v>
      </c>
      <c r="U1273">
        <f>368</f>
        <v>368</v>
      </c>
      <c r="V1273" t="s">
        <v>209</v>
      </c>
      <c r="X1273">
        <f>0</f>
        <v>0</v>
      </c>
      <c r="Y1273">
        <f>0.1</f>
        <v>0.1</v>
      </c>
      <c r="Z1273">
        <f>0</f>
        <v>0</v>
      </c>
      <c r="AA1273" t="s">
        <v>158</v>
      </c>
      <c r="AB1273" t="s">
        <v>158</v>
      </c>
      <c r="AD1273">
        <f>0</f>
        <v>0</v>
      </c>
      <c r="AE1273">
        <f>0</f>
        <v>0</v>
      </c>
      <c r="AH1273" t="s">
        <v>157</v>
      </c>
      <c r="EP1273" t="s">
        <v>157</v>
      </c>
      <c r="EQ1273">
        <f>0.17</f>
        <v>0.17</v>
      </c>
      <c r="ES1273" t="s">
        <v>166</v>
      </c>
    </row>
    <row r="1274" spans="1:149" x14ac:dyDescent="0.25">
      <c r="A1274" t="s">
        <v>3782</v>
      </c>
      <c r="B1274" t="s">
        <v>148</v>
      </c>
      <c r="C1274" s="1">
        <v>45810</v>
      </c>
      <c r="D1274" t="s">
        <v>175</v>
      </c>
      <c r="E1274" t="s">
        <v>176</v>
      </c>
      <c r="F1274" t="s">
        <v>177</v>
      </c>
      <c r="G1274" t="s">
        <v>178</v>
      </c>
      <c r="H1274">
        <v>36</v>
      </c>
      <c r="I1274" t="s">
        <v>179</v>
      </c>
      <c r="J1274">
        <v>20522</v>
      </c>
      <c r="K1274" t="s">
        <v>5254</v>
      </c>
      <c r="L1274" t="s">
        <v>180</v>
      </c>
      <c r="M1274" t="s">
        <v>3253</v>
      </c>
      <c r="N1274" t="s">
        <v>3254</v>
      </c>
      <c r="O1274" t="s">
        <v>3255</v>
      </c>
      <c r="R1274">
        <f>1</f>
        <v>1</v>
      </c>
      <c r="S1274">
        <f>14.3</f>
        <v>14.3</v>
      </c>
      <c r="T1274">
        <f>7.1</f>
        <v>7.1</v>
      </c>
      <c r="U1274">
        <f>446</f>
        <v>446</v>
      </c>
      <c r="X1274">
        <f>0</f>
        <v>0</v>
      </c>
      <c r="Y1274" t="s">
        <v>157</v>
      </c>
      <c r="Z1274">
        <f>0</f>
        <v>0</v>
      </c>
      <c r="AA1274" t="s">
        <v>158</v>
      </c>
      <c r="AB1274">
        <f>17</f>
        <v>17</v>
      </c>
      <c r="AD1274">
        <f>0</f>
        <v>0</v>
      </c>
      <c r="AE1274">
        <f>0</f>
        <v>0</v>
      </c>
      <c r="AH1274" t="s">
        <v>157</v>
      </c>
      <c r="AI1274" t="s">
        <v>238</v>
      </c>
      <c r="AL1274" t="s">
        <v>164</v>
      </c>
      <c r="AM1274" t="s">
        <v>165</v>
      </c>
      <c r="AN1274">
        <f>4.1</f>
        <v>4.0999999999999996</v>
      </c>
      <c r="AO1274">
        <f>0.08</f>
        <v>0.08</v>
      </c>
      <c r="AP1274">
        <f>15</f>
        <v>15</v>
      </c>
      <c r="AQ1274">
        <f>3.2</f>
        <v>3.2</v>
      </c>
      <c r="AR1274" t="s">
        <v>157</v>
      </c>
      <c r="AS1274">
        <f>2</f>
        <v>2</v>
      </c>
      <c r="AY1274" t="s">
        <v>167</v>
      </c>
      <c r="AZ1274" t="s">
        <v>158</v>
      </c>
      <c r="BA1274" t="s">
        <v>216</v>
      </c>
      <c r="BB1274" t="s">
        <v>158</v>
      </c>
      <c r="BC1274" t="s">
        <v>166</v>
      </c>
      <c r="BD1274" t="s">
        <v>167</v>
      </c>
      <c r="BE1274">
        <f>0.0024</f>
        <v>2.3999999999999998E-3</v>
      </c>
      <c r="BF1274" t="s">
        <v>168</v>
      </c>
      <c r="BG1274" t="s">
        <v>167</v>
      </c>
      <c r="BH1274">
        <f>1.5</f>
        <v>1.5</v>
      </c>
      <c r="BK1274">
        <f>0.89</f>
        <v>0.89</v>
      </c>
      <c r="BL1274" t="s">
        <v>168</v>
      </c>
      <c r="BM1274" t="s">
        <v>168</v>
      </c>
      <c r="BN1274" t="s">
        <v>168</v>
      </c>
      <c r="BO1274" t="s">
        <v>168</v>
      </c>
      <c r="BP1274" t="s">
        <v>168</v>
      </c>
      <c r="BQ1274" t="s">
        <v>168</v>
      </c>
      <c r="BR1274" t="s">
        <v>168</v>
      </c>
      <c r="BS1274" t="s">
        <v>168</v>
      </c>
      <c r="BT1274" t="s">
        <v>216</v>
      </c>
      <c r="BU1274" t="s">
        <v>168</v>
      </c>
      <c r="BV1274" t="s">
        <v>209</v>
      </c>
      <c r="BW1274" t="s">
        <v>209</v>
      </c>
      <c r="BX1274" t="s">
        <v>209</v>
      </c>
      <c r="BY1274" t="s">
        <v>209</v>
      </c>
      <c r="BZ1274" t="s">
        <v>216</v>
      </c>
      <c r="CA1274" t="s">
        <v>216</v>
      </c>
      <c r="CB1274" t="s">
        <v>168</v>
      </c>
      <c r="CC1274" t="s">
        <v>168</v>
      </c>
      <c r="CD1274" t="s">
        <v>216</v>
      </c>
      <c r="CE1274" t="s">
        <v>209</v>
      </c>
      <c r="CF1274" t="s">
        <v>168</v>
      </c>
      <c r="CG1274" t="s">
        <v>168</v>
      </c>
      <c r="CH1274" t="s">
        <v>165</v>
      </c>
      <c r="CI1274">
        <f>0.014</f>
        <v>1.4E-2</v>
      </c>
      <c r="CJ1274" t="s">
        <v>216</v>
      </c>
      <c r="CK1274" t="s">
        <v>216</v>
      </c>
      <c r="CL1274" t="s">
        <v>216</v>
      </c>
      <c r="CM1274" t="s">
        <v>216</v>
      </c>
      <c r="CN1274" t="s">
        <v>216</v>
      </c>
      <c r="CO1274" t="s">
        <v>216</v>
      </c>
      <c r="CP1274" t="s">
        <v>216</v>
      </c>
      <c r="CQ1274" t="s">
        <v>216</v>
      </c>
      <c r="CR1274">
        <f>0.015</f>
        <v>1.4999999999999999E-2</v>
      </c>
      <c r="CS1274" t="s">
        <v>216</v>
      </c>
      <c r="CT1274" t="s">
        <v>216</v>
      </c>
      <c r="CU1274" t="s">
        <v>216</v>
      </c>
      <c r="CV1274" t="s">
        <v>216</v>
      </c>
      <c r="CW1274" t="s">
        <v>216</v>
      </c>
      <c r="CX1274" t="s">
        <v>216</v>
      </c>
      <c r="CY1274" t="s">
        <v>216</v>
      </c>
      <c r="CZ1274" t="s">
        <v>216</v>
      </c>
      <c r="DA1274" t="s">
        <v>168</v>
      </c>
      <c r="DB1274" t="s">
        <v>216</v>
      </c>
      <c r="DC1274" t="s">
        <v>216</v>
      </c>
      <c r="DD1274" t="s">
        <v>216</v>
      </c>
      <c r="DE1274" t="s">
        <v>168</v>
      </c>
      <c r="DF1274" t="s">
        <v>168</v>
      </c>
      <c r="DG1274" t="s">
        <v>216</v>
      </c>
      <c r="DH1274" t="s">
        <v>216</v>
      </c>
      <c r="DI1274" t="s">
        <v>216</v>
      </c>
      <c r="DJ1274" t="s">
        <v>216</v>
      </c>
      <c r="DK1274" t="s">
        <v>168</v>
      </c>
      <c r="DL1274" t="s">
        <v>216</v>
      </c>
      <c r="DM1274" t="s">
        <v>216</v>
      </c>
      <c r="DN1274" t="s">
        <v>216</v>
      </c>
      <c r="DO1274" t="s">
        <v>216</v>
      </c>
      <c r="DP1274" t="s">
        <v>168</v>
      </c>
      <c r="DQ1274" t="s">
        <v>216</v>
      </c>
      <c r="DR1274" t="s">
        <v>168</v>
      </c>
      <c r="DS1274" t="s">
        <v>168</v>
      </c>
      <c r="DT1274" t="s">
        <v>168</v>
      </c>
      <c r="DU1274" t="s">
        <v>168</v>
      </c>
      <c r="DV1274" t="s">
        <v>168</v>
      </c>
      <c r="DW1274" t="s">
        <v>168</v>
      </c>
      <c r="DX1274" t="s">
        <v>168</v>
      </c>
      <c r="DY1274" t="s">
        <v>168</v>
      </c>
      <c r="DZ1274" t="s">
        <v>209</v>
      </c>
      <c r="EA1274" t="s">
        <v>216</v>
      </c>
      <c r="EB1274" t="s">
        <v>168</v>
      </c>
      <c r="EC1274" t="s">
        <v>168</v>
      </c>
      <c r="ED1274" t="s">
        <v>209</v>
      </c>
      <c r="EE1274" t="s">
        <v>168</v>
      </c>
    </row>
    <row r="1275" spans="1:149" x14ac:dyDescent="0.25">
      <c r="A1275" t="s">
        <v>3783</v>
      </c>
      <c r="B1275" t="s">
        <v>148</v>
      </c>
      <c r="C1275" s="1">
        <v>45814</v>
      </c>
      <c r="D1275" t="s">
        <v>175</v>
      </c>
      <c r="E1275" t="s">
        <v>176</v>
      </c>
      <c r="F1275" t="s">
        <v>177</v>
      </c>
      <c r="G1275" t="s">
        <v>178</v>
      </c>
      <c r="H1275">
        <v>36</v>
      </c>
      <c r="I1275" t="s">
        <v>179</v>
      </c>
      <c r="J1275">
        <v>20522</v>
      </c>
      <c r="K1275" t="s">
        <v>5254</v>
      </c>
      <c r="L1275" t="s">
        <v>180</v>
      </c>
      <c r="M1275" t="s">
        <v>181</v>
      </c>
      <c r="N1275" t="s">
        <v>182</v>
      </c>
      <c r="O1275" t="s">
        <v>183</v>
      </c>
      <c r="R1275">
        <f>1</f>
        <v>1</v>
      </c>
      <c r="S1275">
        <f>15.8</f>
        <v>15.8</v>
      </c>
      <c r="T1275">
        <f>7.5</f>
        <v>7.5</v>
      </c>
      <c r="U1275">
        <f>736</f>
        <v>736</v>
      </c>
      <c r="X1275">
        <f>0</f>
        <v>0</v>
      </c>
      <c r="Y1275" t="s">
        <v>157</v>
      </c>
      <c r="Z1275">
        <f>0</f>
        <v>0</v>
      </c>
      <c r="AA1275" t="s">
        <v>158</v>
      </c>
      <c r="AB1275" t="s">
        <v>158</v>
      </c>
      <c r="AD1275">
        <f>0</f>
        <v>0</v>
      </c>
      <c r="AE1275">
        <f>0</f>
        <v>0</v>
      </c>
      <c r="AH1275" t="s">
        <v>157</v>
      </c>
    </row>
    <row r="1276" spans="1:149" x14ac:dyDescent="0.25">
      <c r="A1276" t="s">
        <v>3784</v>
      </c>
      <c r="B1276" t="s">
        <v>148</v>
      </c>
      <c r="C1276" s="1">
        <v>45810</v>
      </c>
      <c r="D1276" t="s">
        <v>175</v>
      </c>
      <c r="E1276" t="s">
        <v>176</v>
      </c>
      <c r="F1276" t="s">
        <v>177</v>
      </c>
      <c r="G1276" t="s">
        <v>178</v>
      </c>
      <c r="H1276">
        <v>36</v>
      </c>
      <c r="I1276" t="s">
        <v>179</v>
      </c>
      <c r="J1276">
        <v>20522</v>
      </c>
      <c r="K1276" t="s">
        <v>5254</v>
      </c>
      <c r="L1276" t="s">
        <v>180</v>
      </c>
      <c r="M1276" t="s">
        <v>185</v>
      </c>
      <c r="N1276" t="s">
        <v>186</v>
      </c>
      <c r="O1276" t="s">
        <v>187</v>
      </c>
      <c r="R1276">
        <f>1</f>
        <v>1</v>
      </c>
      <c r="S1276">
        <f>14.7</f>
        <v>14.7</v>
      </c>
      <c r="T1276">
        <f>7.1</f>
        <v>7.1</v>
      </c>
      <c r="U1276">
        <f>510</f>
        <v>510</v>
      </c>
      <c r="X1276">
        <f>0</f>
        <v>0</v>
      </c>
      <c r="Y1276" t="s">
        <v>157</v>
      </c>
      <c r="Z1276">
        <f>0</f>
        <v>0</v>
      </c>
      <c r="AA1276" t="s">
        <v>158</v>
      </c>
      <c r="AB1276" t="s">
        <v>158</v>
      </c>
      <c r="AD1276">
        <f>0</f>
        <v>0</v>
      </c>
      <c r="AE1276">
        <f>0</f>
        <v>0</v>
      </c>
      <c r="AH1276" t="s">
        <v>157</v>
      </c>
    </row>
    <row r="1277" spans="1:149" x14ac:dyDescent="0.25">
      <c r="A1277" t="s">
        <v>3785</v>
      </c>
      <c r="B1277" t="s">
        <v>148</v>
      </c>
      <c r="C1277" s="1">
        <v>45805</v>
      </c>
      <c r="D1277" t="s">
        <v>189</v>
      </c>
      <c r="E1277" t="s">
        <v>190</v>
      </c>
      <c r="F1277" t="s">
        <v>4936</v>
      </c>
      <c r="G1277" t="s">
        <v>5090</v>
      </c>
      <c r="H1277">
        <v>172</v>
      </c>
      <c r="I1277" t="s">
        <v>5090</v>
      </c>
      <c r="J1277">
        <v>89433</v>
      </c>
      <c r="K1277" t="s">
        <v>5257</v>
      </c>
      <c r="L1277" t="s">
        <v>191</v>
      </c>
      <c r="M1277" t="s">
        <v>192</v>
      </c>
      <c r="N1277" t="s">
        <v>6522</v>
      </c>
      <c r="O1277" t="s">
        <v>193</v>
      </c>
      <c r="R1277">
        <f>1</f>
        <v>1</v>
      </c>
      <c r="S1277">
        <f>16.8</f>
        <v>16.8</v>
      </c>
      <c r="T1277">
        <f>7.7</f>
        <v>7.7</v>
      </c>
      <c r="U1277">
        <f>335</f>
        <v>335</v>
      </c>
      <c r="V1277">
        <f>0.24</f>
        <v>0.24</v>
      </c>
      <c r="X1277">
        <f>0</f>
        <v>0</v>
      </c>
      <c r="Y1277">
        <f>0.1</f>
        <v>0.1</v>
      </c>
      <c r="Z1277">
        <f>0</f>
        <v>0</v>
      </c>
      <c r="AA1277">
        <f>0</f>
        <v>0</v>
      </c>
      <c r="AB1277">
        <f>8</f>
        <v>8</v>
      </c>
      <c r="AC1277">
        <f>0</f>
        <v>0</v>
      </c>
      <c r="AD1277">
        <f>0</f>
        <v>0</v>
      </c>
      <c r="AE1277">
        <f>0</f>
        <v>0</v>
      </c>
      <c r="AH1277" t="s">
        <v>157</v>
      </c>
    </row>
    <row r="1278" spans="1:149" x14ac:dyDescent="0.25">
      <c r="A1278" t="s">
        <v>3786</v>
      </c>
      <c r="B1278" t="s">
        <v>148</v>
      </c>
      <c r="C1278" s="1">
        <v>45805</v>
      </c>
      <c r="D1278" t="s">
        <v>189</v>
      </c>
      <c r="E1278" t="s">
        <v>190</v>
      </c>
      <c r="F1278" t="s">
        <v>4936</v>
      </c>
      <c r="G1278" t="s">
        <v>5090</v>
      </c>
      <c r="H1278">
        <v>172</v>
      </c>
      <c r="I1278" t="s">
        <v>5090</v>
      </c>
      <c r="J1278">
        <v>89433</v>
      </c>
      <c r="K1278" t="s">
        <v>5257</v>
      </c>
      <c r="L1278" t="s">
        <v>191</v>
      </c>
      <c r="M1278" t="s">
        <v>195</v>
      </c>
      <c r="N1278" t="s">
        <v>6523</v>
      </c>
      <c r="O1278" t="s">
        <v>196</v>
      </c>
      <c r="R1278">
        <f>1</f>
        <v>1</v>
      </c>
      <c r="S1278">
        <f>20</f>
        <v>20</v>
      </c>
      <c r="T1278">
        <f>7.6</f>
        <v>7.6</v>
      </c>
      <c r="U1278">
        <f>334</f>
        <v>334</v>
      </c>
      <c r="X1278">
        <f>0</f>
        <v>0</v>
      </c>
      <c r="Y1278">
        <f>0.02</f>
        <v>0.02</v>
      </c>
      <c r="Z1278">
        <f>0</f>
        <v>0</v>
      </c>
      <c r="AA1278">
        <f>0</f>
        <v>0</v>
      </c>
      <c r="AB1278">
        <f>4</f>
        <v>4</v>
      </c>
      <c r="AC1278">
        <f>0</f>
        <v>0</v>
      </c>
      <c r="AD1278">
        <f>0</f>
        <v>0</v>
      </c>
      <c r="AE1278">
        <f>0</f>
        <v>0</v>
      </c>
      <c r="AH1278" t="s">
        <v>157</v>
      </c>
    </row>
    <row r="1279" spans="1:149" x14ac:dyDescent="0.25">
      <c r="A1279" t="s">
        <v>3787</v>
      </c>
      <c r="B1279" t="s">
        <v>148</v>
      </c>
      <c r="C1279" s="1">
        <v>45805</v>
      </c>
      <c r="D1279" t="s">
        <v>189</v>
      </c>
      <c r="E1279" t="s">
        <v>190</v>
      </c>
      <c r="F1279" t="s">
        <v>4936</v>
      </c>
      <c r="G1279" t="s">
        <v>5090</v>
      </c>
      <c r="H1279">
        <v>172</v>
      </c>
      <c r="I1279" t="s">
        <v>5090</v>
      </c>
      <c r="J1279">
        <v>89433</v>
      </c>
      <c r="K1279" t="s">
        <v>5257</v>
      </c>
      <c r="L1279" t="s">
        <v>191</v>
      </c>
      <c r="M1279" t="s">
        <v>198</v>
      </c>
      <c r="N1279" t="s">
        <v>199</v>
      </c>
      <c r="O1279" t="s">
        <v>200</v>
      </c>
      <c r="R1279">
        <f>1</f>
        <v>1</v>
      </c>
      <c r="S1279">
        <f>19.7</f>
        <v>19.7</v>
      </c>
      <c r="T1279">
        <f>7.6</f>
        <v>7.6</v>
      </c>
      <c r="U1279">
        <f>338</f>
        <v>338</v>
      </c>
      <c r="X1279">
        <f>0</f>
        <v>0</v>
      </c>
      <c r="Y1279">
        <f>0.05</f>
        <v>0.05</v>
      </c>
      <c r="Z1279">
        <f>0</f>
        <v>0</v>
      </c>
      <c r="AA1279">
        <f>0</f>
        <v>0</v>
      </c>
      <c r="AB1279">
        <f>3</f>
        <v>3</v>
      </c>
      <c r="AC1279">
        <f>0</f>
        <v>0</v>
      </c>
      <c r="AD1279">
        <f>0</f>
        <v>0</v>
      </c>
      <c r="AE1279">
        <f>0</f>
        <v>0</v>
      </c>
      <c r="AH1279" t="s">
        <v>157</v>
      </c>
    </row>
    <row r="1280" spans="1:149" x14ac:dyDescent="0.25">
      <c r="A1280" t="s">
        <v>3788</v>
      </c>
      <c r="B1280" t="s">
        <v>148</v>
      </c>
      <c r="C1280" s="1">
        <v>45805</v>
      </c>
      <c r="D1280" t="s">
        <v>189</v>
      </c>
      <c r="E1280" t="s">
        <v>190</v>
      </c>
      <c r="F1280" t="s">
        <v>4936</v>
      </c>
      <c r="G1280" t="s">
        <v>5090</v>
      </c>
      <c r="H1280">
        <v>172</v>
      </c>
      <c r="I1280" t="s">
        <v>5090</v>
      </c>
      <c r="J1280">
        <v>89433</v>
      </c>
      <c r="K1280" t="s">
        <v>5257</v>
      </c>
      <c r="L1280" t="s">
        <v>191</v>
      </c>
      <c r="M1280" t="s">
        <v>202</v>
      </c>
      <c r="N1280" t="s">
        <v>5091</v>
      </c>
      <c r="O1280" t="s">
        <v>203</v>
      </c>
      <c r="R1280">
        <f>1</f>
        <v>1</v>
      </c>
      <c r="S1280">
        <f>18.2</f>
        <v>18.2</v>
      </c>
      <c r="T1280">
        <f>7.7</f>
        <v>7.7</v>
      </c>
      <c r="U1280">
        <f>334</f>
        <v>334</v>
      </c>
      <c r="V1280">
        <f>0.19</f>
        <v>0.19</v>
      </c>
      <c r="X1280">
        <f>0</f>
        <v>0</v>
      </c>
      <c r="Y1280">
        <f>0.09</f>
        <v>0.09</v>
      </c>
      <c r="Z1280">
        <f>0</f>
        <v>0</v>
      </c>
      <c r="AA1280">
        <f>5</f>
        <v>5</v>
      </c>
      <c r="AB1280">
        <f>7</f>
        <v>7</v>
      </c>
      <c r="AC1280">
        <f>0</f>
        <v>0</v>
      </c>
      <c r="AD1280">
        <f>0</f>
        <v>0</v>
      </c>
      <c r="AE1280">
        <f>0</f>
        <v>0</v>
      </c>
      <c r="AH1280" t="s">
        <v>157</v>
      </c>
    </row>
    <row r="1281" spans="1:148" x14ac:dyDescent="0.25">
      <c r="A1281" t="s">
        <v>3789</v>
      </c>
      <c r="B1281" t="s">
        <v>148</v>
      </c>
      <c r="C1281" s="1">
        <v>45805</v>
      </c>
      <c r="D1281" t="s">
        <v>189</v>
      </c>
      <c r="E1281" t="s">
        <v>190</v>
      </c>
      <c r="F1281" t="s">
        <v>4936</v>
      </c>
      <c r="G1281" t="s">
        <v>5090</v>
      </c>
      <c r="H1281">
        <v>172</v>
      </c>
      <c r="I1281" t="s">
        <v>5090</v>
      </c>
      <c r="J1281">
        <v>89433</v>
      </c>
      <c r="K1281" t="s">
        <v>5257</v>
      </c>
      <c r="L1281" t="s">
        <v>191</v>
      </c>
      <c r="M1281" t="s">
        <v>211</v>
      </c>
      <c r="N1281" t="s">
        <v>212</v>
      </c>
      <c r="O1281" t="s">
        <v>213</v>
      </c>
      <c r="Q1281" t="s">
        <v>6213</v>
      </c>
      <c r="R1281">
        <f>1</f>
        <v>1</v>
      </c>
      <c r="S1281">
        <f>18.2</f>
        <v>18.2</v>
      </c>
      <c r="T1281">
        <f>7.5</f>
        <v>7.5</v>
      </c>
      <c r="U1281">
        <f>333</f>
        <v>333</v>
      </c>
      <c r="V1281">
        <f>0.05</f>
        <v>0.05</v>
      </c>
      <c r="X1281">
        <f>0</f>
        <v>0</v>
      </c>
      <c r="Y1281">
        <f>0.07</f>
        <v>7.0000000000000007E-2</v>
      </c>
      <c r="Z1281">
        <f>0</f>
        <v>0</v>
      </c>
      <c r="AA1281">
        <f>0</f>
        <v>0</v>
      </c>
      <c r="AB1281">
        <f>11</f>
        <v>11</v>
      </c>
      <c r="AC1281">
        <f>0</f>
        <v>0</v>
      </c>
      <c r="AD1281">
        <f>0</f>
        <v>0</v>
      </c>
      <c r="AE1281">
        <f>0</f>
        <v>0</v>
      </c>
      <c r="AH1281" t="s">
        <v>157</v>
      </c>
    </row>
    <row r="1282" spans="1:148" x14ac:dyDescent="0.25">
      <c r="A1282" t="s">
        <v>3790</v>
      </c>
      <c r="B1282" t="s">
        <v>148</v>
      </c>
      <c r="C1282" s="1">
        <v>45805</v>
      </c>
      <c r="D1282" t="s">
        <v>189</v>
      </c>
      <c r="E1282" t="s">
        <v>190</v>
      </c>
      <c r="F1282" t="s">
        <v>4936</v>
      </c>
      <c r="G1282" t="s">
        <v>5090</v>
      </c>
      <c r="H1282">
        <v>172</v>
      </c>
      <c r="I1282" t="s">
        <v>5090</v>
      </c>
      <c r="J1282">
        <v>89433</v>
      </c>
      <c r="K1282" t="s">
        <v>5257</v>
      </c>
      <c r="L1282" t="s">
        <v>191</v>
      </c>
      <c r="M1282" t="s">
        <v>6525</v>
      </c>
      <c r="N1282" t="s">
        <v>6526</v>
      </c>
      <c r="O1282" t="s">
        <v>215</v>
      </c>
      <c r="R1282">
        <f>1</f>
        <v>1</v>
      </c>
      <c r="S1282">
        <f>16</f>
        <v>16</v>
      </c>
      <c r="T1282">
        <f>7.8</f>
        <v>7.8</v>
      </c>
      <c r="U1282">
        <f>336</f>
        <v>336</v>
      </c>
      <c r="V1282">
        <f>0.09</f>
        <v>0.09</v>
      </c>
      <c r="X1282">
        <f>0</f>
        <v>0</v>
      </c>
      <c r="Y1282">
        <f>0.21</f>
        <v>0.21</v>
      </c>
      <c r="Z1282">
        <f>0</f>
        <v>0</v>
      </c>
      <c r="AA1282">
        <f>0</f>
        <v>0</v>
      </c>
      <c r="AB1282">
        <f>4</f>
        <v>4</v>
      </c>
      <c r="AC1282">
        <f>0</f>
        <v>0</v>
      </c>
      <c r="AD1282">
        <f>0</f>
        <v>0</v>
      </c>
      <c r="AE1282">
        <f>0</f>
        <v>0</v>
      </c>
      <c r="AH1282" t="s">
        <v>157</v>
      </c>
    </row>
    <row r="1283" spans="1:148" x14ac:dyDescent="0.25">
      <c r="A1283" t="s">
        <v>3791</v>
      </c>
      <c r="B1283" t="s">
        <v>148</v>
      </c>
      <c r="C1283" s="1">
        <v>45805</v>
      </c>
      <c r="D1283" t="s">
        <v>189</v>
      </c>
      <c r="E1283" t="s">
        <v>190</v>
      </c>
      <c r="F1283" t="s">
        <v>4936</v>
      </c>
      <c r="G1283" t="s">
        <v>5090</v>
      </c>
      <c r="H1283">
        <v>172</v>
      </c>
      <c r="I1283" t="s">
        <v>5090</v>
      </c>
      <c r="J1283">
        <v>89433</v>
      </c>
      <c r="K1283" t="s">
        <v>5257</v>
      </c>
      <c r="L1283" t="s">
        <v>191</v>
      </c>
      <c r="M1283" t="s">
        <v>5772</v>
      </c>
      <c r="N1283" t="s">
        <v>219</v>
      </c>
      <c r="O1283" t="s">
        <v>220</v>
      </c>
      <c r="R1283">
        <f>1</f>
        <v>1</v>
      </c>
      <c r="S1283">
        <f>17.1</f>
        <v>17.100000000000001</v>
      </c>
      <c r="T1283">
        <f>7.8</f>
        <v>7.8</v>
      </c>
      <c r="U1283">
        <f>331</f>
        <v>331</v>
      </c>
      <c r="X1283">
        <f>0</f>
        <v>0</v>
      </c>
      <c r="Y1283">
        <f>0.11</f>
        <v>0.11</v>
      </c>
      <c r="Z1283">
        <f>0</f>
        <v>0</v>
      </c>
      <c r="AA1283">
        <f>2</f>
        <v>2</v>
      </c>
      <c r="AB1283">
        <f>7</f>
        <v>7</v>
      </c>
      <c r="AC1283">
        <f>0</f>
        <v>0</v>
      </c>
      <c r="AD1283">
        <f>0</f>
        <v>0</v>
      </c>
      <c r="AE1283">
        <f>0</f>
        <v>0</v>
      </c>
      <c r="AH1283" t="s">
        <v>157</v>
      </c>
    </row>
    <row r="1284" spans="1:148" x14ac:dyDescent="0.25">
      <c r="A1284" t="s">
        <v>3792</v>
      </c>
      <c r="B1284" t="s">
        <v>148</v>
      </c>
      <c r="C1284" s="1">
        <v>45805</v>
      </c>
      <c r="D1284" t="s">
        <v>189</v>
      </c>
      <c r="E1284" t="s">
        <v>190</v>
      </c>
      <c r="F1284" t="s">
        <v>4936</v>
      </c>
      <c r="G1284" t="s">
        <v>5090</v>
      </c>
      <c r="H1284">
        <v>172</v>
      </c>
      <c r="I1284" t="s">
        <v>5090</v>
      </c>
      <c r="J1284">
        <v>89433</v>
      </c>
      <c r="K1284" t="s">
        <v>5257</v>
      </c>
      <c r="L1284" t="s">
        <v>191</v>
      </c>
      <c r="M1284" t="s">
        <v>6177</v>
      </c>
      <c r="N1284" t="s">
        <v>6178</v>
      </c>
      <c r="O1284" t="s">
        <v>3271</v>
      </c>
      <c r="R1284">
        <f>1</f>
        <v>1</v>
      </c>
      <c r="S1284">
        <f>17.9</f>
        <v>17.899999999999999</v>
      </c>
      <c r="T1284">
        <f>7.6</f>
        <v>7.6</v>
      </c>
      <c r="U1284">
        <f>333</f>
        <v>333</v>
      </c>
      <c r="X1284">
        <f>0</f>
        <v>0</v>
      </c>
      <c r="Y1284">
        <f>0.02</f>
        <v>0.02</v>
      </c>
      <c r="Z1284">
        <f>0</f>
        <v>0</v>
      </c>
      <c r="AA1284">
        <f>0</f>
        <v>0</v>
      </c>
      <c r="AB1284">
        <f>4</f>
        <v>4</v>
      </c>
      <c r="AC1284">
        <f>0</f>
        <v>0</v>
      </c>
      <c r="AD1284">
        <f>0</f>
        <v>0</v>
      </c>
      <c r="AE1284">
        <f>0</f>
        <v>0</v>
      </c>
      <c r="AH1284" t="s">
        <v>157</v>
      </c>
    </row>
    <row r="1285" spans="1:148" x14ac:dyDescent="0.25">
      <c r="A1285" t="s">
        <v>3793</v>
      </c>
      <c r="B1285" t="s">
        <v>148</v>
      </c>
      <c r="C1285" s="1">
        <v>45803</v>
      </c>
      <c r="D1285" t="s">
        <v>222</v>
      </c>
      <c r="E1285" t="s">
        <v>223</v>
      </c>
      <c r="F1285" t="s">
        <v>224</v>
      </c>
      <c r="G1285" t="s">
        <v>225</v>
      </c>
      <c r="H1285">
        <v>366</v>
      </c>
      <c r="I1285" t="s">
        <v>225</v>
      </c>
      <c r="J1285">
        <v>8295</v>
      </c>
      <c r="K1285" t="s">
        <v>5257</v>
      </c>
      <c r="L1285" t="s">
        <v>191</v>
      </c>
      <c r="M1285" t="s">
        <v>6214</v>
      </c>
      <c r="N1285" t="s">
        <v>4912</v>
      </c>
      <c r="Q1285" t="s">
        <v>6298</v>
      </c>
      <c r="R1285">
        <f>1</f>
        <v>1</v>
      </c>
      <c r="S1285">
        <f>14</f>
        <v>14</v>
      </c>
      <c r="T1285">
        <f>8.1</f>
        <v>8.1</v>
      </c>
      <c r="U1285">
        <f>206</f>
        <v>206</v>
      </c>
      <c r="V1285">
        <f>0.18</f>
        <v>0.18</v>
      </c>
      <c r="X1285">
        <f>1</f>
        <v>1</v>
      </c>
      <c r="Y1285">
        <f>0.1</f>
        <v>0.1</v>
      </c>
      <c r="Z1285">
        <f>0</f>
        <v>0</v>
      </c>
      <c r="AA1285">
        <f>0</f>
        <v>0</v>
      </c>
      <c r="AB1285">
        <f>0</f>
        <v>0</v>
      </c>
      <c r="AC1285">
        <f>0</f>
        <v>0</v>
      </c>
      <c r="AD1285">
        <f>0</f>
        <v>0</v>
      </c>
      <c r="AE1285">
        <f>0</f>
        <v>0</v>
      </c>
      <c r="AH1285" t="s">
        <v>166</v>
      </c>
    </row>
    <row r="1286" spans="1:148" x14ac:dyDescent="0.25">
      <c r="A1286" t="s">
        <v>3794</v>
      </c>
      <c r="B1286" t="s">
        <v>148</v>
      </c>
      <c r="C1286" s="1">
        <v>45716</v>
      </c>
      <c r="D1286" t="s">
        <v>242</v>
      </c>
      <c r="E1286" t="s">
        <v>243</v>
      </c>
      <c r="F1286" t="s">
        <v>244</v>
      </c>
      <c r="G1286" t="s">
        <v>245</v>
      </c>
      <c r="H1286">
        <v>154</v>
      </c>
      <c r="I1286" t="s">
        <v>4695</v>
      </c>
      <c r="J1286">
        <v>54400</v>
      </c>
      <c r="K1286" t="s">
        <v>5257</v>
      </c>
      <c r="L1286" t="s">
        <v>246</v>
      </c>
      <c r="M1286" t="s">
        <v>5262</v>
      </c>
      <c r="N1286" t="s">
        <v>247</v>
      </c>
      <c r="O1286" t="s">
        <v>248</v>
      </c>
      <c r="R1286">
        <f>1</f>
        <v>1</v>
      </c>
      <c r="S1286">
        <f>14.2</f>
        <v>14.2</v>
      </c>
      <c r="T1286">
        <f>7.3</f>
        <v>7.3</v>
      </c>
      <c r="U1286">
        <f>609</f>
        <v>609</v>
      </c>
      <c r="V1286">
        <f>0.17</f>
        <v>0.17</v>
      </c>
      <c r="X1286">
        <f>0</f>
        <v>0</v>
      </c>
      <c r="Y1286" t="s">
        <v>157</v>
      </c>
      <c r="Z1286">
        <f>0</f>
        <v>0</v>
      </c>
      <c r="AA1286" t="s">
        <v>158</v>
      </c>
      <c r="AB1286" t="s">
        <v>158</v>
      </c>
      <c r="AC1286">
        <f>0</f>
        <v>0</v>
      </c>
      <c r="AD1286">
        <f>0</f>
        <v>0</v>
      </c>
      <c r="AE1286">
        <f>0</f>
        <v>0</v>
      </c>
      <c r="AH1286" t="s">
        <v>157</v>
      </c>
    </row>
    <row r="1287" spans="1:148" x14ac:dyDescent="0.25">
      <c r="A1287" t="s">
        <v>3795</v>
      </c>
      <c r="B1287" t="s">
        <v>148</v>
      </c>
      <c r="C1287" s="1">
        <v>45842</v>
      </c>
      <c r="D1287" t="s">
        <v>242</v>
      </c>
      <c r="E1287" t="s">
        <v>243</v>
      </c>
      <c r="F1287" t="s">
        <v>244</v>
      </c>
      <c r="G1287" t="s">
        <v>245</v>
      </c>
      <c r="H1287">
        <v>154</v>
      </c>
      <c r="I1287" t="s">
        <v>4695</v>
      </c>
      <c r="J1287">
        <v>54400</v>
      </c>
      <c r="K1287" t="s">
        <v>5257</v>
      </c>
      <c r="L1287" t="s">
        <v>246</v>
      </c>
      <c r="M1287" t="s">
        <v>6810</v>
      </c>
      <c r="N1287" t="s">
        <v>3273</v>
      </c>
      <c r="O1287" t="s">
        <v>3274</v>
      </c>
      <c r="R1287">
        <f>1</f>
        <v>1</v>
      </c>
      <c r="S1287">
        <f>20.9</f>
        <v>20.9</v>
      </c>
      <c r="T1287">
        <f>7</f>
        <v>7</v>
      </c>
      <c r="U1287">
        <f>594</f>
        <v>594</v>
      </c>
      <c r="V1287">
        <f>0.12</f>
        <v>0.12</v>
      </c>
      <c r="X1287">
        <f>0</f>
        <v>0</v>
      </c>
      <c r="Y1287" t="s">
        <v>157</v>
      </c>
      <c r="Z1287">
        <f>0</f>
        <v>0</v>
      </c>
      <c r="AA1287" t="s">
        <v>158</v>
      </c>
      <c r="AB1287" t="s">
        <v>158</v>
      </c>
      <c r="AC1287">
        <f>0</f>
        <v>0</v>
      </c>
      <c r="AD1287">
        <f>0</f>
        <v>0</v>
      </c>
      <c r="AE1287">
        <f>0</f>
        <v>0</v>
      </c>
      <c r="AH1287" t="s">
        <v>157</v>
      </c>
    </row>
    <row r="1288" spans="1:148" x14ac:dyDescent="0.25">
      <c r="A1288" t="s">
        <v>3796</v>
      </c>
      <c r="B1288" t="s">
        <v>148</v>
      </c>
      <c r="C1288" s="1">
        <v>45790</v>
      </c>
      <c r="D1288" t="s">
        <v>242</v>
      </c>
      <c r="E1288" t="s">
        <v>243</v>
      </c>
      <c r="F1288" t="s">
        <v>253</v>
      </c>
      <c r="G1288" t="s">
        <v>5774</v>
      </c>
      <c r="H1288">
        <v>209</v>
      </c>
      <c r="I1288" t="s">
        <v>254</v>
      </c>
      <c r="J1288">
        <v>17550</v>
      </c>
      <c r="K1288" t="s">
        <v>5257</v>
      </c>
      <c r="L1288" t="s">
        <v>255</v>
      </c>
      <c r="M1288" t="s">
        <v>6527</v>
      </c>
      <c r="N1288" t="s">
        <v>256</v>
      </c>
      <c r="O1288" t="s">
        <v>257</v>
      </c>
      <c r="R1288">
        <f>1</f>
        <v>1</v>
      </c>
      <c r="S1288">
        <f>14.5</f>
        <v>14.5</v>
      </c>
      <c r="T1288">
        <f>7.6</f>
        <v>7.6</v>
      </c>
      <c r="U1288">
        <f>439</f>
        <v>439</v>
      </c>
      <c r="V1288" t="s">
        <v>1723</v>
      </c>
      <c r="X1288">
        <f>0</f>
        <v>0</v>
      </c>
      <c r="Y1288">
        <f>0.1</f>
        <v>0.1</v>
      </c>
      <c r="Z1288">
        <f>0</f>
        <v>0</v>
      </c>
      <c r="AA1288" t="s">
        <v>158</v>
      </c>
      <c r="AB1288" t="s">
        <v>158</v>
      </c>
      <c r="AC1288">
        <f>0</f>
        <v>0</v>
      </c>
      <c r="AD1288">
        <f>0</f>
        <v>0</v>
      </c>
      <c r="AE1288">
        <f>0</f>
        <v>0</v>
      </c>
      <c r="AH1288" t="s">
        <v>157</v>
      </c>
    </row>
    <row r="1289" spans="1:148" x14ac:dyDescent="0.25">
      <c r="A1289" t="s">
        <v>3797</v>
      </c>
      <c r="B1289" t="s">
        <v>148</v>
      </c>
      <c r="C1289" s="1">
        <v>45824</v>
      </c>
      <c r="D1289" t="s">
        <v>242</v>
      </c>
      <c r="E1289" t="s">
        <v>243</v>
      </c>
      <c r="F1289" t="s">
        <v>253</v>
      </c>
      <c r="G1289" t="s">
        <v>5774</v>
      </c>
      <c r="H1289">
        <v>209</v>
      </c>
      <c r="I1289" t="s">
        <v>254</v>
      </c>
      <c r="J1289">
        <v>17550</v>
      </c>
      <c r="K1289" t="s">
        <v>5257</v>
      </c>
      <c r="L1289" t="s">
        <v>255</v>
      </c>
      <c r="M1289" t="s">
        <v>3276</v>
      </c>
      <c r="N1289" t="s">
        <v>6179</v>
      </c>
      <c r="O1289" t="s">
        <v>3277</v>
      </c>
      <c r="R1289">
        <f>1</f>
        <v>1</v>
      </c>
      <c r="S1289">
        <f>16.8</f>
        <v>16.8</v>
      </c>
      <c r="T1289">
        <f>7.5</f>
        <v>7.5</v>
      </c>
      <c r="U1289">
        <f>422</f>
        <v>422</v>
      </c>
      <c r="X1289">
        <f>0</f>
        <v>0</v>
      </c>
      <c r="Y1289" t="s">
        <v>157</v>
      </c>
      <c r="Z1289">
        <f>0</f>
        <v>0</v>
      </c>
      <c r="AA1289" t="s">
        <v>158</v>
      </c>
      <c r="AB1289" t="s">
        <v>158</v>
      </c>
      <c r="AC1289">
        <f>0</f>
        <v>0</v>
      </c>
      <c r="AD1289">
        <f>0</f>
        <v>0</v>
      </c>
      <c r="AE1289">
        <f>0</f>
        <v>0</v>
      </c>
      <c r="AH1289" t="s">
        <v>157</v>
      </c>
      <c r="AI1289" t="s">
        <v>238</v>
      </c>
      <c r="AL1289" t="s">
        <v>164</v>
      </c>
      <c r="AM1289" t="s">
        <v>165</v>
      </c>
      <c r="AN1289">
        <f>2.2</f>
        <v>2.2000000000000002</v>
      </c>
      <c r="AO1289">
        <f>0.04</f>
        <v>0.04</v>
      </c>
      <c r="AP1289">
        <f>25</f>
        <v>25</v>
      </c>
      <c r="AQ1289">
        <f>3.6</f>
        <v>3.6</v>
      </c>
      <c r="AR1289">
        <f>0.16</f>
        <v>0.16</v>
      </c>
      <c r="AS1289">
        <f>5</f>
        <v>5</v>
      </c>
      <c r="AY1289" t="s">
        <v>167</v>
      </c>
      <c r="AZ1289" t="s">
        <v>158</v>
      </c>
      <c r="BA1289">
        <f>0.022</f>
        <v>2.1999999999999999E-2</v>
      </c>
      <c r="BB1289" t="s">
        <v>158</v>
      </c>
      <c r="BC1289" t="s">
        <v>166</v>
      </c>
      <c r="BD1289" t="s">
        <v>167</v>
      </c>
      <c r="BE1289">
        <f>0.0018</f>
        <v>1.8E-3</v>
      </c>
      <c r="BF1289" t="s">
        <v>168</v>
      </c>
      <c r="BG1289" t="s">
        <v>167</v>
      </c>
      <c r="BH1289">
        <f>1.5</f>
        <v>1.5</v>
      </c>
      <c r="BK1289">
        <f>2.5</f>
        <v>2.5</v>
      </c>
      <c r="BL1289" t="s">
        <v>168</v>
      </c>
      <c r="BM1289" t="s">
        <v>168</v>
      </c>
      <c r="BN1289" t="s">
        <v>168</v>
      </c>
      <c r="BO1289" t="s">
        <v>168</v>
      </c>
      <c r="BP1289" t="s">
        <v>168</v>
      </c>
      <c r="BQ1289" t="s">
        <v>168</v>
      </c>
      <c r="BR1289" t="s">
        <v>168</v>
      </c>
      <c r="BS1289" t="s">
        <v>168</v>
      </c>
      <c r="BT1289" t="s">
        <v>216</v>
      </c>
      <c r="BU1289" t="s">
        <v>168</v>
      </c>
      <c r="BV1289" t="s">
        <v>209</v>
      </c>
      <c r="BW1289" t="s">
        <v>209</v>
      </c>
      <c r="BX1289" t="s">
        <v>209</v>
      </c>
      <c r="BY1289" t="s">
        <v>209</v>
      </c>
      <c r="BZ1289" t="s">
        <v>216</v>
      </c>
      <c r="CA1289" t="s">
        <v>216</v>
      </c>
      <c r="CB1289" t="s">
        <v>168</v>
      </c>
      <c r="CC1289" t="s">
        <v>168</v>
      </c>
      <c r="CD1289" t="s">
        <v>216</v>
      </c>
      <c r="CE1289" t="s">
        <v>209</v>
      </c>
      <c r="CF1289" t="s">
        <v>168</v>
      </c>
      <c r="CG1289" t="s">
        <v>168</v>
      </c>
      <c r="CH1289" t="s">
        <v>165</v>
      </c>
      <c r="CI1289" t="s">
        <v>216</v>
      </c>
      <c r="CJ1289" t="s">
        <v>216</v>
      </c>
      <c r="CK1289" t="s">
        <v>216</v>
      </c>
      <c r="CL1289" t="s">
        <v>216</v>
      </c>
      <c r="CM1289" t="s">
        <v>216</v>
      </c>
      <c r="CN1289" t="s">
        <v>216</v>
      </c>
      <c r="CO1289" t="s">
        <v>216</v>
      </c>
      <c r="CP1289" t="s">
        <v>216</v>
      </c>
      <c r="CQ1289" t="s">
        <v>216</v>
      </c>
      <c r="CR1289" t="s">
        <v>216</v>
      </c>
      <c r="CS1289" t="s">
        <v>216</v>
      </c>
      <c r="CT1289" t="s">
        <v>216</v>
      </c>
      <c r="CU1289" t="s">
        <v>216</v>
      </c>
      <c r="CV1289" t="s">
        <v>216</v>
      </c>
      <c r="CW1289" t="s">
        <v>216</v>
      </c>
      <c r="CX1289" t="s">
        <v>216</v>
      </c>
      <c r="CY1289" t="s">
        <v>216</v>
      </c>
      <c r="CZ1289" t="s">
        <v>216</v>
      </c>
      <c r="DA1289" t="s">
        <v>168</v>
      </c>
      <c r="DB1289" t="s">
        <v>216</v>
      </c>
      <c r="DC1289" t="s">
        <v>216</v>
      </c>
      <c r="DD1289" t="s">
        <v>216</v>
      </c>
      <c r="DE1289" t="s">
        <v>168</v>
      </c>
      <c r="DF1289" t="s">
        <v>168</v>
      </c>
      <c r="DG1289" t="s">
        <v>216</v>
      </c>
      <c r="DH1289" t="s">
        <v>216</v>
      </c>
      <c r="DI1289" t="s">
        <v>216</v>
      </c>
      <c r="DJ1289" t="s">
        <v>216</v>
      </c>
      <c r="DK1289" t="s">
        <v>168</v>
      </c>
      <c r="DL1289" t="s">
        <v>216</v>
      </c>
      <c r="DM1289" t="s">
        <v>216</v>
      </c>
      <c r="DN1289" t="s">
        <v>216</v>
      </c>
      <c r="DO1289" t="s">
        <v>216</v>
      </c>
      <c r="DP1289" t="s">
        <v>168</v>
      </c>
      <c r="DQ1289" t="s">
        <v>216</v>
      </c>
      <c r="DR1289" t="s">
        <v>168</v>
      </c>
      <c r="DS1289" t="s">
        <v>168</v>
      </c>
      <c r="DT1289" t="s">
        <v>168</v>
      </c>
      <c r="DU1289" t="s">
        <v>168</v>
      </c>
      <c r="DV1289" t="s">
        <v>168</v>
      </c>
      <c r="DW1289" t="s">
        <v>168</v>
      </c>
      <c r="DX1289" t="s">
        <v>168</v>
      </c>
      <c r="DY1289" t="s">
        <v>168</v>
      </c>
      <c r="DZ1289" t="s">
        <v>209</v>
      </c>
      <c r="EA1289" t="s">
        <v>216</v>
      </c>
      <c r="EB1289" t="s">
        <v>168</v>
      </c>
      <c r="EC1289" t="s">
        <v>168</v>
      </c>
      <c r="ED1289" t="s">
        <v>209</v>
      </c>
      <c r="EE1289" t="s">
        <v>168</v>
      </c>
      <c r="EL1289" t="s">
        <v>157</v>
      </c>
      <c r="EM1289">
        <f>0.35</f>
        <v>0.35</v>
      </c>
      <c r="EN1289">
        <f>0.28</f>
        <v>0.28000000000000003</v>
      </c>
      <c r="EO1289">
        <f>0.48</f>
        <v>0.48</v>
      </c>
      <c r="ER1289">
        <f>1.1</f>
        <v>1.1000000000000001</v>
      </c>
    </row>
    <row r="1290" spans="1:148" x14ac:dyDescent="0.25">
      <c r="A1290" t="s">
        <v>3798</v>
      </c>
      <c r="B1290" t="s">
        <v>148</v>
      </c>
      <c r="C1290" s="1">
        <v>45713</v>
      </c>
      <c r="D1290" t="s">
        <v>242</v>
      </c>
      <c r="E1290" t="s">
        <v>243</v>
      </c>
      <c r="F1290" t="s">
        <v>253</v>
      </c>
      <c r="G1290" t="s">
        <v>5774</v>
      </c>
      <c r="H1290">
        <v>212</v>
      </c>
      <c r="I1290" t="s">
        <v>6528</v>
      </c>
      <c r="J1290">
        <v>21905</v>
      </c>
      <c r="K1290" t="s">
        <v>5257</v>
      </c>
      <c r="L1290" t="s">
        <v>259</v>
      </c>
      <c r="M1290" t="s">
        <v>5775</v>
      </c>
      <c r="N1290" t="s">
        <v>5776</v>
      </c>
      <c r="O1290" t="s">
        <v>263</v>
      </c>
      <c r="R1290">
        <f>1</f>
        <v>1</v>
      </c>
      <c r="S1290">
        <f>8.8</f>
        <v>8.8000000000000007</v>
      </c>
      <c r="T1290">
        <f>8.1</f>
        <v>8.1</v>
      </c>
      <c r="U1290">
        <f>203</f>
        <v>203</v>
      </c>
      <c r="V1290">
        <f>0.12</f>
        <v>0.12</v>
      </c>
      <c r="X1290">
        <f>0</f>
        <v>0</v>
      </c>
      <c r="Y1290" t="s">
        <v>157</v>
      </c>
      <c r="Z1290">
        <f>0</f>
        <v>0</v>
      </c>
      <c r="AA1290" t="s">
        <v>158</v>
      </c>
      <c r="AB1290" t="s">
        <v>158</v>
      </c>
      <c r="AC1290">
        <f>0</f>
        <v>0</v>
      </c>
      <c r="AD1290">
        <f>0</f>
        <v>0</v>
      </c>
      <c r="AE1290">
        <f>0</f>
        <v>0</v>
      </c>
      <c r="AH1290" t="s">
        <v>157</v>
      </c>
      <c r="BB1290">
        <f>14</f>
        <v>14</v>
      </c>
    </row>
    <row r="1291" spans="1:148" x14ac:dyDescent="0.25">
      <c r="A1291" t="s">
        <v>3799</v>
      </c>
      <c r="B1291" t="s">
        <v>148</v>
      </c>
      <c r="C1291" s="1">
        <v>45713</v>
      </c>
      <c r="D1291" t="s">
        <v>242</v>
      </c>
      <c r="E1291" t="s">
        <v>243</v>
      </c>
      <c r="F1291" t="s">
        <v>253</v>
      </c>
      <c r="G1291" t="s">
        <v>5774</v>
      </c>
      <c r="H1291">
        <v>212</v>
      </c>
      <c r="I1291" t="s">
        <v>6528</v>
      </c>
      <c r="J1291">
        <v>21905</v>
      </c>
      <c r="K1291" t="s">
        <v>5257</v>
      </c>
      <c r="L1291" t="s">
        <v>259</v>
      </c>
      <c r="M1291" t="s">
        <v>3280</v>
      </c>
      <c r="N1291" t="s">
        <v>3281</v>
      </c>
      <c r="O1291" t="s">
        <v>3282</v>
      </c>
      <c r="Q1291" t="s">
        <v>6477</v>
      </c>
      <c r="R1291">
        <f>1</f>
        <v>1</v>
      </c>
      <c r="S1291">
        <f>8.3</f>
        <v>8.3000000000000007</v>
      </c>
      <c r="T1291">
        <f>8.1</f>
        <v>8.1</v>
      </c>
      <c r="U1291">
        <f>204</f>
        <v>204</v>
      </c>
      <c r="V1291">
        <f>0.07</f>
        <v>7.0000000000000007E-2</v>
      </c>
      <c r="X1291">
        <f>0</f>
        <v>0</v>
      </c>
      <c r="Y1291" t="s">
        <v>157</v>
      </c>
      <c r="Z1291">
        <f>0</f>
        <v>0</v>
      </c>
      <c r="AA1291" t="s">
        <v>158</v>
      </c>
      <c r="AB1291" t="s">
        <v>158</v>
      </c>
      <c r="AC1291">
        <f>0</f>
        <v>0</v>
      </c>
      <c r="AD1291">
        <f>0</f>
        <v>0</v>
      </c>
      <c r="AE1291">
        <f>0</f>
        <v>0</v>
      </c>
      <c r="AH1291" t="s">
        <v>157</v>
      </c>
      <c r="BB1291" t="s">
        <v>158</v>
      </c>
    </row>
    <row r="1292" spans="1:148" x14ac:dyDescent="0.25">
      <c r="A1292" t="s">
        <v>3800</v>
      </c>
      <c r="B1292" t="s">
        <v>148</v>
      </c>
      <c r="C1292" s="1">
        <v>45824</v>
      </c>
      <c r="D1292" t="s">
        <v>269</v>
      </c>
      <c r="E1292" t="s">
        <v>270</v>
      </c>
      <c r="F1292" t="s">
        <v>271</v>
      </c>
      <c r="G1292" t="s">
        <v>272</v>
      </c>
      <c r="H1292">
        <v>132</v>
      </c>
      <c r="I1292" t="s">
        <v>272</v>
      </c>
      <c r="J1292">
        <v>22721</v>
      </c>
      <c r="K1292" t="s">
        <v>5257</v>
      </c>
      <c r="L1292" t="s">
        <v>154</v>
      </c>
      <c r="M1292" t="s">
        <v>4696</v>
      </c>
      <c r="N1292" t="s">
        <v>273</v>
      </c>
      <c r="O1292" t="s">
        <v>274</v>
      </c>
      <c r="R1292">
        <f>1</f>
        <v>1</v>
      </c>
      <c r="S1292">
        <f>18.3</f>
        <v>18.3</v>
      </c>
      <c r="T1292">
        <f>7.6</f>
        <v>7.6</v>
      </c>
      <c r="U1292">
        <f>411</f>
        <v>411</v>
      </c>
      <c r="X1292">
        <f>0</f>
        <v>0</v>
      </c>
      <c r="Y1292">
        <f>0.22</f>
        <v>0.22</v>
      </c>
      <c r="Z1292">
        <f>0</f>
        <v>0</v>
      </c>
      <c r="AA1292" t="s">
        <v>158</v>
      </c>
      <c r="AB1292" t="s">
        <v>158</v>
      </c>
      <c r="AC1292">
        <f>0</f>
        <v>0</v>
      </c>
      <c r="AD1292">
        <f>0</f>
        <v>0</v>
      </c>
      <c r="AE1292">
        <f>0</f>
        <v>0</v>
      </c>
      <c r="AH1292" t="s">
        <v>166</v>
      </c>
    </row>
    <row r="1293" spans="1:148" x14ac:dyDescent="0.25">
      <c r="A1293" t="s">
        <v>3801</v>
      </c>
      <c r="B1293" t="s">
        <v>148</v>
      </c>
      <c r="C1293" s="1">
        <v>45719</v>
      </c>
      <c r="D1293" t="s">
        <v>269</v>
      </c>
      <c r="E1293" t="s">
        <v>270</v>
      </c>
      <c r="F1293" t="s">
        <v>271</v>
      </c>
      <c r="G1293" t="s">
        <v>272</v>
      </c>
      <c r="H1293">
        <v>132</v>
      </c>
      <c r="I1293" t="s">
        <v>272</v>
      </c>
      <c r="J1293">
        <v>22721</v>
      </c>
      <c r="K1293" t="s">
        <v>5257</v>
      </c>
      <c r="L1293" t="s">
        <v>154</v>
      </c>
      <c r="M1293" t="s">
        <v>3286</v>
      </c>
      <c r="N1293" t="s">
        <v>3287</v>
      </c>
      <c r="O1293" t="s">
        <v>3288</v>
      </c>
      <c r="R1293">
        <f>1</f>
        <v>1</v>
      </c>
      <c r="S1293">
        <f>9.3</f>
        <v>9.3000000000000007</v>
      </c>
      <c r="T1293">
        <f>7.6</f>
        <v>7.6</v>
      </c>
      <c r="U1293">
        <f>465</f>
        <v>465</v>
      </c>
      <c r="V1293">
        <f>0.15</f>
        <v>0.15</v>
      </c>
      <c r="X1293">
        <f>0</f>
        <v>0</v>
      </c>
      <c r="Y1293">
        <f>0.05</f>
        <v>0.05</v>
      </c>
      <c r="Z1293">
        <f>0</f>
        <v>0</v>
      </c>
      <c r="AA1293" t="s">
        <v>158</v>
      </c>
      <c r="AB1293">
        <f>10</f>
        <v>10</v>
      </c>
      <c r="AC1293">
        <f>0</f>
        <v>0</v>
      </c>
      <c r="AD1293">
        <f>0</f>
        <v>0</v>
      </c>
      <c r="AE1293">
        <f>0</f>
        <v>0</v>
      </c>
    </row>
    <row r="1294" spans="1:148" x14ac:dyDescent="0.25">
      <c r="A1294" t="s">
        <v>3802</v>
      </c>
      <c r="B1294" t="s">
        <v>148</v>
      </c>
      <c r="C1294" s="1">
        <v>45824</v>
      </c>
      <c r="D1294" t="s">
        <v>269</v>
      </c>
      <c r="E1294" t="s">
        <v>270</v>
      </c>
      <c r="F1294" t="s">
        <v>271</v>
      </c>
      <c r="G1294" t="s">
        <v>6529</v>
      </c>
      <c r="H1294">
        <v>592</v>
      </c>
      <c r="I1294" t="s">
        <v>6529</v>
      </c>
      <c r="J1294">
        <v>13513</v>
      </c>
      <c r="K1294" t="s">
        <v>5257</v>
      </c>
      <c r="L1294" t="s">
        <v>4940</v>
      </c>
      <c r="M1294" t="s">
        <v>5780</v>
      </c>
      <c r="N1294" t="s">
        <v>276</v>
      </c>
      <c r="O1294" t="s">
        <v>277</v>
      </c>
      <c r="R1294">
        <f>1</f>
        <v>1</v>
      </c>
      <c r="S1294">
        <f>18.9</f>
        <v>18.899999999999999</v>
      </c>
      <c r="T1294">
        <f>7.5</f>
        <v>7.5</v>
      </c>
      <c r="U1294">
        <f>396</f>
        <v>396</v>
      </c>
      <c r="X1294">
        <f>0</f>
        <v>0</v>
      </c>
      <c r="Y1294">
        <f>0.12</f>
        <v>0.12</v>
      </c>
      <c r="Z1294">
        <f>0</f>
        <v>0</v>
      </c>
      <c r="AA1294" t="s">
        <v>158</v>
      </c>
      <c r="AB1294" t="s">
        <v>158</v>
      </c>
      <c r="AC1294">
        <f>0</f>
        <v>0</v>
      </c>
      <c r="AD1294">
        <f>0</f>
        <v>0</v>
      </c>
      <c r="AE1294">
        <f>0</f>
        <v>0</v>
      </c>
      <c r="AG1294" t="s">
        <v>249</v>
      </c>
      <c r="AH1294" t="s">
        <v>166</v>
      </c>
      <c r="AT1294" t="s">
        <v>250</v>
      </c>
    </row>
    <row r="1295" spans="1:148" x14ac:dyDescent="0.25">
      <c r="A1295" t="s">
        <v>3803</v>
      </c>
      <c r="B1295" t="s">
        <v>148</v>
      </c>
      <c r="C1295" s="1">
        <v>45824</v>
      </c>
      <c r="D1295" t="s">
        <v>269</v>
      </c>
      <c r="E1295" t="s">
        <v>270</v>
      </c>
      <c r="F1295" t="s">
        <v>271</v>
      </c>
      <c r="G1295" t="s">
        <v>6529</v>
      </c>
      <c r="H1295">
        <v>592</v>
      </c>
      <c r="I1295" t="s">
        <v>6529</v>
      </c>
      <c r="J1295">
        <v>13513</v>
      </c>
      <c r="K1295" t="s">
        <v>5257</v>
      </c>
      <c r="L1295" t="s">
        <v>4940</v>
      </c>
      <c r="M1295" t="s">
        <v>5781</v>
      </c>
      <c r="N1295" t="s">
        <v>279</v>
      </c>
      <c r="O1295" t="s">
        <v>280</v>
      </c>
      <c r="R1295">
        <f>1</f>
        <v>1</v>
      </c>
      <c r="S1295">
        <f>21.8</f>
        <v>21.8</v>
      </c>
      <c r="T1295">
        <f>7.9</f>
        <v>7.9</v>
      </c>
      <c r="U1295">
        <f>400</f>
        <v>400</v>
      </c>
      <c r="V1295">
        <f>0.25</f>
        <v>0.25</v>
      </c>
      <c r="X1295">
        <f>0</f>
        <v>0</v>
      </c>
      <c r="Y1295" t="s">
        <v>207</v>
      </c>
      <c r="Z1295">
        <f>0</f>
        <v>0</v>
      </c>
      <c r="AA1295" t="s">
        <v>158</v>
      </c>
      <c r="AB1295" t="s">
        <v>158</v>
      </c>
      <c r="AC1295">
        <f>0</f>
        <v>0</v>
      </c>
      <c r="AD1295">
        <f>0</f>
        <v>0</v>
      </c>
      <c r="AE1295">
        <f>0</f>
        <v>0</v>
      </c>
      <c r="AH1295" t="s">
        <v>166</v>
      </c>
    </row>
    <row r="1296" spans="1:148" x14ac:dyDescent="0.25">
      <c r="A1296" t="s">
        <v>3804</v>
      </c>
      <c r="B1296" t="s">
        <v>148</v>
      </c>
      <c r="C1296" s="1">
        <v>45805</v>
      </c>
      <c r="D1296" t="s">
        <v>189</v>
      </c>
      <c r="E1296" t="s">
        <v>284</v>
      </c>
      <c r="F1296" t="s">
        <v>285</v>
      </c>
      <c r="G1296" t="s">
        <v>286</v>
      </c>
      <c r="H1296">
        <v>197</v>
      </c>
      <c r="I1296" t="s">
        <v>287</v>
      </c>
      <c r="J1296">
        <v>19851</v>
      </c>
      <c r="K1296" t="s">
        <v>5257</v>
      </c>
      <c r="L1296" t="s">
        <v>4943</v>
      </c>
      <c r="M1296" t="s">
        <v>288</v>
      </c>
      <c r="N1296" t="s">
        <v>6530</v>
      </c>
      <c r="O1296" t="s">
        <v>289</v>
      </c>
      <c r="R1296">
        <f>1</f>
        <v>1</v>
      </c>
      <c r="S1296">
        <f>15.3</f>
        <v>15.3</v>
      </c>
      <c r="T1296">
        <f>7.8</f>
        <v>7.8</v>
      </c>
      <c r="U1296">
        <f>325</f>
        <v>325</v>
      </c>
      <c r="V1296">
        <f>0.15</f>
        <v>0.15</v>
      </c>
      <c r="X1296">
        <f>0</f>
        <v>0</v>
      </c>
      <c r="Y1296">
        <f>0.02</f>
        <v>0.02</v>
      </c>
      <c r="Z1296">
        <f>0</f>
        <v>0</v>
      </c>
      <c r="AA1296">
        <f>0</f>
        <v>0</v>
      </c>
      <c r="AB1296">
        <f>7</f>
        <v>7</v>
      </c>
      <c r="AC1296">
        <f>0</f>
        <v>0</v>
      </c>
      <c r="AD1296">
        <f>0</f>
        <v>0</v>
      </c>
      <c r="AE1296">
        <f>0</f>
        <v>0</v>
      </c>
      <c r="AH1296" t="s">
        <v>157</v>
      </c>
      <c r="BB1296">
        <f>17</f>
        <v>17</v>
      </c>
    </row>
    <row r="1297" spans="1:150" x14ac:dyDescent="0.25">
      <c r="A1297" t="s">
        <v>3805</v>
      </c>
      <c r="B1297" t="s">
        <v>148</v>
      </c>
      <c r="C1297" s="1">
        <v>45800</v>
      </c>
      <c r="D1297" t="s">
        <v>242</v>
      </c>
      <c r="E1297" t="s">
        <v>295</v>
      </c>
      <c r="F1297" t="s">
        <v>4944</v>
      </c>
      <c r="G1297" t="s">
        <v>5092</v>
      </c>
      <c r="H1297">
        <v>316</v>
      </c>
      <c r="I1297" t="s">
        <v>5092</v>
      </c>
      <c r="J1297">
        <v>18031</v>
      </c>
      <c r="K1297" t="s">
        <v>5254</v>
      </c>
      <c r="L1297" t="s">
        <v>154</v>
      </c>
      <c r="M1297" t="s">
        <v>5782</v>
      </c>
      <c r="N1297" t="s">
        <v>4945</v>
      </c>
      <c r="O1297" t="s">
        <v>296</v>
      </c>
      <c r="R1297">
        <f>1</f>
        <v>1</v>
      </c>
      <c r="S1297">
        <f>16.4</f>
        <v>16.399999999999999</v>
      </c>
      <c r="T1297">
        <f>7.6</f>
        <v>7.6</v>
      </c>
      <c r="U1297">
        <f>345</f>
        <v>345</v>
      </c>
      <c r="V1297" t="s">
        <v>1723</v>
      </c>
      <c r="X1297">
        <f>0</f>
        <v>0</v>
      </c>
      <c r="Y1297">
        <f>0.09</f>
        <v>0.09</v>
      </c>
      <c r="Z1297">
        <f>0</f>
        <v>0</v>
      </c>
      <c r="AA1297" t="s">
        <v>158</v>
      </c>
      <c r="AB1297" t="s">
        <v>158</v>
      </c>
      <c r="AD1297">
        <f>0</f>
        <v>0</v>
      </c>
      <c r="AE1297">
        <f>0</f>
        <v>0</v>
      </c>
      <c r="AH1297" t="s">
        <v>166</v>
      </c>
    </row>
    <row r="1298" spans="1:150" x14ac:dyDescent="0.25">
      <c r="A1298" t="s">
        <v>3806</v>
      </c>
      <c r="B1298" t="s">
        <v>148</v>
      </c>
      <c r="C1298" s="1">
        <v>45824</v>
      </c>
      <c r="D1298" t="s">
        <v>269</v>
      </c>
      <c r="E1298" t="s">
        <v>270</v>
      </c>
      <c r="F1298" t="s">
        <v>6531</v>
      </c>
      <c r="G1298" t="s">
        <v>6532</v>
      </c>
      <c r="H1298">
        <v>796</v>
      </c>
      <c r="I1298" t="s">
        <v>6533</v>
      </c>
      <c r="J1298">
        <v>12713</v>
      </c>
      <c r="K1298" t="s">
        <v>5257</v>
      </c>
      <c r="L1298" t="s">
        <v>302</v>
      </c>
      <c r="M1298" t="s">
        <v>6536</v>
      </c>
      <c r="N1298" t="s">
        <v>6537</v>
      </c>
      <c r="O1298" t="s">
        <v>305</v>
      </c>
      <c r="R1298">
        <f>1</f>
        <v>1</v>
      </c>
      <c r="S1298">
        <f>19.9</f>
        <v>19.899999999999999</v>
      </c>
      <c r="T1298">
        <f>7.7</f>
        <v>7.7</v>
      </c>
      <c r="U1298">
        <f>356</f>
        <v>356</v>
      </c>
      <c r="W1298">
        <f>0.24</f>
        <v>0.24</v>
      </c>
      <c r="X1298">
        <f>0</f>
        <v>0</v>
      </c>
      <c r="Y1298" t="s">
        <v>207</v>
      </c>
      <c r="Z1298">
        <f>0</f>
        <v>0</v>
      </c>
      <c r="AA1298" t="s">
        <v>158</v>
      </c>
      <c r="AB1298" t="s">
        <v>158</v>
      </c>
      <c r="AC1298">
        <f>0</f>
        <v>0</v>
      </c>
      <c r="AD1298">
        <f>0</f>
        <v>0</v>
      </c>
      <c r="AE1298">
        <f>0</f>
        <v>0</v>
      </c>
      <c r="AH1298" t="s">
        <v>166</v>
      </c>
    </row>
    <row r="1299" spans="1:150" x14ac:dyDescent="0.25">
      <c r="A1299" t="s">
        <v>3807</v>
      </c>
      <c r="B1299" t="s">
        <v>148</v>
      </c>
      <c r="C1299" s="1">
        <v>45810</v>
      </c>
      <c r="D1299" t="s">
        <v>269</v>
      </c>
      <c r="E1299" t="s">
        <v>270</v>
      </c>
      <c r="F1299" t="s">
        <v>6531</v>
      </c>
      <c r="G1299" t="s">
        <v>6532</v>
      </c>
      <c r="H1299">
        <v>796</v>
      </c>
      <c r="I1299" t="s">
        <v>6533</v>
      </c>
      <c r="J1299">
        <v>12713</v>
      </c>
      <c r="K1299" t="s">
        <v>5257</v>
      </c>
      <c r="L1299" t="s">
        <v>302</v>
      </c>
      <c r="M1299" t="s">
        <v>307</v>
      </c>
      <c r="N1299" t="s">
        <v>308</v>
      </c>
      <c r="O1299" t="s">
        <v>309</v>
      </c>
      <c r="Q1299" t="s">
        <v>6478</v>
      </c>
      <c r="R1299">
        <f>1</f>
        <v>1</v>
      </c>
      <c r="S1299">
        <f>16.3</f>
        <v>16.3</v>
      </c>
      <c r="T1299">
        <f>7.8</f>
        <v>7.8</v>
      </c>
      <c r="U1299">
        <f>361</f>
        <v>361</v>
      </c>
      <c r="V1299">
        <f>0.21</f>
        <v>0.21</v>
      </c>
      <c r="X1299">
        <f>0</f>
        <v>0</v>
      </c>
      <c r="Y1299">
        <f>0.12</f>
        <v>0.12</v>
      </c>
      <c r="Z1299">
        <f>0</f>
        <v>0</v>
      </c>
      <c r="AA1299" t="s">
        <v>158</v>
      </c>
      <c r="AB1299" t="s">
        <v>158</v>
      </c>
      <c r="AC1299">
        <f>0</f>
        <v>0</v>
      </c>
      <c r="AD1299">
        <f>0</f>
        <v>0</v>
      </c>
      <c r="AE1299">
        <f>0</f>
        <v>0</v>
      </c>
      <c r="AH1299" t="s">
        <v>166</v>
      </c>
    </row>
    <row r="1300" spans="1:150" x14ac:dyDescent="0.25">
      <c r="A1300" t="s">
        <v>3808</v>
      </c>
      <c r="B1300" t="s">
        <v>148</v>
      </c>
      <c r="C1300" s="1">
        <v>45800</v>
      </c>
      <c r="D1300" t="s">
        <v>317</v>
      </c>
      <c r="E1300" t="s">
        <v>318</v>
      </c>
      <c r="F1300" t="s">
        <v>325</v>
      </c>
      <c r="G1300" t="s">
        <v>326</v>
      </c>
      <c r="H1300">
        <v>76</v>
      </c>
      <c r="I1300" t="s">
        <v>326</v>
      </c>
      <c r="J1300">
        <v>11982</v>
      </c>
      <c r="K1300" t="s">
        <v>5254</v>
      </c>
      <c r="L1300" t="s">
        <v>4947</v>
      </c>
      <c r="M1300" t="s">
        <v>5693</v>
      </c>
      <c r="N1300" t="s">
        <v>5694</v>
      </c>
      <c r="O1300" t="s">
        <v>3297</v>
      </c>
      <c r="Q1300" t="s">
        <v>329</v>
      </c>
      <c r="R1300">
        <f>1</f>
        <v>1</v>
      </c>
      <c r="S1300">
        <f>11.6</f>
        <v>11.6</v>
      </c>
      <c r="T1300">
        <f>7.8</f>
        <v>7.8</v>
      </c>
      <c r="U1300">
        <f>328</f>
        <v>328</v>
      </c>
      <c r="X1300">
        <f>0</f>
        <v>0</v>
      </c>
      <c r="Y1300" t="s">
        <v>157</v>
      </c>
      <c r="Z1300">
        <f>0</f>
        <v>0</v>
      </c>
      <c r="AA1300">
        <f>2</f>
        <v>2</v>
      </c>
      <c r="AB1300">
        <f>2</f>
        <v>2</v>
      </c>
      <c r="AD1300">
        <f>0</f>
        <v>0</v>
      </c>
      <c r="AE1300">
        <f>0</f>
        <v>0</v>
      </c>
      <c r="AH1300" t="s">
        <v>157</v>
      </c>
      <c r="AI1300" t="s">
        <v>167</v>
      </c>
      <c r="AL1300" t="s">
        <v>168</v>
      </c>
      <c r="AM1300" t="s">
        <v>216</v>
      </c>
      <c r="AN1300">
        <f>2.9</f>
        <v>2.9</v>
      </c>
      <c r="AO1300">
        <f>0.058</f>
        <v>5.8000000000000003E-2</v>
      </c>
      <c r="AP1300">
        <f>23</f>
        <v>23</v>
      </c>
      <c r="AQ1300">
        <f>1.1</f>
        <v>1.1000000000000001</v>
      </c>
      <c r="AR1300" t="s">
        <v>167</v>
      </c>
      <c r="AS1300">
        <f>0.98</f>
        <v>0.98</v>
      </c>
      <c r="AY1300" t="s">
        <v>158</v>
      </c>
      <c r="AZ1300" t="s">
        <v>158</v>
      </c>
      <c r="BA1300" t="s">
        <v>216</v>
      </c>
      <c r="BB1300" t="s">
        <v>158</v>
      </c>
      <c r="BC1300" t="s">
        <v>167</v>
      </c>
      <c r="BD1300" t="s">
        <v>167</v>
      </c>
      <c r="BE1300" t="s">
        <v>216</v>
      </c>
      <c r="BF1300" t="s">
        <v>167</v>
      </c>
      <c r="BG1300" t="s">
        <v>158</v>
      </c>
      <c r="BH1300" t="s">
        <v>167</v>
      </c>
      <c r="BK1300" t="s">
        <v>158</v>
      </c>
      <c r="EL1300">
        <f>2.4</f>
        <v>2.4</v>
      </c>
      <c r="EM1300" t="s">
        <v>251</v>
      </c>
      <c r="EN1300" t="s">
        <v>251</v>
      </c>
      <c r="EO1300" t="s">
        <v>251</v>
      </c>
      <c r="ER1300">
        <f>2.4</f>
        <v>2.4</v>
      </c>
    </row>
    <row r="1301" spans="1:150" x14ac:dyDescent="0.25">
      <c r="A1301" t="s">
        <v>3809</v>
      </c>
      <c r="B1301" t="s">
        <v>148</v>
      </c>
      <c r="C1301" s="1">
        <v>45784</v>
      </c>
      <c r="D1301" t="s">
        <v>311</v>
      </c>
      <c r="E1301" t="s">
        <v>312</v>
      </c>
      <c r="F1301" t="s">
        <v>4946</v>
      </c>
      <c r="G1301" t="s">
        <v>5093</v>
      </c>
      <c r="H1301">
        <v>798</v>
      </c>
      <c r="I1301" t="s">
        <v>313</v>
      </c>
      <c r="J1301">
        <v>18000</v>
      </c>
      <c r="K1301" t="s">
        <v>5257</v>
      </c>
      <c r="L1301" t="s">
        <v>314</v>
      </c>
      <c r="M1301" t="s">
        <v>5783</v>
      </c>
      <c r="N1301" t="s">
        <v>5094</v>
      </c>
      <c r="O1301" t="s">
        <v>315</v>
      </c>
      <c r="R1301">
        <f>1</f>
        <v>1</v>
      </c>
      <c r="S1301">
        <f>13.9</f>
        <v>13.9</v>
      </c>
      <c r="T1301">
        <f>7.8</f>
        <v>7.8</v>
      </c>
      <c r="U1301">
        <f>501</f>
        <v>501</v>
      </c>
      <c r="V1301" t="s">
        <v>209</v>
      </c>
      <c r="X1301">
        <f>0</f>
        <v>0</v>
      </c>
      <c r="Y1301" t="s">
        <v>157</v>
      </c>
      <c r="Z1301">
        <f>0</f>
        <v>0</v>
      </c>
      <c r="AA1301" t="s">
        <v>158</v>
      </c>
      <c r="AB1301" t="s">
        <v>158</v>
      </c>
      <c r="AC1301">
        <f>0</f>
        <v>0</v>
      </c>
      <c r="AD1301">
        <f>0</f>
        <v>0</v>
      </c>
      <c r="AE1301">
        <f>0</f>
        <v>0</v>
      </c>
      <c r="AH1301" t="s">
        <v>157</v>
      </c>
    </row>
    <row r="1302" spans="1:150" x14ac:dyDescent="0.25">
      <c r="A1302" t="s">
        <v>3810</v>
      </c>
      <c r="B1302" t="s">
        <v>148</v>
      </c>
      <c r="C1302" s="1">
        <v>45852</v>
      </c>
      <c r="D1302" t="s">
        <v>317</v>
      </c>
      <c r="E1302" t="s">
        <v>318</v>
      </c>
      <c r="F1302" t="s">
        <v>325</v>
      </c>
      <c r="G1302" t="s">
        <v>326</v>
      </c>
      <c r="H1302">
        <v>76</v>
      </c>
      <c r="I1302" t="s">
        <v>326</v>
      </c>
      <c r="J1302">
        <v>11982</v>
      </c>
      <c r="K1302" t="s">
        <v>5254</v>
      </c>
      <c r="L1302" t="s">
        <v>4947</v>
      </c>
      <c r="M1302" t="s">
        <v>5266</v>
      </c>
      <c r="N1302" t="s">
        <v>327</v>
      </c>
      <c r="O1302" t="s">
        <v>328</v>
      </c>
      <c r="Q1302" t="s">
        <v>329</v>
      </c>
      <c r="R1302">
        <f>1</f>
        <v>1</v>
      </c>
      <c r="S1302">
        <f>12.4</f>
        <v>12.4</v>
      </c>
      <c r="T1302">
        <f>7.9</f>
        <v>7.9</v>
      </c>
      <c r="U1302">
        <f>233</f>
        <v>233</v>
      </c>
      <c r="V1302" t="s">
        <v>209</v>
      </c>
      <c r="X1302">
        <f>0</f>
        <v>0</v>
      </c>
      <c r="Y1302" t="s">
        <v>157</v>
      </c>
      <c r="Z1302">
        <f>0</f>
        <v>0</v>
      </c>
      <c r="AA1302">
        <f>0</f>
        <v>0</v>
      </c>
      <c r="AB1302">
        <f>0</f>
        <v>0</v>
      </c>
      <c r="AD1302">
        <f>0</f>
        <v>0</v>
      </c>
      <c r="AE1302">
        <f>0</f>
        <v>0</v>
      </c>
      <c r="AH1302" t="s">
        <v>157</v>
      </c>
    </row>
    <row r="1303" spans="1:150" x14ac:dyDescent="0.25">
      <c r="A1303" t="s">
        <v>3811</v>
      </c>
      <c r="B1303" t="s">
        <v>148</v>
      </c>
      <c r="C1303" s="1">
        <v>45820</v>
      </c>
      <c r="D1303" t="s">
        <v>269</v>
      </c>
      <c r="E1303" t="s">
        <v>295</v>
      </c>
      <c r="F1303" t="s">
        <v>331</v>
      </c>
      <c r="G1303" t="s">
        <v>5784</v>
      </c>
      <c r="H1303">
        <v>145</v>
      </c>
      <c r="I1303" t="s">
        <v>5784</v>
      </c>
      <c r="J1303">
        <v>14477</v>
      </c>
      <c r="K1303" t="s">
        <v>5254</v>
      </c>
      <c r="L1303" t="s">
        <v>332</v>
      </c>
      <c r="M1303" t="s">
        <v>333</v>
      </c>
      <c r="N1303" t="s">
        <v>5267</v>
      </c>
      <c r="O1303" t="s">
        <v>334</v>
      </c>
      <c r="R1303">
        <f>1</f>
        <v>1</v>
      </c>
      <c r="S1303">
        <f>20.4</f>
        <v>20.399999999999999</v>
      </c>
      <c r="T1303">
        <f>7.5</f>
        <v>7.5</v>
      </c>
      <c r="U1303">
        <f>532</f>
        <v>532</v>
      </c>
      <c r="V1303" t="s">
        <v>1723</v>
      </c>
      <c r="X1303">
        <f>0</f>
        <v>0</v>
      </c>
      <c r="Y1303" t="s">
        <v>207</v>
      </c>
      <c r="Z1303">
        <f>0</f>
        <v>0</v>
      </c>
      <c r="AA1303" t="s">
        <v>158</v>
      </c>
      <c r="AB1303">
        <f>70</f>
        <v>70</v>
      </c>
      <c r="AD1303">
        <f>0</f>
        <v>0</v>
      </c>
      <c r="AE1303">
        <f>0</f>
        <v>0</v>
      </c>
      <c r="AH1303" t="s">
        <v>166</v>
      </c>
      <c r="AI1303">
        <f>0.36</f>
        <v>0.36</v>
      </c>
      <c r="AL1303" t="s">
        <v>216</v>
      </c>
      <c r="AM1303" t="s">
        <v>266</v>
      </c>
      <c r="AN1303">
        <f>14.5</f>
        <v>14.5</v>
      </c>
      <c r="AO1303">
        <f>0.29</f>
        <v>0.28999999999999998</v>
      </c>
      <c r="AP1303">
        <f>14</f>
        <v>14</v>
      </c>
      <c r="AQ1303">
        <f>15.1</f>
        <v>15.1</v>
      </c>
      <c r="AR1303">
        <f>0.084</f>
        <v>8.4000000000000005E-2</v>
      </c>
      <c r="AS1303">
        <f>11</f>
        <v>11</v>
      </c>
      <c r="AY1303">
        <f>0.66</f>
        <v>0.66</v>
      </c>
      <c r="AZ1303" t="s">
        <v>208</v>
      </c>
      <c r="BA1303">
        <f>0.014</f>
        <v>1.4E-2</v>
      </c>
      <c r="BB1303">
        <f>5.1</f>
        <v>5.0999999999999996</v>
      </c>
      <c r="BC1303" t="s">
        <v>209</v>
      </c>
      <c r="BD1303">
        <f>0.17</f>
        <v>0.17</v>
      </c>
      <c r="BE1303">
        <f>0.0027</f>
        <v>2.7000000000000001E-3</v>
      </c>
      <c r="BF1303" t="s">
        <v>168</v>
      </c>
      <c r="BG1303" t="s">
        <v>237</v>
      </c>
      <c r="BH1303">
        <f>0.14</f>
        <v>0.14000000000000001</v>
      </c>
      <c r="BK1303">
        <f>0.38</f>
        <v>0.38</v>
      </c>
      <c r="EL1303" t="s">
        <v>237</v>
      </c>
      <c r="EM1303">
        <f>1.3</f>
        <v>1.3</v>
      </c>
      <c r="EN1303" t="s">
        <v>300</v>
      </c>
      <c r="EO1303">
        <f>0.8</f>
        <v>0.8</v>
      </c>
      <c r="ER1303">
        <f>2.1</f>
        <v>2.1</v>
      </c>
    </row>
    <row r="1304" spans="1:150" x14ac:dyDescent="0.25">
      <c r="A1304" t="s">
        <v>3812</v>
      </c>
      <c r="B1304" t="s">
        <v>148</v>
      </c>
      <c r="C1304" s="1">
        <v>45840</v>
      </c>
      <c r="D1304" t="s">
        <v>269</v>
      </c>
      <c r="E1304" t="s">
        <v>295</v>
      </c>
      <c r="F1304" t="s">
        <v>331</v>
      </c>
      <c r="G1304" t="s">
        <v>5784</v>
      </c>
      <c r="H1304">
        <v>145</v>
      </c>
      <c r="I1304" t="s">
        <v>5784</v>
      </c>
      <c r="J1304">
        <v>14477</v>
      </c>
      <c r="K1304" t="s">
        <v>5254</v>
      </c>
      <c r="L1304" t="s">
        <v>332</v>
      </c>
      <c r="M1304" t="s">
        <v>5785</v>
      </c>
      <c r="N1304" t="s">
        <v>5268</v>
      </c>
      <c r="O1304" t="s">
        <v>336</v>
      </c>
      <c r="R1304">
        <f>1</f>
        <v>1</v>
      </c>
      <c r="S1304">
        <f>21.3</f>
        <v>21.3</v>
      </c>
      <c r="T1304">
        <f>7.7</f>
        <v>7.7</v>
      </c>
      <c r="U1304">
        <f>411</f>
        <v>411</v>
      </c>
      <c r="X1304">
        <f>0</f>
        <v>0</v>
      </c>
      <c r="Y1304">
        <f>0.11</f>
        <v>0.11</v>
      </c>
      <c r="Z1304">
        <f>0</f>
        <v>0</v>
      </c>
      <c r="AA1304" t="s">
        <v>158</v>
      </c>
      <c r="AB1304" t="s">
        <v>158</v>
      </c>
      <c r="AD1304">
        <f>0</f>
        <v>0</v>
      </c>
      <c r="AE1304">
        <f>0</f>
        <v>0</v>
      </c>
      <c r="AH1304" t="s">
        <v>166</v>
      </c>
    </row>
    <row r="1305" spans="1:150" x14ac:dyDescent="0.25">
      <c r="A1305" t="s">
        <v>3813</v>
      </c>
      <c r="B1305" t="s">
        <v>148</v>
      </c>
      <c r="C1305" s="1">
        <v>45761</v>
      </c>
      <c r="D1305" t="s">
        <v>317</v>
      </c>
      <c r="E1305" t="s">
        <v>318</v>
      </c>
      <c r="F1305" t="s">
        <v>338</v>
      </c>
      <c r="G1305" t="s">
        <v>5786</v>
      </c>
      <c r="H1305">
        <v>889</v>
      </c>
      <c r="I1305" t="s">
        <v>5787</v>
      </c>
      <c r="J1305">
        <v>10332</v>
      </c>
      <c r="K1305" t="s">
        <v>5254</v>
      </c>
      <c r="L1305" t="s">
        <v>180</v>
      </c>
      <c r="M1305" t="s">
        <v>5695</v>
      </c>
      <c r="N1305" t="s">
        <v>5696</v>
      </c>
      <c r="O1305" t="s">
        <v>3302</v>
      </c>
      <c r="Q1305" t="s">
        <v>329</v>
      </c>
      <c r="R1305">
        <f>1</f>
        <v>1</v>
      </c>
      <c r="S1305">
        <f>12</f>
        <v>12</v>
      </c>
      <c r="T1305">
        <f>8.1</f>
        <v>8.1</v>
      </c>
      <c r="U1305">
        <f>167</f>
        <v>167</v>
      </c>
      <c r="X1305">
        <f>0</f>
        <v>0</v>
      </c>
      <c r="Y1305" t="s">
        <v>157</v>
      </c>
      <c r="Z1305">
        <f>0</f>
        <v>0</v>
      </c>
      <c r="AA1305">
        <f>8</f>
        <v>8</v>
      </c>
      <c r="AB1305">
        <f>2</f>
        <v>2</v>
      </c>
      <c r="AD1305">
        <f>0</f>
        <v>0</v>
      </c>
      <c r="AE1305">
        <f>0</f>
        <v>0</v>
      </c>
      <c r="AH1305" t="s">
        <v>157</v>
      </c>
    </row>
    <row r="1306" spans="1:150" x14ac:dyDescent="0.25">
      <c r="A1306" t="s">
        <v>3814</v>
      </c>
      <c r="B1306" t="s">
        <v>148</v>
      </c>
      <c r="C1306" s="1">
        <v>45824</v>
      </c>
      <c r="D1306" t="s">
        <v>317</v>
      </c>
      <c r="E1306" t="s">
        <v>318</v>
      </c>
      <c r="F1306" t="s">
        <v>338</v>
      </c>
      <c r="G1306" t="s">
        <v>5786</v>
      </c>
      <c r="H1306">
        <v>889</v>
      </c>
      <c r="I1306" t="s">
        <v>5787</v>
      </c>
      <c r="J1306">
        <v>10332</v>
      </c>
      <c r="K1306" t="s">
        <v>5254</v>
      </c>
      <c r="L1306" t="s">
        <v>180</v>
      </c>
      <c r="M1306" t="s">
        <v>5271</v>
      </c>
      <c r="N1306" t="s">
        <v>5095</v>
      </c>
      <c r="O1306" t="s">
        <v>341</v>
      </c>
      <c r="Q1306" t="s">
        <v>329</v>
      </c>
      <c r="R1306">
        <f>1</f>
        <v>1</v>
      </c>
      <c r="S1306">
        <f>16.3</f>
        <v>16.3</v>
      </c>
      <c r="T1306">
        <f>7.9</f>
        <v>7.9</v>
      </c>
      <c r="U1306">
        <f>166</f>
        <v>166</v>
      </c>
      <c r="X1306">
        <f>0</f>
        <v>0</v>
      </c>
      <c r="Y1306" t="s">
        <v>157</v>
      </c>
      <c r="Z1306">
        <f>0</f>
        <v>0</v>
      </c>
      <c r="AA1306">
        <f>0</f>
        <v>0</v>
      </c>
      <c r="AB1306">
        <f>0</f>
        <v>0</v>
      </c>
      <c r="AD1306">
        <f>0</f>
        <v>0</v>
      </c>
      <c r="AE1306">
        <f>0</f>
        <v>0</v>
      </c>
      <c r="AH1306" t="s">
        <v>157</v>
      </c>
    </row>
    <row r="1307" spans="1:150" x14ac:dyDescent="0.25">
      <c r="A1307" t="s">
        <v>3815</v>
      </c>
      <c r="B1307" t="s">
        <v>148</v>
      </c>
      <c r="C1307" s="1">
        <v>45824</v>
      </c>
      <c r="D1307" t="s">
        <v>175</v>
      </c>
      <c r="E1307" t="s">
        <v>176</v>
      </c>
      <c r="F1307" t="s">
        <v>343</v>
      </c>
      <c r="G1307" t="s">
        <v>344</v>
      </c>
      <c r="H1307">
        <v>346</v>
      </c>
      <c r="I1307" t="s">
        <v>344</v>
      </c>
      <c r="J1307">
        <v>21617</v>
      </c>
      <c r="K1307" t="s">
        <v>5254</v>
      </c>
      <c r="L1307" t="s">
        <v>180</v>
      </c>
      <c r="M1307" t="s">
        <v>5697</v>
      </c>
      <c r="N1307" t="s">
        <v>6180</v>
      </c>
      <c r="O1307" t="s">
        <v>3304</v>
      </c>
      <c r="Q1307" t="s">
        <v>347</v>
      </c>
      <c r="R1307">
        <f>1</f>
        <v>1</v>
      </c>
      <c r="S1307">
        <f>15.5</f>
        <v>15.5</v>
      </c>
      <c r="T1307">
        <f>7.7</f>
        <v>7.7</v>
      </c>
      <c r="U1307">
        <f>267</f>
        <v>267</v>
      </c>
      <c r="X1307">
        <f>0</f>
        <v>0</v>
      </c>
      <c r="Y1307" t="s">
        <v>157</v>
      </c>
      <c r="Z1307">
        <f>0</f>
        <v>0</v>
      </c>
      <c r="AA1307">
        <f>1</f>
        <v>1</v>
      </c>
      <c r="AB1307">
        <f>0</f>
        <v>0</v>
      </c>
      <c r="AD1307">
        <f>0</f>
        <v>0</v>
      </c>
      <c r="AE1307">
        <f>0</f>
        <v>0</v>
      </c>
      <c r="AH1307" t="s">
        <v>157</v>
      </c>
    </row>
    <row r="1308" spans="1:150" x14ac:dyDescent="0.25">
      <c r="A1308" t="s">
        <v>3816</v>
      </c>
      <c r="B1308" t="s">
        <v>148</v>
      </c>
      <c r="C1308" s="1">
        <v>45793</v>
      </c>
      <c r="D1308" t="s">
        <v>175</v>
      </c>
      <c r="E1308" t="s">
        <v>176</v>
      </c>
      <c r="F1308" t="s">
        <v>343</v>
      </c>
      <c r="G1308" t="s">
        <v>344</v>
      </c>
      <c r="H1308">
        <v>346</v>
      </c>
      <c r="I1308" t="s">
        <v>344</v>
      </c>
      <c r="J1308">
        <v>21617</v>
      </c>
      <c r="K1308" t="s">
        <v>5254</v>
      </c>
      <c r="L1308" t="s">
        <v>180</v>
      </c>
      <c r="M1308" t="s">
        <v>5272</v>
      </c>
      <c r="N1308" t="s">
        <v>345</v>
      </c>
      <c r="O1308" t="s">
        <v>346</v>
      </c>
      <c r="Q1308" t="s">
        <v>347</v>
      </c>
      <c r="R1308">
        <f>1</f>
        <v>1</v>
      </c>
      <c r="S1308">
        <f>14.5</f>
        <v>14.5</v>
      </c>
      <c r="T1308">
        <f>7.4</f>
        <v>7.4</v>
      </c>
      <c r="U1308">
        <f>405</f>
        <v>405</v>
      </c>
      <c r="X1308">
        <f>0</f>
        <v>0</v>
      </c>
      <c r="Y1308" t="s">
        <v>157</v>
      </c>
      <c r="Z1308">
        <f>0</f>
        <v>0</v>
      </c>
      <c r="AA1308">
        <f>1</f>
        <v>1</v>
      </c>
      <c r="AB1308">
        <f>0</f>
        <v>0</v>
      </c>
      <c r="AD1308">
        <f>0</f>
        <v>0</v>
      </c>
      <c r="AE1308">
        <f>0</f>
        <v>0</v>
      </c>
      <c r="AH1308" t="s">
        <v>157</v>
      </c>
      <c r="AI1308" t="s">
        <v>167</v>
      </c>
      <c r="AL1308" t="s">
        <v>168</v>
      </c>
      <c r="AM1308" t="s">
        <v>216</v>
      </c>
      <c r="AN1308">
        <f>8.6</f>
        <v>8.6</v>
      </c>
      <c r="AO1308">
        <f>0.172</f>
        <v>0.17199999999999999</v>
      </c>
      <c r="AP1308">
        <f>8.4</f>
        <v>8.4</v>
      </c>
      <c r="AQ1308">
        <f>5.7</f>
        <v>5.7</v>
      </c>
      <c r="AR1308" t="s">
        <v>167</v>
      </c>
      <c r="AS1308">
        <f>4.6</f>
        <v>4.5999999999999996</v>
      </c>
      <c r="AY1308" t="s">
        <v>158</v>
      </c>
      <c r="AZ1308" t="s">
        <v>158</v>
      </c>
      <c r="BA1308">
        <f>0.016</f>
        <v>1.6E-2</v>
      </c>
      <c r="BB1308" t="s">
        <v>158</v>
      </c>
      <c r="BC1308" t="s">
        <v>167</v>
      </c>
      <c r="BD1308" t="s">
        <v>167</v>
      </c>
      <c r="BE1308" t="s">
        <v>216</v>
      </c>
      <c r="BF1308" t="s">
        <v>167</v>
      </c>
      <c r="BG1308" t="s">
        <v>158</v>
      </c>
      <c r="BH1308" t="s">
        <v>167</v>
      </c>
      <c r="BK1308" t="s">
        <v>158</v>
      </c>
      <c r="EP1308" t="s">
        <v>251</v>
      </c>
      <c r="EQ1308" t="s">
        <v>251</v>
      </c>
      <c r="ES1308" t="s">
        <v>251</v>
      </c>
    </row>
    <row r="1309" spans="1:150" x14ac:dyDescent="0.25">
      <c r="A1309" t="s">
        <v>3817</v>
      </c>
      <c r="B1309" t="s">
        <v>148</v>
      </c>
      <c r="C1309" s="1">
        <v>45818</v>
      </c>
      <c r="D1309" t="s">
        <v>175</v>
      </c>
      <c r="E1309" t="s">
        <v>270</v>
      </c>
      <c r="F1309" t="s">
        <v>354</v>
      </c>
      <c r="G1309" t="s">
        <v>6540</v>
      </c>
      <c r="H1309">
        <v>691</v>
      </c>
      <c r="I1309" t="s">
        <v>6541</v>
      </c>
      <c r="J1309">
        <v>20462</v>
      </c>
      <c r="K1309" t="s">
        <v>5257</v>
      </c>
      <c r="L1309" t="s">
        <v>355</v>
      </c>
      <c r="M1309" t="s">
        <v>5789</v>
      </c>
      <c r="N1309" t="s">
        <v>5273</v>
      </c>
      <c r="O1309" t="s">
        <v>356</v>
      </c>
      <c r="R1309">
        <f>1</f>
        <v>1</v>
      </c>
      <c r="S1309">
        <f>13.7</f>
        <v>13.7</v>
      </c>
      <c r="T1309">
        <f>7.7</f>
        <v>7.7</v>
      </c>
      <c r="U1309">
        <f>312</f>
        <v>312</v>
      </c>
      <c r="V1309">
        <f>0.1</f>
        <v>0.1</v>
      </c>
      <c r="X1309">
        <f>0</f>
        <v>0</v>
      </c>
      <c r="Y1309" t="s">
        <v>207</v>
      </c>
      <c r="Z1309">
        <f>0</f>
        <v>0</v>
      </c>
      <c r="AA1309" t="s">
        <v>158</v>
      </c>
      <c r="AB1309" t="s">
        <v>158</v>
      </c>
      <c r="AC1309">
        <f>0</f>
        <v>0</v>
      </c>
      <c r="AD1309">
        <f>0</f>
        <v>0</v>
      </c>
      <c r="AE1309">
        <f>0</f>
        <v>0</v>
      </c>
      <c r="AH1309" t="s">
        <v>166</v>
      </c>
    </row>
    <row r="1310" spans="1:150" x14ac:dyDescent="0.25">
      <c r="A1310" t="s">
        <v>3818</v>
      </c>
      <c r="B1310" t="s">
        <v>148</v>
      </c>
      <c r="C1310" s="1">
        <v>45820</v>
      </c>
      <c r="D1310" t="s">
        <v>175</v>
      </c>
      <c r="E1310" t="s">
        <v>270</v>
      </c>
      <c r="F1310" t="s">
        <v>354</v>
      </c>
      <c r="G1310" t="s">
        <v>6540</v>
      </c>
      <c r="H1310">
        <v>691</v>
      </c>
      <c r="I1310" t="s">
        <v>6541</v>
      </c>
      <c r="J1310">
        <v>20462</v>
      </c>
      <c r="K1310" t="s">
        <v>5257</v>
      </c>
      <c r="L1310" t="s">
        <v>355</v>
      </c>
      <c r="M1310" t="s">
        <v>5790</v>
      </c>
      <c r="N1310" t="s">
        <v>5791</v>
      </c>
      <c r="O1310" t="s">
        <v>358</v>
      </c>
      <c r="R1310">
        <f>1</f>
        <v>1</v>
      </c>
      <c r="S1310">
        <f>19.6</f>
        <v>19.600000000000001</v>
      </c>
      <c r="T1310">
        <f>7.4</f>
        <v>7.4</v>
      </c>
      <c r="U1310">
        <f>378</f>
        <v>378</v>
      </c>
      <c r="X1310">
        <f>0</f>
        <v>0</v>
      </c>
      <c r="Y1310" t="s">
        <v>207</v>
      </c>
      <c r="Z1310">
        <f>0</f>
        <v>0</v>
      </c>
      <c r="AA1310" t="s">
        <v>158</v>
      </c>
      <c r="AB1310" t="s">
        <v>158</v>
      </c>
      <c r="AC1310">
        <f>0</f>
        <v>0</v>
      </c>
      <c r="AD1310">
        <f>0</f>
        <v>0</v>
      </c>
      <c r="AE1310">
        <f>0</f>
        <v>0</v>
      </c>
      <c r="AH1310" t="s">
        <v>166</v>
      </c>
    </row>
    <row r="1311" spans="1:150" x14ac:dyDescent="0.25">
      <c r="A1311" t="s">
        <v>3819</v>
      </c>
      <c r="B1311" t="s">
        <v>148</v>
      </c>
      <c r="C1311" s="1">
        <v>45812</v>
      </c>
      <c r="D1311" t="s">
        <v>317</v>
      </c>
      <c r="E1311" t="s">
        <v>318</v>
      </c>
      <c r="F1311" t="s">
        <v>360</v>
      </c>
      <c r="G1311" t="s">
        <v>361</v>
      </c>
      <c r="H1311">
        <v>104</v>
      </c>
      <c r="I1311" t="s">
        <v>361</v>
      </c>
      <c r="J1311">
        <v>61876</v>
      </c>
      <c r="K1311" t="s">
        <v>5257</v>
      </c>
      <c r="L1311" t="s">
        <v>4949</v>
      </c>
      <c r="M1311" t="s">
        <v>5274</v>
      </c>
      <c r="N1311" t="s">
        <v>362</v>
      </c>
      <c r="O1311" t="s">
        <v>363</v>
      </c>
      <c r="Q1311" t="s">
        <v>329</v>
      </c>
      <c r="R1311">
        <f>1</f>
        <v>1</v>
      </c>
      <c r="S1311">
        <f>13.8</f>
        <v>13.8</v>
      </c>
      <c r="T1311">
        <f>8</f>
        <v>8</v>
      </c>
      <c r="U1311">
        <f>216</f>
        <v>216</v>
      </c>
      <c r="X1311">
        <f>0</f>
        <v>0</v>
      </c>
      <c r="Y1311" t="s">
        <v>157</v>
      </c>
      <c r="Z1311">
        <f>0</f>
        <v>0</v>
      </c>
      <c r="AA1311">
        <f>0</f>
        <v>0</v>
      </c>
      <c r="AB1311">
        <f>0</f>
        <v>0</v>
      </c>
      <c r="AC1311">
        <f>0</f>
        <v>0</v>
      </c>
      <c r="AD1311">
        <f>0</f>
        <v>0</v>
      </c>
      <c r="AE1311">
        <f>0</f>
        <v>0</v>
      </c>
      <c r="AH1311" t="s">
        <v>157</v>
      </c>
      <c r="EF1311" t="s">
        <v>1723</v>
      </c>
      <c r="EG1311" t="s">
        <v>1723</v>
      </c>
      <c r="EH1311" t="s">
        <v>1723</v>
      </c>
      <c r="EI1311" t="s">
        <v>1723</v>
      </c>
      <c r="EJ1311" t="s">
        <v>1723</v>
      </c>
      <c r="EK1311" t="s">
        <v>216</v>
      </c>
      <c r="ET1311" t="s">
        <v>166</v>
      </c>
    </row>
    <row r="1312" spans="1:150" x14ac:dyDescent="0.25">
      <c r="A1312" t="s">
        <v>3820</v>
      </c>
      <c r="B1312" t="s">
        <v>148</v>
      </c>
      <c r="C1312" s="1">
        <v>45812</v>
      </c>
      <c r="D1312" t="s">
        <v>317</v>
      </c>
      <c r="E1312" t="s">
        <v>318</v>
      </c>
      <c r="F1312" t="s">
        <v>360</v>
      </c>
      <c r="G1312" t="s">
        <v>361</v>
      </c>
      <c r="H1312">
        <v>104</v>
      </c>
      <c r="I1312" t="s">
        <v>361</v>
      </c>
      <c r="J1312">
        <v>61876</v>
      </c>
      <c r="K1312" t="s">
        <v>5257</v>
      </c>
      <c r="L1312" t="s">
        <v>4949</v>
      </c>
      <c r="M1312" t="s">
        <v>5275</v>
      </c>
      <c r="N1312" t="s">
        <v>5097</v>
      </c>
      <c r="O1312" t="s">
        <v>365</v>
      </c>
      <c r="Q1312" t="s">
        <v>329</v>
      </c>
      <c r="R1312">
        <f>1</f>
        <v>1</v>
      </c>
      <c r="S1312">
        <f>17.7</f>
        <v>17.7</v>
      </c>
      <c r="T1312">
        <f>8.1</f>
        <v>8.1</v>
      </c>
      <c r="U1312">
        <f>255</f>
        <v>255</v>
      </c>
      <c r="X1312">
        <f>0</f>
        <v>0</v>
      </c>
      <c r="Y1312" t="s">
        <v>157</v>
      </c>
      <c r="Z1312">
        <f>0</f>
        <v>0</v>
      </c>
      <c r="AA1312">
        <f>0</f>
        <v>0</v>
      </c>
      <c r="AB1312">
        <f>0</f>
        <v>0</v>
      </c>
      <c r="AC1312">
        <f>0</f>
        <v>0</v>
      </c>
      <c r="AD1312">
        <f>0</f>
        <v>0</v>
      </c>
      <c r="AE1312">
        <f>0</f>
        <v>0</v>
      </c>
      <c r="AH1312" t="s">
        <v>157</v>
      </c>
    </row>
    <row r="1313" spans="1:148" x14ac:dyDescent="0.25">
      <c r="A1313" t="s">
        <v>3821</v>
      </c>
      <c r="B1313" t="s">
        <v>148</v>
      </c>
      <c r="C1313" s="1">
        <v>45812</v>
      </c>
      <c r="D1313" t="s">
        <v>317</v>
      </c>
      <c r="E1313" t="s">
        <v>318</v>
      </c>
      <c r="F1313" t="s">
        <v>360</v>
      </c>
      <c r="G1313" t="s">
        <v>361</v>
      </c>
      <c r="H1313">
        <v>104</v>
      </c>
      <c r="I1313" t="s">
        <v>361</v>
      </c>
      <c r="J1313">
        <v>61876</v>
      </c>
      <c r="K1313" t="s">
        <v>5257</v>
      </c>
      <c r="L1313" t="s">
        <v>4949</v>
      </c>
      <c r="M1313" t="s">
        <v>5276</v>
      </c>
      <c r="N1313" t="s">
        <v>367</v>
      </c>
      <c r="O1313" t="s">
        <v>368</v>
      </c>
      <c r="Q1313" t="s">
        <v>329</v>
      </c>
      <c r="R1313">
        <f>1</f>
        <v>1</v>
      </c>
      <c r="S1313">
        <f>14.5</f>
        <v>14.5</v>
      </c>
      <c r="T1313">
        <f>8</f>
        <v>8</v>
      </c>
      <c r="U1313">
        <f>231</f>
        <v>231</v>
      </c>
      <c r="X1313">
        <f>0</f>
        <v>0</v>
      </c>
      <c r="Y1313" t="s">
        <v>157</v>
      </c>
      <c r="Z1313">
        <f>0</f>
        <v>0</v>
      </c>
      <c r="AA1313">
        <f>0</f>
        <v>0</v>
      </c>
      <c r="AB1313">
        <f>0</f>
        <v>0</v>
      </c>
      <c r="AC1313">
        <f>0</f>
        <v>0</v>
      </c>
      <c r="AD1313">
        <f>0</f>
        <v>0</v>
      </c>
      <c r="AE1313">
        <f>0</f>
        <v>0</v>
      </c>
      <c r="AH1313" t="s">
        <v>157</v>
      </c>
    </row>
    <row r="1314" spans="1:148" x14ac:dyDescent="0.25">
      <c r="A1314" t="s">
        <v>3822</v>
      </c>
      <c r="B1314" t="s">
        <v>148</v>
      </c>
      <c r="C1314" s="1">
        <v>45783</v>
      </c>
      <c r="D1314" t="s">
        <v>175</v>
      </c>
      <c r="E1314" t="s">
        <v>176</v>
      </c>
      <c r="F1314" t="s">
        <v>370</v>
      </c>
      <c r="G1314" t="s">
        <v>5792</v>
      </c>
      <c r="H1314">
        <v>334</v>
      </c>
      <c r="I1314" t="s">
        <v>5793</v>
      </c>
      <c r="J1314">
        <v>36614</v>
      </c>
      <c r="K1314" t="s">
        <v>5254</v>
      </c>
      <c r="L1314" t="s">
        <v>4697</v>
      </c>
      <c r="M1314" t="s">
        <v>4950</v>
      </c>
      <c r="N1314" t="s">
        <v>4951</v>
      </c>
      <c r="O1314" t="s">
        <v>373</v>
      </c>
      <c r="Q1314" t="s">
        <v>6479</v>
      </c>
      <c r="R1314">
        <f>1</f>
        <v>1</v>
      </c>
      <c r="S1314">
        <f>16.2</f>
        <v>16.2</v>
      </c>
      <c r="T1314">
        <f>7.3</f>
        <v>7.3</v>
      </c>
      <c r="U1314">
        <f>564</f>
        <v>564</v>
      </c>
      <c r="X1314">
        <f>0</f>
        <v>0</v>
      </c>
      <c r="Y1314">
        <f>0.12</f>
        <v>0.12</v>
      </c>
      <c r="Z1314">
        <f>0</f>
        <v>0</v>
      </c>
      <c r="AA1314">
        <f>1</f>
        <v>1</v>
      </c>
      <c r="AB1314">
        <f>0</f>
        <v>0</v>
      </c>
      <c r="AD1314">
        <f>0</f>
        <v>0</v>
      </c>
      <c r="AE1314">
        <f>0</f>
        <v>0</v>
      </c>
      <c r="AH1314" t="s">
        <v>157</v>
      </c>
    </row>
    <row r="1315" spans="1:148" x14ac:dyDescent="0.25">
      <c r="A1315" t="s">
        <v>3823</v>
      </c>
      <c r="B1315" t="s">
        <v>148</v>
      </c>
      <c r="C1315" s="1">
        <v>45820</v>
      </c>
      <c r="D1315" t="s">
        <v>175</v>
      </c>
      <c r="E1315" t="s">
        <v>176</v>
      </c>
      <c r="F1315" t="s">
        <v>370</v>
      </c>
      <c r="G1315" t="s">
        <v>5792</v>
      </c>
      <c r="H1315">
        <v>334</v>
      </c>
      <c r="I1315" t="s">
        <v>5793</v>
      </c>
      <c r="J1315">
        <v>36614</v>
      </c>
      <c r="K1315" t="s">
        <v>5254</v>
      </c>
      <c r="L1315" t="s">
        <v>4697</v>
      </c>
      <c r="M1315" t="s">
        <v>5278</v>
      </c>
      <c r="N1315" t="s">
        <v>4952</v>
      </c>
      <c r="O1315" t="s">
        <v>376</v>
      </c>
      <c r="Q1315" t="s">
        <v>329</v>
      </c>
      <c r="R1315">
        <f>1</f>
        <v>1</v>
      </c>
      <c r="S1315">
        <f>20.8</f>
        <v>20.8</v>
      </c>
      <c r="T1315">
        <f>7.2</f>
        <v>7.2</v>
      </c>
      <c r="U1315">
        <f>571</f>
        <v>571</v>
      </c>
      <c r="X1315">
        <f>0</f>
        <v>0</v>
      </c>
      <c r="Y1315" t="s">
        <v>157</v>
      </c>
      <c r="Z1315">
        <f>0</f>
        <v>0</v>
      </c>
      <c r="AA1315">
        <f>2</f>
        <v>2</v>
      </c>
      <c r="AB1315">
        <f>0</f>
        <v>0</v>
      </c>
      <c r="AD1315">
        <f>0</f>
        <v>0</v>
      </c>
      <c r="AE1315">
        <f>0</f>
        <v>0</v>
      </c>
      <c r="AH1315" t="s">
        <v>157</v>
      </c>
    </row>
    <row r="1316" spans="1:148" x14ac:dyDescent="0.25">
      <c r="A1316" t="s">
        <v>3824</v>
      </c>
      <c r="B1316" t="s">
        <v>148</v>
      </c>
      <c r="C1316" s="1">
        <v>45783</v>
      </c>
      <c r="D1316" t="s">
        <v>175</v>
      </c>
      <c r="E1316" t="s">
        <v>176</v>
      </c>
      <c r="F1316" t="s">
        <v>370</v>
      </c>
      <c r="G1316" t="s">
        <v>5792</v>
      </c>
      <c r="H1316">
        <v>334</v>
      </c>
      <c r="I1316" t="s">
        <v>5793</v>
      </c>
      <c r="J1316">
        <v>36614</v>
      </c>
      <c r="K1316" t="s">
        <v>5254</v>
      </c>
      <c r="L1316" t="s">
        <v>4697</v>
      </c>
      <c r="M1316" t="s">
        <v>5700</v>
      </c>
      <c r="N1316" t="s">
        <v>6182</v>
      </c>
      <c r="O1316" t="s">
        <v>3315</v>
      </c>
      <c r="Q1316" t="s">
        <v>329</v>
      </c>
      <c r="R1316">
        <f>1</f>
        <v>1</v>
      </c>
      <c r="S1316">
        <f>15.9</f>
        <v>15.9</v>
      </c>
      <c r="T1316">
        <f>7.4</f>
        <v>7.4</v>
      </c>
      <c r="U1316">
        <f>570</f>
        <v>570</v>
      </c>
      <c r="X1316">
        <f>0</f>
        <v>0</v>
      </c>
      <c r="Y1316" t="s">
        <v>157</v>
      </c>
      <c r="Z1316">
        <f>0</f>
        <v>0</v>
      </c>
      <c r="AA1316">
        <f>1</f>
        <v>1</v>
      </c>
      <c r="AB1316">
        <f>1</f>
        <v>1</v>
      </c>
      <c r="AD1316">
        <f>0</f>
        <v>0</v>
      </c>
      <c r="AE1316">
        <f>0</f>
        <v>0</v>
      </c>
      <c r="AH1316" t="s">
        <v>157</v>
      </c>
    </row>
    <row r="1317" spans="1:148" x14ac:dyDescent="0.25">
      <c r="A1317" t="s">
        <v>3825</v>
      </c>
      <c r="B1317" t="s">
        <v>148</v>
      </c>
      <c r="C1317" s="1">
        <v>45820</v>
      </c>
      <c r="D1317" t="s">
        <v>175</v>
      </c>
      <c r="E1317" t="s">
        <v>176</v>
      </c>
      <c r="F1317" t="s">
        <v>370</v>
      </c>
      <c r="G1317" t="s">
        <v>5792</v>
      </c>
      <c r="H1317">
        <v>334</v>
      </c>
      <c r="I1317" t="s">
        <v>5793</v>
      </c>
      <c r="J1317">
        <v>36614</v>
      </c>
      <c r="K1317" t="s">
        <v>5254</v>
      </c>
      <c r="L1317" t="s">
        <v>4697</v>
      </c>
      <c r="M1317" t="s">
        <v>5279</v>
      </c>
      <c r="N1317" t="s">
        <v>5795</v>
      </c>
      <c r="O1317" t="s">
        <v>378</v>
      </c>
      <c r="Q1317" t="s">
        <v>329</v>
      </c>
      <c r="R1317">
        <f>1</f>
        <v>1</v>
      </c>
      <c r="S1317">
        <f>20.8</f>
        <v>20.8</v>
      </c>
      <c r="T1317">
        <f>7.2</f>
        <v>7.2</v>
      </c>
      <c r="U1317">
        <f>579</f>
        <v>579</v>
      </c>
      <c r="X1317">
        <f>0</f>
        <v>0</v>
      </c>
      <c r="Y1317" t="s">
        <v>157</v>
      </c>
      <c r="Z1317">
        <f>0</f>
        <v>0</v>
      </c>
      <c r="AA1317">
        <f>0</f>
        <v>0</v>
      </c>
      <c r="AB1317">
        <f>0</f>
        <v>0</v>
      </c>
      <c r="AD1317">
        <f>0</f>
        <v>0</v>
      </c>
      <c r="AE1317">
        <f>0</f>
        <v>0</v>
      </c>
      <c r="AH1317" t="s">
        <v>157</v>
      </c>
    </row>
    <row r="1318" spans="1:148" x14ac:dyDescent="0.25">
      <c r="A1318" t="s">
        <v>3826</v>
      </c>
      <c r="B1318" t="s">
        <v>148</v>
      </c>
      <c r="C1318" s="1">
        <v>45783</v>
      </c>
      <c r="D1318" t="s">
        <v>175</v>
      </c>
      <c r="E1318" t="s">
        <v>176</v>
      </c>
      <c r="F1318" t="s">
        <v>370</v>
      </c>
      <c r="G1318" t="s">
        <v>5792</v>
      </c>
      <c r="H1318">
        <v>334</v>
      </c>
      <c r="I1318" t="s">
        <v>5793</v>
      </c>
      <c r="J1318">
        <v>36614</v>
      </c>
      <c r="K1318" t="s">
        <v>5254</v>
      </c>
      <c r="L1318" t="s">
        <v>4697</v>
      </c>
      <c r="M1318" t="s">
        <v>5701</v>
      </c>
      <c r="N1318" t="s">
        <v>5066</v>
      </c>
      <c r="O1318" t="s">
        <v>3317</v>
      </c>
      <c r="Q1318" t="s">
        <v>329</v>
      </c>
      <c r="R1318">
        <f>1</f>
        <v>1</v>
      </c>
      <c r="S1318">
        <f>16.8</f>
        <v>16.8</v>
      </c>
      <c r="T1318">
        <f>7.3</f>
        <v>7.3</v>
      </c>
      <c r="U1318">
        <f>537</f>
        <v>537</v>
      </c>
      <c r="X1318">
        <f>0</f>
        <v>0</v>
      </c>
      <c r="Y1318" t="s">
        <v>157</v>
      </c>
      <c r="Z1318">
        <f>0</f>
        <v>0</v>
      </c>
      <c r="AA1318">
        <f>0</f>
        <v>0</v>
      </c>
      <c r="AB1318">
        <f>0</f>
        <v>0</v>
      </c>
      <c r="AD1318">
        <f>0</f>
        <v>0</v>
      </c>
      <c r="AE1318">
        <f>0</f>
        <v>0</v>
      </c>
      <c r="AH1318" t="s">
        <v>157</v>
      </c>
    </row>
    <row r="1319" spans="1:148" x14ac:dyDescent="0.25">
      <c r="A1319" t="s">
        <v>3827</v>
      </c>
      <c r="B1319" t="s">
        <v>148</v>
      </c>
      <c r="C1319" s="1">
        <v>45785</v>
      </c>
      <c r="D1319" t="s">
        <v>317</v>
      </c>
      <c r="E1319" t="s">
        <v>318</v>
      </c>
      <c r="F1319" t="s">
        <v>5796</v>
      </c>
      <c r="G1319" t="s">
        <v>5280</v>
      </c>
      <c r="H1319">
        <v>68</v>
      </c>
      <c r="I1319" t="s">
        <v>5797</v>
      </c>
      <c r="J1319">
        <v>19626</v>
      </c>
      <c r="K1319" t="s">
        <v>5254</v>
      </c>
      <c r="L1319" t="s">
        <v>4953</v>
      </c>
      <c r="M1319" t="s">
        <v>4698</v>
      </c>
      <c r="N1319" t="s">
        <v>5798</v>
      </c>
      <c r="O1319" t="s">
        <v>380</v>
      </c>
      <c r="R1319">
        <f>1</f>
        <v>1</v>
      </c>
      <c r="S1319">
        <f>12.2</f>
        <v>12.2</v>
      </c>
      <c r="T1319">
        <f>7.8</f>
        <v>7.8</v>
      </c>
      <c r="U1319">
        <f>258</f>
        <v>258</v>
      </c>
      <c r="V1319">
        <f>0.12</f>
        <v>0.12</v>
      </c>
      <c r="X1319">
        <f>0</f>
        <v>0</v>
      </c>
      <c r="Y1319">
        <f>0.56</f>
        <v>0.56000000000000005</v>
      </c>
      <c r="Z1319">
        <f>0</f>
        <v>0</v>
      </c>
      <c r="AA1319">
        <f>3</f>
        <v>3</v>
      </c>
      <c r="AB1319">
        <f>0</f>
        <v>0</v>
      </c>
      <c r="AD1319">
        <f>0</f>
        <v>0</v>
      </c>
      <c r="AE1319">
        <f>0</f>
        <v>0</v>
      </c>
      <c r="AH1319" t="s">
        <v>157</v>
      </c>
    </row>
    <row r="1320" spans="1:148" x14ac:dyDescent="0.25">
      <c r="A1320" t="s">
        <v>3828</v>
      </c>
      <c r="B1320" t="s">
        <v>148</v>
      </c>
      <c r="C1320" s="1">
        <v>45708</v>
      </c>
      <c r="D1320" t="s">
        <v>317</v>
      </c>
      <c r="E1320" t="s">
        <v>318</v>
      </c>
      <c r="F1320" t="s">
        <v>5796</v>
      </c>
      <c r="G1320" t="s">
        <v>5280</v>
      </c>
      <c r="H1320">
        <v>68</v>
      </c>
      <c r="I1320" t="s">
        <v>5797</v>
      </c>
      <c r="J1320">
        <v>19626</v>
      </c>
      <c r="K1320" t="s">
        <v>5254</v>
      </c>
      <c r="L1320" t="s">
        <v>4953</v>
      </c>
      <c r="M1320" t="s">
        <v>382</v>
      </c>
      <c r="N1320" t="s">
        <v>5799</v>
      </c>
      <c r="O1320" t="s">
        <v>383</v>
      </c>
      <c r="Q1320" t="s">
        <v>329</v>
      </c>
      <c r="R1320">
        <f>1</f>
        <v>1</v>
      </c>
      <c r="S1320">
        <f>10.6</f>
        <v>10.6</v>
      </c>
      <c r="T1320">
        <f>7.8</f>
        <v>7.8</v>
      </c>
      <c r="U1320">
        <f>250</f>
        <v>250</v>
      </c>
      <c r="V1320">
        <f>0.16</f>
        <v>0.16</v>
      </c>
      <c r="X1320">
        <f>0</f>
        <v>0</v>
      </c>
      <c r="Y1320">
        <f>0.62</f>
        <v>0.62</v>
      </c>
      <c r="Z1320">
        <f>0</f>
        <v>0</v>
      </c>
      <c r="AA1320">
        <f>0</f>
        <v>0</v>
      </c>
      <c r="AB1320">
        <f>0</f>
        <v>0</v>
      </c>
      <c r="AD1320">
        <f>0</f>
        <v>0</v>
      </c>
      <c r="AE1320">
        <f>0</f>
        <v>0</v>
      </c>
      <c r="AH1320" t="s">
        <v>157</v>
      </c>
    </row>
    <row r="1321" spans="1:148" x14ac:dyDescent="0.25">
      <c r="A1321" t="s">
        <v>3829</v>
      </c>
      <c r="B1321" t="s">
        <v>148</v>
      </c>
      <c r="C1321" s="1">
        <v>45812</v>
      </c>
      <c r="D1321" t="s">
        <v>317</v>
      </c>
      <c r="E1321" t="s">
        <v>318</v>
      </c>
      <c r="F1321" t="s">
        <v>360</v>
      </c>
      <c r="G1321" t="s">
        <v>361</v>
      </c>
      <c r="H1321">
        <v>104</v>
      </c>
      <c r="I1321" t="s">
        <v>361</v>
      </c>
      <c r="J1321">
        <v>61876</v>
      </c>
      <c r="K1321" t="s">
        <v>5257</v>
      </c>
      <c r="L1321" t="s">
        <v>4949</v>
      </c>
      <c r="M1321" t="s">
        <v>5800</v>
      </c>
      <c r="N1321" t="s">
        <v>5801</v>
      </c>
      <c r="O1321" t="s">
        <v>385</v>
      </c>
      <c r="Q1321" t="s">
        <v>329</v>
      </c>
      <c r="R1321">
        <f>1</f>
        <v>1</v>
      </c>
      <c r="S1321">
        <f>13.5</f>
        <v>13.5</v>
      </c>
      <c r="T1321">
        <f>8</f>
        <v>8</v>
      </c>
      <c r="U1321">
        <f>278</f>
        <v>278</v>
      </c>
      <c r="X1321">
        <f>0</f>
        <v>0</v>
      </c>
      <c r="Y1321">
        <f>0.14</f>
        <v>0.14000000000000001</v>
      </c>
      <c r="Z1321">
        <f>0</f>
        <v>0</v>
      </c>
      <c r="AA1321">
        <f>0</f>
        <v>0</v>
      </c>
      <c r="AB1321">
        <f>0</f>
        <v>0</v>
      </c>
      <c r="AC1321">
        <f>0</f>
        <v>0</v>
      </c>
      <c r="AD1321">
        <f>0</f>
        <v>0</v>
      </c>
      <c r="AE1321">
        <f>0</f>
        <v>0</v>
      </c>
      <c r="AH1321" t="s">
        <v>157</v>
      </c>
    </row>
    <row r="1322" spans="1:148" x14ac:dyDescent="0.25">
      <c r="A1322" t="s">
        <v>3830</v>
      </c>
      <c r="B1322" t="s">
        <v>148</v>
      </c>
      <c r="C1322" s="1">
        <v>45755</v>
      </c>
      <c r="D1322" t="s">
        <v>317</v>
      </c>
      <c r="E1322" t="s">
        <v>318</v>
      </c>
      <c r="F1322" t="s">
        <v>360</v>
      </c>
      <c r="G1322" t="s">
        <v>361</v>
      </c>
      <c r="H1322">
        <v>104</v>
      </c>
      <c r="I1322" t="s">
        <v>361</v>
      </c>
      <c r="J1322">
        <v>61876</v>
      </c>
      <c r="K1322" t="s">
        <v>5257</v>
      </c>
      <c r="L1322" t="s">
        <v>4949</v>
      </c>
      <c r="M1322" t="s">
        <v>5702</v>
      </c>
      <c r="N1322" t="s">
        <v>6183</v>
      </c>
      <c r="O1322" t="s">
        <v>3320</v>
      </c>
      <c r="Q1322" t="s">
        <v>329</v>
      </c>
      <c r="R1322">
        <f>1</f>
        <v>1</v>
      </c>
      <c r="S1322">
        <f>10.8</f>
        <v>10.8</v>
      </c>
      <c r="T1322">
        <f>7.9</f>
        <v>7.9</v>
      </c>
      <c r="U1322">
        <f>273</f>
        <v>273</v>
      </c>
      <c r="X1322">
        <f>0</f>
        <v>0</v>
      </c>
      <c r="Y1322" t="s">
        <v>157</v>
      </c>
      <c r="Z1322">
        <f>0</f>
        <v>0</v>
      </c>
      <c r="AA1322">
        <f>2</f>
        <v>2</v>
      </c>
      <c r="AB1322">
        <f>0</f>
        <v>0</v>
      </c>
      <c r="AC1322">
        <f>0</f>
        <v>0</v>
      </c>
      <c r="AD1322">
        <f>0</f>
        <v>0</v>
      </c>
      <c r="AE1322">
        <f>0</f>
        <v>0</v>
      </c>
      <c r="AH1322" t="s">
        <v>157</v>
      </c>
    </row>
    <row r="1323" spans="1:148" x14ac:dyDescent="0.25">
      <c r="A1323" t="s">
        <v>3831</v>
      </c>
      <c r="B1323" t="s">
        <v>148</v>
      </c>
      <c r="C1323" s="1">
        <v>45832</v>
      </c>
      <c r="D1323" t="s">
        <v>242</v>
      </c>
      <c r="E1323" t="s">
        <v>243</v>
      </c>
      <c r="F1323" t="s">
        <v>5802</v>
      </c>
      <c r="G1323" t="s">
        <v>5803</v>
      </c>
      <c r="H1323">
        <v>1121</v>
      </c>
      <c r="I1323" t="s">
        <v>5803</v>
      </c>
      <c r="J1323">
        <v>14612</v>
      </c>
      <c r="K1323" t="s">
        <v>5254</v>
      </c>
      <c r="L1323" t="s">
        <v>387</v>
      </c>
      <c r="M1323" t="s">
        <v>6819</v>
      </c>
      <c r="N1323" t="s">
        <v>6215</v>
      </c>
      <c r="R1323">
        <f>1</f>
        <v>1</v>
      </c>
      <c r="S1323">
        <f>21.7</f>
        <v>21.7</v>
      </c>
      <c r="T1323">
        <f>7.8</f>
        <v>7.8</v>
      </c>
      <c r="U1323">
        <f>526</f>
        <v>526</v>
      </c>
      <c r="X1323">
        <f>0</f>
        <v>0</v>
      </c>
      <c r="Y1323" t="s">
        <v>157</v>
      </c>
      <c r="Z1323">
        <f>0</f>
        <v>0</v>
      </c>
      <c r="AA1323" t="s">
        <v>158</v>
      </c>
      <c r="AB1323" t="s">
        <v>158</v>
      </c>
      <c r="AD1323">
        <f>0</f>
        <v>0</v>
      </c>
      <c r="AE1323">
        <f>0</f>
        <v>0</v>
      </c>
      <c r="AH1323" t="s">
        <v>157</v>
      </c>
      <c r="AI1323" t="s">
        <v>238</v>
      </c>
      <c r="AL1323" t="s">
        <v>164</v>
      </c>
      <c r="AM1323" t="s">
        <v>165</v>
      </c>
      <c r="AN1323">
        <f>3.6</f>
        <v>3.6</v>
      </c>
      <c r="AO1323">
        <f>0.07</f>
        <v>7.0000000000000007E-2</v>
      </c>
      <c r="AP1323">
        <f>24</f>
        <v>24</v>
      </c>
      <c r="AQ1323">
        <f>3.3</f>
        <v>3.3</v>
      </c>
      <c r="AR1323" t="s">
        <v>157</v>
      </c>
      <c r="AS1323">
        <f>3.7</f>
        <v>3.7</v>
      </c>
      <c r="AY1323" t="s">
        <v>167</v>
      </c>
      <c r="AZ1323" t="s">
        <v>158</v>
      </c>
      <c r="BA1323" t="s">
        <v>216</v>
      </c>
      <c r="BB1323" t="s">
        <v>158</v>
      </c>
      <c r="BC1323" t="s">
        <v>166</v>
      </c>
      <c r="BD1323" t="s">
        <v>167</v>
      </c>
      <c r="BE1323">
        <f>0.024</f>
        <v>2.4E-2</v>
      </c>
      <c r="BF1323">
        <f>0.045</f>
        <v>4.4999999999999998E-2</v>
      </c>
      <c r="BG1323" t="s">
        <v>167</v>
      </c>
      <c r="BH1323">
        <f>1.2</f>
        <v>1.2</v>
      </c>
      <c r="BK1323">
        <f>0.45</f>
        <v>0.45</v>
      </c>
      <c r="BL1323" t="s">
        <v>168</v>
      </c>
      <c r="BM1323" t="s">
        <v>168</v>
      </c>
      <c r="BN1323" t="s">
        <v>168</v>
      </c>
      <c r="BO1323" t="s">
        <v>168</v>
      </c>
      <c r="BP1323" t="s">
        <v>168</v>
      </c>
      <c r="BQ1323" t="s">
        <v>168</v>
      </c>
      <c r="BR1323" t="s">
        <v>168</v>
      </c>
      <c r="BS1323" t="s">
        <v>168</v>
      </c>
      <c r="BT1323" t="s">
        <v>216</v>
      </c>
      <c r="BU1323" t="s">
        <v>168</v>
      </c>
      <c r="BV1323" t="s">
        <v>209</v>
      </c>
      <c r="BW1323" t="s">
        <v>209</v>
      </c>
      <c r="BX1323" t="s">
        <v>209</v>
      </c>
      <c r="BY1323" t="s">
        <v>209</v>
      </c>
      <c r="BZ1323" t="s">
        <v>216</v>
      </c>
      <c r="CA1323" t="s">
        <v>216</v>
      </c>
      <c r="CB1323" t="s">
        <v>168</v>
      </c>
      <c r="CC1323" t="s">
        <v>168</v>
      </c>
      <c r="CD1323" t="s">
        <v>216</v>
      </c>
      <c r="CE1323" t="s">
        <v>209</v>
      </c>
      <c r="CF1323" t="s">
        <v>168</v>
      </c>
      <c r="CG1323" t="s">
        <v>168</v>
      </c>
      <c r="CH1323" t="s">
        <v>165</v>
      </c>
      <c r="CI1323" t="s">
        <v>216</v>
      </c>
      <c r="CJ1323" t="s">
        <v>216</v>
      </c>
      <c r="CK1323" t="s">
        <v>216</v>
      </c>
      <c r="CL1323" t="s">
        <v>216</v>
      </c>
      <c r="CM1323" t="s">
        <v>216</v>
      </c>
      <c r="CN1323" t="s">
        <v>216</v>
      </c>
      <c r="CO1323" t="s">
        <v>216</v>
      </c>
      <c r="CP1323" t="s">
        <v>216</v>
      </c>
      <c r="CQ1323" t="s">
        <v>216</v>
      </c>
      <c r="CR1323" t="s">
        <v>216</v>
      </c>
      <c r="CS1323" t="s">
        <v>216</v>
      </c>
      <c r="CT1323" t="s">
        <v>216</v>
      </c>
      <c r="CU1323" t="s">
        <v>216</v>
      </c>
      <c r="CV1323" t="s">
        <v>216</v>
      </c>
      <c r="CW1323" t="s">
        <v>216</v>
      </c>
      <c r="CX1323" t="s">
        <v>216</v>
      </c>
      <c r="CY1323" t="s">
        <v>216</v>
      </c>
      <c r="CZ1323" t="s">
        <v>216</v>
      </c>
      <c r="DA1323" t="s">
        <v>168</v>
      </c>
      <c r="DB1323" t="s">
        <v>216</v>
      </c>
      <c r="DC1323" t="s">
        <v>216</v>
      </c>
      <c r="DD1323" t="s">
        <v>216</v>
      </c>
      <c r="DE1323" t="s">
        <v>168</v>
      </c>
      <c r="DF1323" t="s">
        <v>168</v>
      </c>
      <c r="DG1323" t="s">
        <v>216</v>
      </c>
      <c r="DH1323" t="s">
        <v>216</v>
      </c>
      <c r="DI1323" t="s">
        <v>216</v>
      </c>
      <c r="DJ1323" t="s">
        <v>216</v>
      </c>
      <c r="DK1323" t="s">
        <v>168</v>
      </c>
      <c r="DL1323" t="s">
        <v>216</v>
      </c>
      <c r="DM1323" t="s">
        <v>216</v>
      </c>
      <c r="DN1323" t="s">
        <v>216</v>
      </c>
      <c r="DO1323" t="s">
        <v>216</v>
      </c>
      <c r="DP1323" t="s">
        <v>168</v>
      </c>
      <c r="DQ1323" t="s">
        <v>216</v>
      </c>
      <c r="DR1323" t="s">
        <v>168</v>
      </c>
      <c r="DS1323" t="s">
        <v>168</v>
      </c>
      <c r="DT1323" t="s">
        <v>168</v>
      </c>
      <c r="DU1323" t="s">
        <v>168</v>
      </c>
      <c r="DV1323" t="s">
        <v>168</v>
      </c>
      <c r="DW1323" t="s">
        <v>168</v>
      </c>
      <c r="DX1323" t="s">
        <v>168</v>
      </c>
      <c r="DY1323" t="s">
        <v>168</v>
      </c>
      <c r="DZ1323" t="s">
        <v>209</v>
      </c>
      <c r="EA1323" t="s">
        <v>216</v>
      </c>
      <c r="EB1323" t="s">
        <v>168</v>
      </c>
      <c r="EC1323" t="s">
        <v>168</v>
      </c>
      <c r="ED1323" t="s">
        <v>209</v>
      </c>
      <c r="EE1323" t="s">
        <v>168</v>
      </c>
      <c r="EL1323">
        <f>0.32</f>
        <v>0.32</v>
      </c>
      <c r="EM1323">
        <f>0.22</f>
        <v>0.22</v>
      </c>
      <c r="EN1323">
        <f>0.57</f>
        <v>0.56999999999999995</v>
      </c>
      <c r="EO1323">
        <f>0.75</f>
        <v>0.75</v>
      </c>
      <c r="ER1323">
        <f>1.9</f>
        <v>1.9</v>
      </c>
    </row>
    <row r="1324" spans="1:148" x14ac:dyDescent="0.25">
      <c r="A1324" t="s">
        <v>3832</v>
      </c>
      <c r="B1324" t="s">
        <v>148</v>
      </c>
      <c r="C1324" s="1">
        <v>45835</v>
      </c>
      <c r="D1324" t="s">
        <v>242</v>
      </c>
      <c r="E1324" t="s">
        <v>243</v>
      </c>
      <c r="F1324" t="s">
        <v>391</v>
      </c>
      <c r="G1324" t="s">
        <v>392</v>
      </c>
      <c r="H1324">
        <v>1124</v>
      </c>
      <c r="I1324" t="s">
        <v>392</v>
      </c>
      <c r="J1324">
        <v>11300</v>
      </c>
      <c r="K1324" t="s">
        <v>5254</v>
      </c>
      <c r="L1324" t="s">
        <v>393</v>
      </c>
      <c r="M1324" t="s">
        <v>5281</v>
      </c>
      <c r="N1324" t="s">
        <v>5804</v>
      </c>
      <c r="O1324" t="s">
        <v>394</v>
      </c>
      <c r="R1324">
        <f>1</f>
        <v>1</v>
      </c>
      <c r="S1324">
        <f>20.5</f>
        <v>20.5</v>
      </c>
      <c r="T1324">
        <f>7.6</f>
        <v>7.6</v>
      </c>
      <c r="U1324">
        <f>379</f>
        <v>379</v>
      </c>
      <c r="X1324">
        <f>0</f>
        <v>0</v>
      </c>
      <c r="Y1324">
        <f>0.38</f>
        <v>0.38</v>
      </c>
      <c r="Z1324">
        <f>0</f>
        <v>0</v>
      </c>
      <c r="AA1324" t="s">
        <v>158</v>
      </c>
      <c r="AB1324" t="s">
        <v>158</v>
      </c>
      <c r="AD1324">
        <f>0</f>
        <v>0</v>
      </c>
      <c r="AE1324">
        <f>0</f>
        <v>0</v>
      </c>
      <c r="AH1324" t="s">
        <v>157</v>
      </c>
    </row>
    <row r="1325" spans="1:148" x14ac:dyDescent="0.25">
      <c r="A1325" t="s">
        <v>3833</v>
      </c>
      <c r="B1325" t="s">
        <v>148</v>
      </c>
      <c r="C1325" s="1">
        <v>45839</v>
      </c>
      <c r="D1325" t="s">
        <v>242</v>
      </c>
      <c r="E1325" t="s">
        <v>243</v>
      </c>
      <c r="F1325" t="s">
        <v>5098</v>
      </c>
      <c r="G1325" t="s">
        <v>5099</v>
      </c>
      <c r="H1325">
        <v>1127</v>
      </c>
      <c r="I1325" t="s">
        <v>5099</v>
      </c>
      <c r="J1325">
        <v>13130</v>
      </c>
      <c r="K1325" t="s">
        <v>5254</v>
      </c>
      <c r="L1325" t="s">
        <v>387</v>
      </c>
      <c r="M1325" t="s">
        <v>5282</v>
      </c>
      <c r="N1325" t="s">
        <v>5805</v>
      </c>
      <c r="O1325" t="s">
        <v>396</v>
      </c>
      <c r="R1325">
        <f>1</f>
        <v>1</v>
      </c>
      <c r="S1325">
        <f>17.8</f>
        <v>17.8</v>
      </c>
      <c r="T1325">
        <f>7.3</f>
        <v>7.3</v>
      </c>
      <c r="U1325">
        <f>537</f>
        <v>537</v>
      </c>
      <c r="X1325">
        <f>1</f>
        <v>1</v>
      </c>
      <c r="Y1325" t="s">
        <v>157</v>
      </c>
      <c r="Z1325">
        <f>0</f>
        <v>0</v>
      </c>
      <c r="AA1325">
        <f>41</f>
        <v>41</v>
      </c>
      <c r="AB1325">
        <f>12</f>
        <v>12</v>
      </c>
      <c r="AD1325">
        <f>0</f>
        <v>0</v>
      </c>
      <c r="AE1325">
        <f>0</f>
        <v>0</v>
      </c>
      <c r="AH1325" t="s">
        <v>157</v>
      </c>
    </row>
    <row r="1326" spans="1:148" x14ac:dyDescent="0.25">
      <c r="A1326" t="s">
        <v>3834</v>
      </c>
      <c r="B1326" t="s">
        <v>148</v>
      </c>
      <c r="C1326" s="1">
        <v>45824</v>
      </c>
      <c r="D1326" t="s">
        <v>242</v>
      </c>
      <c r="E1326" t="s">
        <v>243</v>
      </c>
      <c r="F1326" t="s">
        <v>5098</v>
      </c>
      <c r="G1326" t="s">
        <v>5099</v>
      </c>
      <c r="H1326">
        <v>1127</v>
      </c>
      <c r="I1326" t="s">
        <v>5099</v>
      </c>
      <c r="J1326">
        <v>13130</v>
      </c>
      <c r="K1326" t="s">
        <v>5254</v>
      </c>
      <c r="L1326" t="s">
        <v>387</v>
      </c>
      <c r="M1326" t="s">
        <v>5100</v>
      </c>
      <c r="N1326" t="s">
        <v>4699</v>
      </c>
      <c r="O1326" t="s">
        <v>398</v>
      </c>
      <c r="R1326">
        <f>1</f>
        <v>1</v>
      </c>
      <c r="S1326">
        <f>16.5</f>
        <v>16.5</v>
      </c>
      <c r="T1326">
        <f>7.8</f>
        <v>7.8</v>
      </c>
      <c r="U1326">
        <f>290</f>
        <v>290</v>
      </c>
      <c r="V1326">
        <f>0.26</f>
        <v>0.26</v>
      </c>
      <c r="X1326">
        <f>1</f>
        <v>1</v>
      </c>
      <c r="Y1326">
        <f>0.16</f>
        <v>0.16</v>
      </c>
      <c r="Z1326">
        <f>0</f>
        <v>0</v>
      </c>
      <c r="AA1326" t="s">
        <v>158</v>
      </c>
      <c r="AB1326" t="s">
        <v>158</v>
      </c>
      <c r="AD1326">
        <f>0</f>
        <v>0</v>
      </c>
      <c r="AE1326">
        <f>0</f>
        <v>0</v>
      </c>
      <c r="AH1326" t="s">
        <v>157</v>
      </c>
    </row>
    <row r="1327" spans="1:148" x14ac:dyDescent="0.25">
      <c r="A1327" t="s">
        <v>3835</v>
      </c>
      <c r="B1327" t="s">
        <v>148</v>
      </c>
      <c r="C1327" s="1">
        <v>45726</v>
      </c>
      <c r="D1327" t="s">
        <v>242</v>
      </c>
      <c r="E1327" t="s">
        <v>243</v>
      </c>
      <c r="F1327" t="s">
        <v>5284</v>
      </c>
      <c r="G1327" t="s">
        <v>6542</v>
      </c>
      <c r="H1327">
        <v>1523</v>
      </c>
      <c r="I1327" t="s">
        <v>6543</v>
      </c>
      <c r="J1327">
        <v>15615</v>
      </c>
      <c r="K1327" t="s">
        <v>5254</v>
      </c>
      <c r="L1327" t="s">
        <v>387</v>
      </c>
      <c r="M1327" t="s">
        <v>5285</v>
      </c>
      <c r="N1327" t="s">
        <v>5286</v>
      </c>
      <c r="O1327" t="s">
        <v>402</v>
      </c>
      <c r="R1327">
        <f>1</f>
        <v>1</v>
      </c>
      <c r="S1327">
        <f>10.8</f>
        <v>10.8</v>
      </c>
      <c r="T1327">
        <f>7.6</f>
        <v>7.6</v>
      </c>
      <c r="U1327">
        <f>429</f>
        <v>429</v>
      </c>
      <c r="V1327">
        <f>0.16</f>
        <v>0.16</v>
      </c>
      <c r="X1327">
        <f>0</f>
        <v>0</v>
      </c>
      <c r="Y1327" t="s">
        <v>157</v>
      </c>
      <c r="Z1327">
        <f>0</f>
        <v>0</v>
      </c>
      <c r="AA1327" t="s">
        <v>158</v>
      </c>
      <c r="AB1327" t="s">
        <v>158</v>
      </c>
      <c r="AD1327">
        <f>0</f>
        <v>0</v>
      </c>
      <c r="AE1327">
        <f>0</f>
        <v>0</v>
      </c>
      <c r="AH1327" t="s">
        <v>157</v>
      </c>
    </row>
    <row r="1328" spans="1:148" x14ac:dyDescent="0.25">
      <c r="A1328" t="s">
        <v>3836</v>
      </c>
      <c r="B1328" t="s">
        <v>148</v>
      </c>
      <c r="C1328" s="1">
        <v>45817</v>
      </c>
      <c r="D1328" t="s">
        <v>242</v>
      </c>
      <c r="E1328" t="s">
        <v>243</v>
      </c>
      <c r="F1328" t="s">
        <v>5284</v>
      </c>
      <c r="G1328" t="s">
        <v>5806</v>
      </c>
      <c r="H1328">
        <v>1133</v>
      </c>
      <c r="I1328" t="s">
        <v>5807</v>
      </c>
      <c r="J1328">
        <v>12771</v>
      </c>
      <c r="K1328" t="s">
        <v>5254</v>
      </c>
      <c r="L1328" t="s">
        <v>387</v>
      </c>
      <c r="M1328" t="s">
        <v>5703</v>
      </c>
      <c r="N1328" t="s">
        <v>5704</v>
      </c>
      <c r="O1328" t="s">
        <v>3326</v>
      </c>
      <c r="R1328">
        <f>1</f>
        <v>1</v>
      </c>
      <c r="S1328">
        <f>16.7</f>
        <v>16.7</v>
      </c>
      <c r="T1328">
        <f>7.4</f>
        <v>7.4</v>
      </c>
      <c r="U1328">
        <f>458</f>
        <v>458</v>
      </c>
      <c r="X1328">
        <f>1</f>
        <v>1</v>
      </c>
      <c r="Y1328" t="s">
        <v>157</v>
      </c>
      <c r="Z1328">
        <f>0</f>
        <v>0</v>
      </c>
      <c r="AA1328" t="s">
        <v>158</v>
      </c>
      <c r="AB1328" t="s">
        <v>158</v>
      </c>
      <c r="AD1328">
        <f>0</f>
        <v>0</v>
      </c>
      <c r="AE1328">
        <f>0</f>
        <v>0</v>
      </c>
      <c r="AG1328" t="s">
        <v>249</v>
      </c>
      <c r="AH1328" t="s">
        <v>157</v>
      </c>
      <c r="AI1328" t="s">
        <v>238</v>
      </c>
      <c r="AL1328" t="s">
        <v>164</v>
      </c>
      <c r="AM1328" t="s">
        <v>165</v>
      </c>
      <c r="AN1328">
        <f>6.2</f>
        <v>6.2</v>
      </c>
      <c r="AO1328">
        <f>0.12</f>
        <v>0.12</v>
      </c>
      <c r="AP1328">
        <f>11</f>
        <v>11</v>
      </c>
      <c r="AQ1328">
        <f>2.9</f>
        <v>2.9</v>
      </c>
      <c r="AR1328" t="s">
        <v>157</v>
      </c>
      <c r="AS1328">
        <f>1.4</f>
        <v>1.4</v>
      </c>
      <c r="AT1328" t="s">
        <v>250</v>
      </c>
      <c r="AY1328" t="s">
        <v>167</v>
      </c>
      <c r="AZ1328" t="s">
        <v>158</v>
      </c>
      <c r="BA1328" t="s">
        <v>216</v>
      </c>
      <c r="BB1328" t="s">
        <v>158</v>
      </c>
      <c r="BC1328" t="s">
        <v>166</v>
      </c>
      <c r="BD1328" t="s">
        <v>167</v>
      </c>
      <c r="BE1328">
        <f>0.0011</f>
        <v>1.1000000000000001E-3</v>
      </c>
      <c r="BF1328" t="s">
        <v>168</v>
      </c>
      <c r="BG1328" t="s">
        <v>167</v>
      </c>
      <c r="BH1328" t="s">
        <v>167</v>
      </c>
      <c r="BK1328">
        <f>0.12</f>
        <v>0.12</v>
      </c>
      <c r="BL1328" t="s">
        <v>168</v>
      </c>
      <c r="BM1328" t="s">
        <v>168</v>
      </c>
      <c r="BN1328" t="s">
        <v>168</v>
      </c>
      <c r="BO1328" t="s">
        <v>168</v>
      </c>
      <c r="BP1328" t="s">
        <v>168</v>
      </c>
      <c r="BQ1328" t="s">
        <v>168</v>
      </c>
      <c r="BR1328" t="s">
        <v>168</v>
      </c>
      <c r="BS1328" t="s">
        <v>168</v>
      </c>
      <c r="BT1328" t="s">
        <v>216</v>
      </c>
      <c r="BU1328" t="s">
        <v>168</v>
      </c>
      <c r="BV1328" t="s">
        <v>209</v>
      </c>
      <c r="BW1328" t="s">
        <v>209</v>
      </c>
      <c r="BX1328" t="s">
        <v>209</v>
      </c>
      <c r="BY1328" t="s">
        <v>209</v>
      </c>
      <c r="BZ1328" t="s">
        <v>216</v>
      </c>
      <c r="CA1328" t="s">
        <v>216</v>
      </c>
      <c r="CB1328" t="s">
        <v>168</v>
      </c>
      <c r="CC1328" t="s">
        <v>168</v>
      </c>
      <c r="CD1328" t="s">
        <v>216</v>
      </c>
      <c r="CE1328" t="s">
        <v>209</v>
      </c>
      <c r="CF1328" t="s">
        <v>168</v>
      </c>
      <c r="CG1328" t="s">
        <v>168</v>
      </c>
      <c r="CH1328" t="s">
        <v>165</v>
      </c>
      <c r="CI1328" t="s">
        <v>216</v>
      </c>
      <c r="CJ1328" t="s">
        <v>216</v>
      </c>
      <c r="CK1328" t="s">
        <v>216</v>
      </c>
      <c r="CL1328" t="s">
        <v>216</v>
      </c>
      <c r="CM1328" t="s">
        <v>216</v>
      </c>
      <c r="CN1328" t="s">
        <v>216</v>
      </c>
      <c r="CO1328" t="s">
        <v>216</v>
      </c>
      <c r="CP1328" t="s">
        <v>216</v>
      </c>
      <c r="CQ1328" t="s">
        <v>216</v>
      </c>
      <c r="CR1328" t="s">
        <v>216</v>
      </c>
      <c r="CS1328" t="s">
        <v>216</v>
      </c>
      <c r="CT1328" t="s">
        <v>216</v>
      </c>
      <c r="CU1328" t="s">
        <v>216</v>
      </c>
      <c r="CV1328" t="s">
        <v>216</v>
      </c>
      <c r="CW1328" t="s">
        <v>216</v>
      </c>
      <c r="CX1328" t="s">
        <v>216</v>
      </c>
      <c r="CY1328" t="s">
        <v>216</v>
      </c>
      <c r="CZ1328" t="s">
        <v>216</v>
      </c>
      <c r="DA1328" t="s">
        <v>168</v>
      </c>
      <c r="DB1328" t="s">
        <v>216</v>
      </c>
      <c r="DC1328" t="s">
        <v>216</v>
      </c>
      <c r="DD1328" t="s">
        <v>216</v>
      </c>
      <c r="DE1328" t="s">
        <v>168</v>
      </c>
      <c r="DF1328" t="s">
        <v>168</v>
      </c>
      <c r="DG1328" t="s">
        <v>216</v>
      </c>
      <c r="DH1328" t="s">
        <v>216</v>
      </c>
      <c r="DI1328" t="s">
        <v>216</v>
      </c>
      <c r="DJ1328" t="s">
        <v>216</v>
      </c>
      <c r="DK1328" t="s">
        <v>168</v>
      </c>
      <c r="DL1328" t="s">
        <v>216</v>
      </c>
      <c r="DM1328" t="s">
        <v>216</v>
      </c>
      <c r="DN1328" t="s">
        <v>216</v>
      </c>
      <c r="DO1328" t="s">
        <v>216</v>
      </c>
      <c r="DP1328" t="s">
        <v>168</v>
      </c>
      <c r="DQ1328" t="s">
        <v>216</v>
      </c>
      <c r="DR1328" t="s">
        <v>168</v>
      </c>
      <c r="DS1328" t="s">
        <v>168</v>
      </c>
      <c r="DT1328" t="s">
        <v>168</v>
      </c>
      <c r="DU1328" t="s">
        <v>168</v>
      </c>
      <c r="DV1328" t="s">
        <v>168</v>
      </c>
      <c r="DW1328" t="s">
        <v>168</v>
      </c>
      <c r="DX1328" t="s">
        <v>168</v>
      </c>
      <c r="DY1328" t="s">
        <v>168</v>
      </c>
      <c r="DZ1328" t="s">
        <v>209</v>
      </c>
      <c r="EA1328" t="s">
        <v>216</v>
      </c>
      <c r="EB1328" t="s">
        <v>168</v>
      </c>
      <c r="EC1328" t="s">
        <v>168</v>
      </c>
      <c r="ED1328" t="s">
        <v>209</v>
      </c>
      <c r="EE1328" t="s">
        <v>168</v>
      </c>
      <c r="EL1328">
        <f>0.6</f>
        <v>0.6</v>
      </c>
      <c r="EM1328" t="s">
        <v>166</v>
      </c>
      <c r="EN1328">
        <f>0.45</f>
        <v>0.45</v>
      </c>
      <c r="EO1328">
        <f>0.24</f>
        <v>0.24</v>
      </c>
      <c r="ER1328">
        <f>1.3</f>
        <v>1.3</v>
      </c>
    </row>
    <row r="1329" spans="1:34" x14ac:dyDescent="0.25">
      <c r="A1329" t="s">
        <v>3837</v>
      </c>
      <c r="B1329" t="s">
        <v>148</v>
      </c>
      <c r="C1329" s="1">
        <v>45862</v>
      </c>
      <c r="D1329" t="s">
        <v>242</v>
      </c>
      <c r="E1329" t="s">
        <v>243</v>
      </c>
      <c r="F1329" t="s">
        <v>5284</v>
      </c>
      <c r="G1329" t="s">
        <v>5806</v>
      </c>
      <c r="H1329">
        <v>1133</v>
      </c>
      <c r="I1329" t="s">
        <v>5807</v>
      </c>
      <c r="J1329">
        <v>12771</v>
      </c>
      <c r="K1329" t="s">
        <v>5254</v>
      </c>
      <c r="L1329" t="s">
        <v>387</v>
      </c>
      <c r="M1329" t="s">
        <v>5808</v>
      </c>
      <c r="N1329" t="s">
        <v>5809</v>
      </c>
      <c r="O1329" t="s">
        <v>404</v>
      </c>
      <c r="R1329">
        <f>1</f>
        <v>1</v>
      </c>
      <c r="S1329">
        <f>21.5</f>
        <v>21.5</v>
      </c>
      <c r="T1329">
        <f>7.5</f>
        <v>7.5</v>
      </c>
      <c r="U1329">
        <f>510</f>
        <v>510</v>
      </c>
      <c r="V1329">
        <f>0.04</f>
        <v>0.04</v>
      </c>
      <c r="X1329">
        <f>0</f>
        <v>0</v>
      </c>
      <c r="Y1329" t="s">
        <v>157</v>
      </c>
      <c r="Z1329">
        <f>0</f>
        <v>0</v>
      </c>
      <c r="AA1329" t="s">
        <v>158</v>
      </c>
      <c r="AB1329" t="s">
        <v>158</v>
      </c>
      <c r="AD1329">
        <f>0</f>
        <v>0</v>
      </c>
      <c r="AE1329">
        <f>0</f>
        <v>0</v>
      </c>
      <c r="AH1329" t="s">
        <v>157</v>
      </c>
    </row>
    <row r="1330" spans="1:34" x14ac:dyDescent="0.25">
      <c r="A1330" t="s">
        <v>3838</v>
      </c>
      <c r="B1330" t="s">
        <v>148</v>
      </c>
      <c r="C1330" s="1">
        <v>45817</v>
      </c>
      <c r="D1330" t="s">
        <v>242</v>
      </c>
      <c r="E1330" t="s">
        <v>243</v>
      </c>
      <c r="F1330" t="s">
        <v>5284</v>
      </c>
      <c r="G1330" t="s">
        <v>5806</v>
      </c>
      <c r="H1330">
        <v>1133</v>
      </c>
      <c r="I1330" t="s">
        <v>5807</v>
      </c>
      <c r="J1330">
        <v>12771</v>
      </c>
      <c r="K1330" t="s">
        <v>5254</v>
      </c>
      <c r="L1330" t="s">
        <v>387</v>
      </c>
      <c r="M1330" t="s">
        <v>3332</v>
      </c>
      <c r="N1330" t="s">
        <v>3333</v>
      </c>
      <c r="O1330" t="s">
        <v>3334</v>
      </c>
      <c r="R1330">
        <f>1</f>
        <v>1</v>
      </c>
      <c r="S1330">
        <f>18.4</f>
        <v>18.399999999999999</v>
      </c>
      <c r="T1330">
        <f>7.7</f>
        <v>7.7</v>
      </c>
      <c r="U1330">
        <f>530</f>
        <v>530</v>
      </c>
      <c r="X1330">
        <f>0</f>
        <v>0</v>
      </c>
      <c r="Y1330" t="s">
        <v>157</v>
      </c>
      <c r="Z1330">
        <f>0</f>
        <v>0</v>
      </c>
      <c r="AA1330" t="s">
        <v>158</v>
      </c>
      <c r="AB1330" t="s">
        <v>158</v>
      </c>
      <c r="AD1330">
        <f>0</f>
        <v>0</v>
      </c>
      <c r="AE1330">
        <f>0</f>
        <v>0</v>
      </c>
      <c r="AH1330" t="s">
        <v>157</v>
      </c>
    </row>
    <row r="1331" spans="1:34" x14ac:dyDescent="0.25">
      <c r="A1331" t="s">
        <v>3839</v>
      </c>
      <c r="B1331" t="s">
        <v>148</v>
      </c>
      <c r="C1331" s="1">
        <v>45817</v>
      </c>
      <c r="D1331" t="s">
        <v>242</v>
      </c>
      <c r="E1331" t="s">
        <v>243</v>
      </c>
      <c r="F1331" t="s">
        <v>5284</v>
      </c>
      <c r="G1331" t="s">
        <v>5806</v>
      </c>
      <c r="H1331">
        <v>1133</v>
      </c>
      <c r="I1331" t="s">
        <v>5807</v>
      </c>
      <c r="J1331">
        <v>12771</v>
      </c>
      <c r="K1331" t="s">
        <v>5254</v>
      </c>
      <c r="L1331" t="s">
        <v>387</v>
      </c>
      <c r="M1331" t="s">
        <v>5810</v>
      </c>
      <c r="N1331" t="s">
        <v>5811</v>
      </c>
      <c r="O1331" t="s">
        <v>406</v>
      </c>
      <c r="R1331">
        <f>1</f>
        <v>1</v>
      </c>
      <c r="S1331">
        <f>16</f>
        <v>16</v>
      </c>
      <c r="T1331">
        <f>7.4</f>
        <v>7.4</v>
      </c>
      <c r="U1331">
        <f>526</f>
        <v>526</v>
      </c>
      <c r="V1331">
        <f>0.09</f>
        <v>0.09</v>
      </c>
      <c r="X1331">
        <f>0</f>
        <v>0</v>
      </c>
      <c r="Y1331" t="s">
        <v>157</v>
      </c>
      <c r="Z1331">
        <f>0</f>
        <v>0</v>
      </c>
      <c r="AA1331" t="s">
        <v>158</v>
      </c>
      <c r="AB1331" t="s">
        <v>158</v>
      </c>
      <c r="AD1331">
        <f>0</f>
        <v>0</v>
      </c>
      <c r="AE1331">
        <f>0</f>
        <v>0</v>
      </c>
      <c r="AH1331" t="s">
        <v>157</v>
      </c>
    </row>
    <row r="1332" spans="1:34" x14ac:dyDescent="0.25">
      <c r="A1332" t="s">
        <v>3840</v>
      </c>
      <c r="B1332" t="s">
        <v>148</v>
      </c>
      <c r="C1332" s="1">
        <v>45821</v>
      </c>
      <c r="D1332" t="s">
        <v>242</v>
      </c>
      <c r="E1332" t="s">
        <v>295</v>
      </c>
      <c r="F1332" t="s">
        <v>4944</v>
      </c>
      <c r="G1332" t="s">
        <v>5092</v>
      </c>
      <c r="H1332">
        <v>316</v>
      </c>
      <c r="I1332" t="s">
        <v>5092</v>
      </c>
      <c r="J1332">
        <v>18031</v>
      </c>
      <c r="K1332" t="s">
        <v>5254</v>
      </c>
      <c r="L1332" t="s">
        <v>154</v>
      </c>
      <c r="M1332" t="s">
        <v>5287</v>
      </c>
      <c r="N1332" t="s">
        <v>5288</v>
      </c>
      <c r="O1332" t="s">
        <v>408</v>
      </c>
      <c r="R1332">
        <f>1</f>
        <v>1</v>
      </c>
      <c r="S1332">
        <f>18.3</f>
        <v>18.3</v>
      </c>
      <c r="T1332">
        <f>7.4</f>
        <v>7.4</v>
      </c>
      <c r="U1332">
        <f>535</f>
        <v>535</v>
      </c>
      <c r="X1332">
        <f>0</f>
        <v>0</v>
      </c>
      <c r="Y1332">
        <f>0.15</f>
        <v>0.15</v>
      </c>
      <c r="Z1332">
        <f>0</f>
        <v>0</v>
      </c>
      <c r="AA1332" t="s">
        <v>158</v>
      </c>
      <c r="AB1332" t="s">
        <v>158</v>
      </c>
      <c r="AD1332">
        <f>0</f>
        <v>0</v>
      </c>
      <c r="AE1332">
        <f>0</f>
        <v>0</v>
      </c>
      <c r="AH1332" t="s">
        <v>166</v>
      </c>
    </row>
    <row r="1333" spans="1:34" x14ac:dyDescent="0.25">
      <c r="A1333" t="s">
        <v>3841</v>
      </c>
      <c r="B1333" t="s">
        <v>148</v>
      </c>
      <c r="C1333" s="1">
        <v>45818</v>
      </c>
      <c r="D1333" t="s">
        <v>242</v>
      </c>
      <c r="E1333" t="s">
        <v>243</v>
      </c>
      <c r="F1333" t="s">
        <v>244</v>
      </c>
      <c r="G1333" t="s">
        <v>245</v>
      </c>
      <c r="H1333">
        <v>154</v>
      </c>
      <c r="I1333" t="s">
        <v>4695</v>
      </c>
      <c r="J1333">
        <v>54400</v>
      </c>
      <c r="K1333" t="s">
        <v>5257</v>
      </c>
      <c r="L1333" t="s">
        <v>246</v>
      </c>
      <c r="M1333" t="s">
        <v>6813</v>
      </c>
      <c r="N1333" t="s">
        <v>3337</v>
      </c>
      <c r="O1333" t="s">
        <v>3338</v>
      </c>
      <c r="R1333">
        <f>1</f>
        <v>1</v>
      </c>
      <c r="S1333">
        <f>15.1</f>
        <v>15.1</v>
      </c>
      <c r="T1333">
        <f>7.4</f>
        <v>7.4</v>
      </c>
      <c r="U1333">
        <f>527</f>
        <v>527</v>
      </c>
      <c r="X1333">
        <f>0</f>
        <v>0</v>
      </c>
      <c r="Y1333">
        <f>0.24</f>
        <v>0.24</v>
      </c>
      <c r="Z1333">
        <f>0</f>
        <v>0</v>
      </c>
      <c r="AA1333" t="s">
        <v>158</v>
      </c>
      <c r="AB1333" t="s">
        <v>158</v>
      </c>
      <c r="AC1333">
        <f>0</f>
        <v>0</v>
      </c>
      <c r="AD1333">
        <f>0</f>
        <v>0</v>
      </c>
      <c r="AE1333">
        <f>0</f>
        <v>0</v>
      </c>
      <c r="AH1333" t="s">
        <v>157</v>
      </c>
    </row>
    <row r="1334" spans="1:34" x14ac:dyDescent="0.25">
      <c r="A1334" t="s">
        <v>3842</v>
      </c>
      <c r="B1334" t="s">
        <v>148</v>
      </c>
      <c r="C1334" s="1">
        <v>45818</v>
      </c>
      <c r="D1334" t="s">
        <v>242</v>
      </c>
      <c r="E1334" t="s">
        <v>243</v>
      </c>
      <c r="F1334" t="s">
        <v>244</v>
      </c>
      <c r="G1334" t="s">
        <v>245</v>
      </c>
      <c r="H1334">
        <v>154</v>
      </c>
      <c r="I1334" t="s">
        <v>4695</v>
      </c>
      <c r="J1334">
        <v>54400</v>
      </c>
      <c r="K1334" t="s">
        <v>5257</v>
      </c>
      <c r="L1334" t="s">
        <v>246</v>
      </c>
      <c r="M1334" t="s">
        <v>414</v>
      </c>
      <c r="N1334" t="s">
        <v>415</v>
      </c>
      <c r="O1334" t="s">
        <v>416</v>
      </c>
      <c r="R1334">
        <f>1</f>
        <v>1</v>
      </c>
      <c r="S1334">
        <f>16.5</f>
        <v>16.5</v>
      </c>
      <c r="T1334">
        <f>7.4</f>
        <v>7.4</v>
      </c>
      <c r="U1334">
        <f>568</f>
        <v>568</v>
      </c>
      <c r="V1334">
        <f>0.24</f>
        <v>0.24</v>
      </c>
      <c r="X1334">
        <f>1</f>
        <v>1</v>
      </c>
      <c r="Y1334" t="s">
        <v>157</v>
      </c>
      <c r="Z1334">
        <f>0</f>
        <v>0</v>
      </c>
      <c r="AA1334" t="s">
        <v>158</v>
      </c>
      <c r="AB1334" t="s">
        <v>158</v>
      </c>
      <c r="AC1334">
        <f>0</f>
        <v>0</v>
      </c>
      <c r="AD1334">
        <f>0</f>
        <v>0</v>
      </c>
      <c r="AE1334">
        <f>0</f>
        <v>0</v>
      </c>
      <c r="AH1334" t="s">
        <v>157</v>
      </c>
    </row>
    <row r="1335" spans="1:34" x14ac:dyDescent="0.25">
      <c r="A1335" t="s">
        <v>3843</v>
      </c>
      <c r="B1335" t="s">
        <v>148</v>
      </c>
      <c r="C1335" s="1">
        <v>45775</v>
      </c>
      <c r="D1335" t="s">
        <v>311</v>
      </c>
      <c r="E1335" t="s">
        <v>312</v>
      </c>
      <c r="F1335" t="s">
        <v>418</v>
      </c>
      <c r="G1335" t="s">
        <v>419</v>
      </c>
      <c r="H1335">
        <v>782</v>
      </c>
      <c r="I1335" t="s">
        <v>420</v>
      </c>
      <c r="J1335">
        <v>28100</v>
      </c>
      <c r="K1335" t="s">
        <v>5254</v>
      </c>
      <c r="L1335" t="s">
        <v>180</v>
      </c>
      <c r="M1335" t="s">
        <v>421</v>
      </c>
      <c r="N1335" t="s">
        <v>6544</v>
      </c>
      <c r="O1335" t="s">
        <v>422</v>
      </c>
      <c r="R1335">
        <f>1</f>
        <v>1</v>
      </c>
      <c r="S1335">
        <f>14.9</f>
        <v>14.9</v>
      </c>
      <c r="T1335">
        <f>7.4</f>
        <v>7.4</v>
      </c>
      <c r="U1335">
        <f>427</f>
        <v>427</v>
      </c>
      <c r="X1335">
        <f>0</f>
        <v>0</v>
      </c>
      <c r="Y1335" t="s">
        <v>157</v>
      </c>
      <c r="Z1335">
        <f>0</f>
        <v>0</v>
      </c>
      <c r="AA1335" t="s">
        <v>158</v>
      </c>
      <c r="AB1335" t="s">
        <v>158</v>
      </c>
      <c r="AD1335">
        <f>0</f>
        <v>0</v>
      </c>
      <c r="AE1335">
        <f>0</f>
        <v>0</v>
      </c>
      <c r="AH1335" t="s">
        <v>157</v>
      </c>
    </row>
    <row r="1336" spans="1:34" x14ac:dyDescent="0.25">
      <c r="A1336" t="s">
        <v>3844</v>
      </c>
      <c r="B1336" t="s">
        <v>148</v>
      </c>
      <c r="C1336" s="1">
        <v>45784</v>
      </c>
      <c r="D1336" t="s">
        <v>311</v>
      </c>
      <c r="E1336" t="s">
        <v>312</v>
      </c>
      <c r="F1336" t="s">
        <v>424</v>
      </c>
      <c r="G1336" t="s">
        <v>425</v>
      </c>
      <c r="H1336">
        <v>799</v>
      </c>
      <c r="I1336" t="s">
        <v>4700</v>
      </c>
      <c r="J1336">
        <v>84503</v>
      </c>
      <c r="K1336" t="s">
        <v>5254</v>
      </c>
      <c r="L1336" t="s">
        <v>180</v>
      </c>
      <c r="M1336" t="s">
        <v>426</v>
      </c>
      <c r="N1336" t="s">
        <v>5812</v>
      </c>
      <c r="O1336" t="s">
        <v>427</v>
      </c>
      <c r="R1336">
        <f>1</f>
        <v>1</v>
      </c>
      <c r="S1336">
        <f>15.8</f>
        <v>15.8</v>
      </c>
      <c r="T1336">
        <f>7.3</f>
        <v>7.3</v>
      </c>
      <c r="U1336">
        <f>471</f>
        <v>471</v>
      </c>
      <c r="V1336" t="s">
        <v>209</v>
      </c>
      <c r="X1336">
        <f>0</f>
        <v>0</v>
      </c>
      <c r="Y1336" t="s">
        <v>157</v>
      </c>
      <c r="Z1336">
        <f>0</f>
        <v>0</v>
      </c>
      <c r="AA1336" t="s">
        <v>158</v>
      </c>
      <c r="AB1336" t="s">
        <v>158</v>
      </c>
      <c r="AD1336">
        <f>0</f>
        <v>0</v>
      </c>
      <c r="AE1336">
        <f>0</f>
        <v>0</v>
      </c>
      <c r="AH1336" t="s">
        <v>157</v>
      </c>
    </row>
    <row r="1337" spans="1:34" x14ac:dyDescent="0.25">
      <c r="A1337" t="s">
        <v>3845</v>
      </c>
      <c r="B1337" t="s">
        <v>148</v>
      </c>
      <c r="C1337" s="1">
        <v>45826</v>
      </c>
      <c r="D1337" t="s">
        <v>311</v>
      </c>
      <c r="E1337" t="s">
        <v>312</v>
      </c>
      <c r="F1337" t="s">
        <v>349</v>
      </c>
      <c r="G1337" t="s">
        <v>5788</v>
      </c>
      <c r="H1337">
        <v>895</v>
      </c>
      <c r="I1337" t="s">
        <v>6539</v>
      </c>
      <c r="J1337">
        <v>17000</v>
      </c>
      <c r="K1337" t="s">
        <v>5257</v>
      </c>
      <c r="L1337" t="s">
        <v>350</v>
      </c>
      <c r="M1337" t="s">
        <v>6545</v>
      </c>
      <c r="N1337" t="s">
        <v>5813</v>
      </c>
      <c r="O1337" t="s">
        <v>437</v>
      </c>
      <c r="R1337">
        <f>1</f>
        <v>1</v>
      </c>
      <c r="S1337">
        <f>19.6</f>
        <v>19.600000000000001</v>
      </c>
      <c r="T1337">
        <f>7.9</f>
        <v>7.9</v>
      </c>
      <c r="U1337">
        <f>192</f>
        <v>192</v>
      </c>
      <c r="X1337">
        <f>0</f>
        <v>0</v>
      </c>
      <c r="Y1337">
        <f>0.1</f>
        <v>0.1</v>
      </c>
      <c r="Z1337">
        <f>0</f>
        <v>0</v>
      </c>
      <c r="AA1337" t="s">
        <v>158</v>
      </c>
      <c r="AB1337" t="s">
        <v>158</v>
      </c>
      <c r="AC1337">
        <f>0</f>
        <v>0</v>
      </c>
      <c r="AD1337">
        <f>0</f>
        <v>0</v>
      </c>
      <c r="AE1337">
        <f>0</f>
        <v>0</v>
      </c>
      <c r="AH1337" t="s">
        <v>157</v>
      </c>
    </row>
    <row r="1338" spans="1:34" x14ac:dyDescent="0.25">
      <c r="A1338" t="s">
        <v>3846</v>
      </c>
      <c r="B1338" t="s">
        <v>148</v>
      </c>
      <c r="C1338" s="1">
        <v>45770</v>
      </c>
      <c r="D1338" t="s">
        <v>311</v>
      </c>
      <c r="E1338" t="s">
        <v>312</v>
      </c>
      <c r="F1338" t="s">
        <v>424</v>
      </c>
      <c r="G1338" t="s">
        <v>425</v>
      </c>
      <c r="H1338">
        <v>799</v>
      </c>
      <c r="I1338" t="s">
        <v>4700</v>
      </c>
      <c r="J1338">
        <v>84503</v>
      </c>
      <c r="K1338" t="s">
        <v>5254</v>
      </c>
      <c r="L1338" t="s">
        <v>180</v>
      </c>
      <c r="M1338" t="s">
        <v>3345</v>
      </c>
      <c r="N1338" t="s">
        <v>3346</v>
      </c>
      <c r="O1338" t="s">
        <v>3347</v>
      </c>
      <c r="R1338">
        <f>1</f>
        <v>1</v>
      </c>
      <c r="S1338">
        <f>15.1</f>
        <v>15.1</v>
      </c>
      <c r="T1338">
        <f>7.3</f>
        <v>7.3</v>
      </c>
      <c r="U1338">
        <f>497</f>
        <v>497</v>
      </c>
      <c r="X1338">
        <f>0</f>
        <v>0</v>
      </c>
      <c r="Y1338" t="s">
        <v>157</v>
      </c>
      <c r="Z1338">
        <f>0</f>
        <v>0</v>
      </c>
      <c r="AA1338" t="s">
        <v>158</v>
      </c>
      <c r="AB1338" t="s">
        <v>158</v>
      </c>
      <c r="AD1338">
        <f>0</f>
        <v>0</v>
      </c>
      <c r="AE1338">
        <f>0</f>
        <v>0</v>
      </c>
      <c r="AH1338" t="s">
        <v>157</v>
      </c>
    </row>
    <row r="1339" spans="1:34" x14ac:dyDescent="0.25">
      <c r="A1339" t="s">
        <v>3847</v>
      </c>
      <c r="B1339" t="s">
        <v>148</v>
      </c>
      <c r="C1339" s="1">
        <v>45855</v>
      </c>
      <c r="D1339" t="s">
        <v>311</v>
      </c>
      <c r="E1339" t="s">
        <v>312</v>
      </c>
      <c r="F1339" t="s">
        <v>424</v>
      </c>
      <c r="G1339" t="s">
        <v>425</v>
      </c>
      <c r="H1339">
        <v>800</v>
      </c>
      <c r="I1339" t="s">
        <v>6546</v>
      </c>
      <c r="J1339">
        <v>26904</v>
      </c>
      <c r="K1339" t="s">
        <v>5254</v>
      </c>
      <c r="L1339" t="s">
        <v>439</v>
      </c>
      <c r="M1339" t="s">
        <v>6547</v>
      </c>
      <c r="N1339" t="s">
        <v>6548</v>
      </c>
      <c r="O1339" t="s">
        <v>440</v>
      </c>
      <c r="R1339">
        <f>1</f>
        <v>1</v>
      </c>
      <c r="S1339">
        <f>21.8</f>
        <v>21.8</v>
      </c>
      <c r="T1339">
        <f>7.3</f>
        <v>7.3</v>
      </c>
      <c r="U1339">
        <f>470</f>
        <v>470</v>
      </c>
      <c r="X1339">
        <f>0</f>
        <v>0</v>
      </c>
      <c r="Y1339" t="s">
        <v>157</v>
      </c>
      <c r="Z1339">
        <f>0</f>
        <v>0</v>
      </c>
      <c r="AA1339" t="s">
        <v>158</v>
      </c>
      <c r="AB1339" t="s">
        <v>158</v>
      </c>
      <c r="AD1339">
        <f>0</f>
        <v>0</v>
      </c>
      <c r="AE1339">
        <f>0</f>
        <v>0</v>
      </c>
      <c r="AH1339" t="s">
        <v>157</v>
      </c>
    </row>
    <row r="1340" spans="1:34" x14ac:dyDescent="0.25">
      <c r="A1340" t="s">
        <v>3848</v>
      </c>
      <c r="B1340" t="s">
        <v>148</v>
      </c>
      <c r="C1340" s="1">
        <v>45821</v>
      </c>
      <c r="D1340" t="s">
        <v>311</v>
      </c>
      <c r="E1340" t="s">
        <v>312</v>
      </c>
      <c r="F1340" t="s">
        <v>424</v>
      </c>
      <c r="G1340" t="s">
        <v>425</v>
      </c>
      <c r="H1340">
        <v>799</v>
      </c>
      <c r="I1340" t="s">
        <v>4700</v>
      </c>
      <c r="J1340">
        <v>84503</v>
      </c>
      <c r="K1340" t="s">
        <v>5254</v>
      </c>
      <c r="L1340" t="s">
        <v>180</v>
      </c>
      <c r="M1340" t="s">
        <v>6549</v>
      </c>
      <c r="N1340" t="s">
        <v>442</v>
      </c>
      <c r="O1340" t="s">
        <v>443</v>
      </c>
      <c r="R1340">
        <f>1</f>
        <v>1</v>
      </c>
      <c r="S1340">
        <f>17.6</f>
        <v>17.600000000000001</v>
      </c>
      <c r="T1340">
        <f>7.4</f>
        <v>7.4</v>
      </c>
      <c r="U1340">
        <f>495</f>
        <v>495</v>
      </c>
      <c r="X1340">
        <f>0</f>
        <v>0</v>
      </c>
      <c r="Y1340" t="s">
        <v>157</v>
      </c>
      <c r="Z1340">
        <f>0</f>
        <v>0</v>
      </c>
      <c r="AA1340" t="s">
        <v>158</v>
      </c>
      <c r="AB1340" t="s">
        <v>158</v>
      </c>
      <c r="AD1340">
        <f>0</f>
        <v>0</v>
      </c>
      <c r="AE1340">
        <f>0</f>
        <v>0</v>
      </c>
      <c r="AH1340" t="s">
        <v>157</v>
      </c>
    </row>
    <row r="1341" spans="1:34" x14ac:dyDescent="0.25">
      <c r="A1341" t="s">
        <v>3849</v>
      </c>
      <c r="B1341" t="s">
        <v>148</v>
      </c>
      <c r="C1341" s="1">
        <v>45791</v>
      </c>
      <c r="D1341" t="s">
        <v>311</v>
      </c>
      <c r="E1341" t="s">
        <v>312</v>
      </c>
      <c r="F1341" t="s">
        <v>424</v>
      </c>
      <c r="G1341" t="s">
        <v>425</v>
      </c>
      <c r="H1341">
        <v>799</v>
      </c>
      <c r="I1341" t="s">
        <v>4700</v>
      </c>
      <c r="J1341">
        <v>84503</v>
      </c>
      <c r="K1341" t="s">
        <v>5254</v>
      </c>
      <c r="L1341" t="s">
        <v>180</v>
      </c>
      <c r="M1341" t="s">
        <v>5102</v>
      </c>
      <c r="N1341" t="s">
        <v>445</v>
      </c>
      <c r="O1341" t="s">
        <v>446</v>
      </c>
      <c r="R1341">
        <f>1</f>
        <v>1</v>
      </c>
      <c r="S1341">
        <f>16.2</f>
        <v>16.2</v>
      </c>
      <c r="T1341">
        <f>7.5</f>
        <v>7.5</v>
      </c>
      <c r="U1341">
        <f>476</f>
        <v>476</v>
      </c>
      <c r="X1341">
        <f>0</f>
        <v>0</v>
      </c>
      <c r="Y1341" t="s">
        <v>157</v>
      </c>
      <c r="Z1341">
        <f>0</f>
        <v>0</v>
      </c>
      <c r="AA1341" t="s">
        <v>158</v>
      </c>
      <c r="AB1341" t="s">
        <v>158</v>
      </c>
      <c r="AD1341">
        <f>0</f>
        <v>0</v>
      </c>
      <c r="AE1341">
        <f>0</f>
        <v>0</v>
      </c>
      <c r="AH1341" t="s">
        <v>157</v>
      </c>
    </row>
    <row r="1342" spans="1:34" x14ac:dyDescent="0.25">
      <c r="A1342" t="s">
        <v>3850</v>
      </c>
      <c r="B1342" t="s">
        <v>148</v>
      </c>
      <c r="C1342" s="1">
        <v>45898</v>
      </c>
      <c r="D1342" t="s">
        <v>311</v>
      </c>
      <c r="E1342" t="s">
        <v>312</v>
      </c>
      <c r="F1342" t="s">
        <v>424</v>
      </c>
      <c r="G1342" t="s">
        <v>425</v>
      </c>
      <c r="H1342">
        <v>799</v>
      </c>
      <c r="I1342" t="s">
        <v>4700</v>
      </c>
      <c r="J1342">
        <v>84503</v>
      </c>
      <c r="K1342" t="s">
        <v>5254</v>
      </c>
      <c r="L1342" t="s">
        <v>180</v>
      </c>
      <c r="M1342" t="s">
        <v>448</v>
      </c>
      <c r="N1342" t="s">
        <v>449</v>
      </c>
      <c r="O1342" t="s">
        <v>450</v>
      </c>
      <c r="R1342">
        <f>1</f>
        <v>1</v>
      </c>
      <c r="S1342">
        <f>17.8</f>
        <v>17.8</v>
      </c>
      <c r="T1342">
        <f>7</f>
        <v>7</v>
      </c>
      <c r="U1342">
        <f>448</f>
        <v>448</v>
      </c>
      <c r="X1342">
        <f>0</f>
        <v>0</v>
      </c>
      <c r="Y1342" t="s">
        <v>157</v>
      </c>
      <c r="Z1342">
        <f>0</f>
        <v>0</v>
      </c>
      <c r="AA1342" t="s">
        <v>158</v>
      </c>
      <c r="AB1342" t="s">
        <v>158</v>
      </c>
      <c r="AD1342">
        <f>0</f>
        <v>0</v>
      </c>
      <c r="AE1342">
        <f>0</f>
        <v>0</v>
      </c>
      <c r="AH1342" t="s">
        <v>157</v>
      </c>
    </row>
    <row r="1343" spans="1:34" x14ac:dyDescent="0.25">
      <c r="A1343" t="s">
        <v>3851</v>
      </c>
      <c r="B1343" t="s">
        <v>148</v>
      </c>
      <c r="C1343" s="1">
        <v>45791</v>
      </c>
      <c r="D1343" t="s">
        <v>311</v>
      </c>
      <c r="E1343" t="s">
        <v>312</v>
      </c>
      <c r="F1343" t="s">
        <v>424</v>
      </c>
      <c r="G1343" t="s">
        <v>425</v>
      </c>
      <c r="H1343">
        <v>799</v>
      </c>
      <c r="I1343" t="s">
        <v>4700</v>
      </c>
      <c r="J1343">
        <v>84503</v>
      </c>
      <c r="K1343" t="s">
        <v>5254</v>
      </c>
      <c r="L1343" t="s">
        <v>180</v>
      </c>
      <c r="M1343" t="s">
        <v>5814</v>
      </c>
      <c r="N1343" t="s">
        <v>5815</v>
      </c>
      <c r="O1343" t="s">
        <v>452</v>
      </c>
      <c r="R1343">
        <f>1</f>
        <v>1</v>
      </c>
      <c r="S1343">
        <f>17.3</f>
        <v>17.3</v>
      </c>
      <c r="T1343">
        <f>7.5</f>
        <v>7.5</v>
      </c>
      <c r="U1343">
        <f>478</f>
        <v>478</v>
      </c>
      <c r="X1343">
        <f>0</f>
        <v>0</v>
      </c>
      <c r="Y1343" t="s">
        <v>157</v>
      </c>
      <c r="Z1343">
        <f>0</f>
        <v>0</v>
      </c>
      <c r="AA1343" t="s">
        <v>158</v>
      </c>
      <c r="AB1343" t="s">
        <v>158</v>
      </c>
      <c r="AD1343">
        <f>0</f>
        <v>0</v>
      </c>
      <c r="AE1343">
        <f>0</f>
        <v>0</v>
      </c>
      <c r="AH1343" t="s">
        <v>157</v>
      </c>
    </row>
    <row r="1344" spans="1:34" x14ac:dyDescent="0.25">
      <c r="A1344" t="s">
        <v>3852</v>
      </c>
      <c r="B1344" t="s">
        <v>148</v>
      </c>
      <c r="C1344" s="1">
        <v>45820</v>
      </c>
      <c r="D1344" t="s">
        <v>311</v>
      </c>
      <c r="E1344" t="s">
        <v>312</v>
      </c>
      <c r="F1344" t="s">
        <v>424</v>
      </c>
      <c r="G1344" t="s">
        <v>425</v>
      </c>
      <c r="H1344">
        <v>800</v>
      </c>
      <c r="I1344" t="s">
        <v>6546</v>
      </c>
      <c r="J1344">
        <v>26904</v>
      </c>
      <c r="K1344" t="s">
        <v>5254</v>
      </c>
      <c r="L1344" t="s">
        <v>439</v>
      </c>
      <c r="M1344" t="s">
        <v>5816</v>
      </c>
      <c r="N1344" t="s">
        <v>5817</v>
      </c>
      <c r="O1344" t="s">
        <v>454</v>
      </c>
      <c r="R1344">
        <f>1</f>
        <v>1</v>
      </c>
      <c r="S1344">
        <f>22.5</f>
        <v>22.5</v>
      </c>
      <c r="T1344">
        <f>7.5</f>
        <v>7.5</v>
      </c>
      <c r="U1344">
        <f>497</f>
        <v>497</v>
      </c>
      <c r="V1344" t="s">
        <v>209</v>
      </c>
      <c r="X1344">
        <f>0</f>
        <v>0</v>
      </c>
      <c r="Y1344" t="s">
        <v>157</v>
      </c>
      <c r="Z1344">
        <f>0</f>
        <v>0</v>
      </c>
      <c r="AA1344" t="s">
        <v>158</v>
      </c>
      <c r="AB1344" t="s">
        <v>158</v>
      </c>
      <c r="AD1344">
        <f>0</f>
        <v>0</v>
      </c>
      <c r="AE1344">
        <f>0</f>
        <v>0</v>
      </c>
      <c r="AH1344" t="s">
        <v>157</v>
      </c>
    </row>
    <row r="1345" spans="1:135" x14ac:dyDescent="0.25">
      <c r="A1345" t="s">
        <v>3853</v>
      </c>
      <c r="B1345" t="s">
        <v>148</v>
      </c>
      <c r="C1345" s="1">
        <v>45750</v>
      </c>
      <c r="D1345" t="s">
        <v>311</v>
      </c>
      <c r="E1345" t="s">
        <v>312</v>
      </c>
      <c r="F1345" t="s">
        <v>424</v>
      </c>
      <c r="G1345" t="s">
        <v>425</v>
      </c>
      <c r="H1345">
        <v>800</v>
      </c>
      <c r="I1345" t="s">
        <v>6546</v>
      </c>
      <c r="J1345">
        <v>26904</v>
      </c>
      <c r="K1345" t="s">
        <v>5254</v>
      </c>
      <c r="L1345" t="s">
        <v>439</v>
      </c>
      <c r="M1345" t="s">
        <v>6550</v>
      </c>
      <c r="N1345" t="s">
        <v>5818</v>
      </c>
      <c r="O1345" t="s">
        <v>459</v>
      </c>
      <c r="R1345">
        <f>1</f>
        <v>1</v>
      </c>
      <c r="S1345">
        <f>12.3</f>
        <v>12.3</v>
      </c>
      <c r="T1345">
        <f>7.2</f>
        <v>7.2</v>
      </c>
      <c r="U1345">
        <f>581</f>
        <v>581</v>
      </c>
      <c r="V1345">
        <f>0.12</f>
        <v>0.12</v>
      </c>
      <c r="X1345">
        <f>0</f>
        <v>0</v>
      </c>
      <c r="Y1345" t="s">
        <v>157</v>
      </c>
      <c r="Z1345">
        <f>0</f>
        <v>0</v>
      </c>
      <c r="AA1345" t="s">
        <v>158</v>
      </c>
      <c r="AB1345" t="s">
        <v>158</v>
      </c>
      <c r="AD1345">
        <f>0</f>
        <v>0</v>
      </c>
      <c r="AE1345">
        <f>0</f>
        <v>0</v>
      </c>
      <c r="AH1345" t="s">
        <v>157</v>
      </c>
    </row>
    <row r="1346" spans="1:135" x14ac:dyDescent="0.25">
      <c r="A1346" t="s">
        <v>3854</v>
      </c>
      <c r="B1346" t="s">
        <v>148</v>
      </c>
      <c r="C1346" s="1">
        <v>45824</v>
      </c>
      <c r="D1346" t="s">
        <v>311</v>
      </c>
      <c r="E1346" t="s">
        <v>312</v>
      </c>
      <c r="F1346" t="s">
        <v>424</v>
      </c>
      <c r="G1346" t="s">
        <v>425</v>
      </c>
      <c r="H1346">
        <v>803</v>
      </c>
      <c r="I1346" t="s">
        <v>4702</v>
      </c>
      <c r="J1346">
        <v>31048</v>
      </c>
      <c r="K1346" t="s">
        <v>5254</v>
      </c>
      <c r="L1346" t="s">
        <v>387</v>
      </c>
      <c r="M1346" t="s">
        <v>461</v>
      </c>
      <c r="N1346" t="s">
        <v>462</v>
      </c>
      <c r="O1346" t="s">
        <v>463</v>
      </c>
      <c r="R1346">
        <f>1</f>
        <v>1</v>
      </c>
      <c r="S1346">
        <f>20.9</f>
        <v>20.9</v>
      </c>
      <c r="T1346">
        <f>7.3</f>
        <v>7.3</v>
      </c>
      <c r="U1346">
        <f>478</f>
        <v>478</v>
      </c>
      <c r="V1346">
        <f>0.1</f>
        <v>0.1</v>
      </c>
      <c r="X1346">
        <f>0</f>
        <v>0</v>
      </c>
      <c r="Y1346" t="s">
        <v>157</v>
      </c>
      <c r="Z1346">
        <f>0</f>
        <v>0</v>
      </c>
      <c r="AA1346" t="s">
        <v>158</v>
      </c>
      <c r="AB1346" t="s">
        <v>158</v>
      </c>
      <c r="AD1346">
        <f>0</f>
        <v>0</v>
      </c>
      <c r="AE1346">
        <f>0</f>
        <v>0</v>
      </c>
      <c r="AH1346" t="s">
        <v>157</v>
      </c>
    </row>
    <row r="1347" spans="1:135" x14ac:dyDescent="0.25">
      <c r="A1347" t="s">
        <v>3855</v>
      </c>
      <c r="B1347" t="s">
        <v>148</v>
      </c>
      <c r="C1347" s="1">
        <v>45866</v>
      </c>
      <c r="D1347" t="s">
        <v>222</v>
      </c>
      <c r="E1347" t="s">
        <v>223</v>
      </c>
      <c r="F1347" t="s">
        <v>4938</v>
      </c>
      <c r="G1347" t="s">
        <v>5291</v>
      </c>
      <c r="H1347">
        <v>1471</v>
      </c>
      <c r="I1347" t="s">
        <v>5291</v>
      </c>
      <c r="J1347">
        <v>14988</v>
      </c>
      <c r="K1347" t="s">
        <v>5257</v>
      </c>
      <c r="L1347" t="s">
        <v>191</v>
      </c>
      <c r="M1347" t="s">
        <v>5292</v>
      </c>
      <c r="N1347" t="s">
        <v>5293</v>
      </c>
      <c r="O1347" t="s">
        <v>475</v>
      </c>
      <c r="Q1347" t="s">
        <v>925</v>
      </c>
      <c r="R1347">
        <f>1</f>
        <v>1</v>
      </c>
      <c r="S1347">
        <f>11.2</f>
        <v>11.2</v>
      </c>
      <c r="T1347">
        <f>8</f>
        <v>8</v>
      </c>
      <c r="U1347">
        <f>230</f>
        <v>230</v>
      </c>
      <c r="X1347">
        <f>1</f>
        <v>1</v>
      </c>
      <c r="Y1347">
        <f>0.19</f>
        <v>0.19</v>
      </c>
      <c r="Z1347">
        <f>0</f>
        <v>0</v>
      </c>
      <c r="AA1347">
        <f>0</f>
        <v>0</v>
      </c>
      <c r="AB1347">
        <f>0</f>
        <v>0</v>
      </c>
      <c r="AC1347">
        <f>0</f>
        <v>0</v>
      </c>
      <c r="AD1347">
        <f>0</f>
        <v>0</v>
      </c>
      <c r="AE1347">
        <f>0</f>
        <v>0</v>
      </c>
      <c r="AH1347" t="s">
        <v>166</v>
      </c>
    </row>
    <row r="1348" spans="1:135" x14ac:dyDescent="0.25">
      <c r="A1348" t="s">
        <v>3856</v>
      </c>
      <c r="B1348" t="s">
        <v>148</v>
      </c>
      <c r="C1348" s="1">
        <v>45819</v>
      </c>
      <c r="D1348" t="s">
        <v>311</v>
      </c>
      <c r="E1348" t="s">
        <v>312</v>
      </c>
      <c r="F1348" t="s">
        <v>424</v>
      </c>
      <c r="G1348" t="s">
        <v>425</v>
      </c>
      <c r="H1348">
        <v>799</v>
      </c>
      <c r="I1348" t="s">
        <v>4700</v>
      </c>
      <c r="J1348">
        <v>84503</v>
      </c>
      <c r="K1348" t="s">
        <v>5254</v>
      </c>
      <c r="L1348" t="s">
        <v>180</v>
      </c>
      <c r="M1348" t="s">
        <v>6552</v>
      </c>
      <c r="N1348" t="s">
        <v>5294</v>
      </c>
      <c r="O1348" t="s">
        <v>477</v>
      </c>
      <c r="R1348">
        <f>1</f>
        <v>1</v>
      </c>
      <c r="S1348">
        <f>13.2</f>
        <v>13.2</v>
      </c>
      <c r="T1348">
        <f>7.5</f>
        <v>7.5</v>
      </c>
      <c r="U1348">
        <f>475</f>
        <v>475</v>
      </c>
      <c r="X1348">
        <f>0</f>
        <v>0</v>
      </c>
      <c r="Y1348" t="s">
        <v>157</v>
      </c>
      <c r="Z1348">
        <f>0</f>
        <v>0</v>
      </c>
      <c r="AA1348" t="s">
        <v>158</v>
      </c>
      <c r="AB1348" t="s">
        <v>158</v>
      </c>
      <c r="AD1348">
        <f>0</f>
        <v>0</v>
      </c>
      <c r="AE1348">
        <f>0</f>
        <v>0</v>
      </c>
      <c r="AH1348" t="s">
        <v>157</v>
      </c>
    </row>
    <row r="1349" spans="1:135" x14ac:dyDescent="0.25">
      <c r="A1349" t="s">
        <v>3857</v>
      </c>
      <c r="B1349" t="s">
        <v>148</v>
      </c>
      <c r="C1349" s="1">
        <v>45819</v>
      </c>
      <c r="D1349" t="s">
        <v>311</v>
      </c>
      <c r="E1349" t="s">
        <v>312</v>
      </c>
      <c r="F1349" t="s">
        <v>424</v>
      </c>
      <c r="G1349" t="s">
        <v>425</v>
      </c>
      <c r="H1349">
        <v>799</v>
      </c>
      <c r="I1349" t="s">
        <v>4700</v>
      </c>
      <c r="J1349">
        <v>84503</v>
      </c>
      <c r="K1349" t="s">
        <v>5254</v>
      </c>
      <c r="L1349" t="s">
        <v>180</v>
      </c>
      <c r="M1349" t="s">
        <v>3360</v>
      </c>
      <c r="N1349" t="s">
        <v>3361</v>
      </c>
      <c r="O1349" t="s">
        <v>483</v>
      </c>
      <c r="R1349">
        <f>1</f>
        <v>1</v>
      </c>
      <c r="S1349">
        <f>17.6</f>
        <v>17.600000000000001</v>
      </c>
      <c r="T1349">
        <f>7.4</f>
        <v>7.4</v>
      </c>
      <c r="U1349">
        <f>469</f>
        <v>469</v>
      </c>
      <c r="X1349">
        <f>0</f>
        <v>0</v>
      </c>
      <c r="Y1349" t="s">
        <v>157</v>
      </c>
      <c r="Z1349">
        <f>0</f>
        <v>0</v>
      </c>
      <c r="AA1349" t="s">
        <v>158</v>
      </c>
      <c r="AB1349" t="s">
        <v>158</v>
      </c>
      <c r="AD1349">
        <f>0</f>
        <v>0</v>
      </c>
      <c r="AE1349">
        <f>0</f>
        <v>0</v>
      </c>
      <c r="AF1349" t="s">
        <v>249</v>
      </c>
      <c r="AH1349" t="s">
        <v>157</v>
      </c>
      <c r="AI1349" t="s">
        <v>238</v>
      </c>
      <c r="AL1349" t="s">
        <v>164</v>
      </c>
      <c r="AM1349" t="s">
        <v>165</v>
      </c>
      <c r="AN1349">
        <f>12</f>
        <v>12</v>
      </c>
      <c r="AO1349">
        <f>0.24</f>
        <v>0.24</v>
      </c>
      <c r="AP1349">
        <f>26</f>
        <v>26</v>
      </c>
      <c r="AQ1349">
        <f>21</f>
        <v>21</v>
      </c>
      <c r="AR1349">
        <f>0.11</f>
        <v>0.11</v>
      </c>
      <c r="AS1349">
        <f>16</f>
        <v>16</v>
      </c>
      <c r="AU1349">
        <f>0.037</f>
        <v>3.6999999999999998E-2</v>
      </c>
      <c r="AV1349" t="s">
        <v>249</v>
      </c>
      <c r="AW1349">
        <f>0.015</f>
        <v>1.4999999999999999E-2</v>
      </c>
      <c r="AY1349" t="s">
        <v>167</v>
      </c>
      <c r="AZ1349" t="s">
        <v>158</v>
      </c>
      <c r="BA1349">
        <f>0.049</f>
        <v>4.9000000000000002E-2</v>
      </c>
      <c r="BB1349" t="s">
        <v>158</v>
      </c>
      <c r="BC1349" t="s">
        <v>166</v>
      </c>
      <c r="BD1349" t="s">
        <v>167</v>
      </c>
      <c r="BE1349">
        <f>0.0024</f>
        <v>2.3999999999999998E-3</v>
      </c>
      <c r="BF1349" t="s">
        <v>168</v>
      </c>
      <c r="BG1349" t="s">
        <v>167</v>
      </c>
      <c r="BH1349">
        <f>1.1</f>
        <v>1.1000000000000001</v>
      </c>
      <c r="BK1349">
        <f>1.3</f>
        <v>1.3</v>
      </c>
      <c r="BL1349" t="s">
        <v>168</v>
      </c>
      <c r="BM1349" t="s">
        <v>168</v>
      </c>
      <c r="BN1349" t="s">
        <v>168</v>
      </c>
      <c r="BO1349" t="s">
        <v>168</v>
      </c>
      <c r="BP1349" t="s">
        <v>168</v>
      </c>
      <c r="BQ1349" t="s">
        <v>168</v>
      </c>
      <c r="BR1349" t="s">
        <v>168</v>
      </c>
      <c r="BS1349" t="s">
        <v>168</v>
      </c>
      <c r="BT1349" t="s">
        <v>216</v>
      </c>
      <c r="BU1349" t="s">
        <v>168</v>
      </c>
      <c r="BV1349" t="s">
        <v>209</v>
      </c>
      <c r="BW1349" t="s">
        <v>209</v>
      </c>
      <c r="BX1349" t="s">
        <v>209</v>
      </c>
      <c r="BY1349" t="s">
        <v>209</v>
      </c>
      <c r="BZ1349" t="s">
        <v>216</v>
      </c>
      <c r="CA1349" t="s">
        <v>216</v>
      </c>
      <c r="CB1349" t="s">
        <v>168</v>
      </c>
      <c r="CC1349" t="s">
        <v>168</v>
      </c>
      <c r="CD1349" t="s">
        <v>216</v>
      </c>
      <c r="CE1349" t="s">
        <v>209</v>
      </c>
      <c r="CF1349" t="s">
        <v>168</v>
      </c>
      <c r="CG1349" t="s">
        <v>168</v>
      </c>
      <c r="CH1349" t="s">
        <v>165</v>
      </c>
      <c r="CI1349">
        <f>0.015</f>
        <v>1.4999999999999999E-2</v>
      </c>
      <c r="CJ1349" t="s">
        <v>216</v>
      </c>
      <c r="CK1349" t="s">
        <v>216</v>
      </c>
      <c r="CL1349" t="s">
        <v>216</v>
      </c>
      <c r="CM1349" t="s">
        <v>216</v>
      </c>
      <c r="CN1349" t="s">
        <v>216</v>
      </c>
      <c r="CO1349" t="s">
        <v>216</v>
      </c>
      <c r="CP1349" t="s">
        <v>216</v>
      </c>
      <c r="CQ1349" t="s">
        <v>216</v>
      </c>
      <c r="CR1349">
        <f>0.013</f>
        <v>1.2999999999999999E-2</v>
      </c>
      <c r="CS1349" t="s">
        <v>216</v>
      </c>
      <c r="CT1349" t="s">
        <v>216</v>
      </c>
      <c r="CU1349" t="s">
        <v>216</v>
      </c>
      <c r="CV1349" t="s">
        <v>216</v>
      </c>
      <c r="CW1349" t="s">
        <v>216</v>
      </c>
      <c r="CX1349" t="s">
        <v>216</v>
      </c>
      <c r="CY1349" t="s">
        <v>216</v>
      </c>
      <c r="CZ1349" t="s">
        <v>216</v>
      </c>
      <c r="DA1349" t="s">
        <v>168</v>
      </c>
      <c r="DB1349" t="s">
        <v>216</v>
      </c>
      <c r="DC1349" t="s">
        <v>216</v>
      </c>
      <c r="DD1349" t="s">
        <v>216</v>
      </c>
      <c r="DE1349" t="s">
        <v>168</v>
      </c>
      <c r="DF1349" t="s">
        <v>168</v>
      </c>
      <c r="DG1349" t="s">
        <v>216</v>
      </c>
      <c r="DH1349" t="s">
        <v>216</v>
      </c>
      <c r="DI1349" t="s">
        <v>216</v>
      </c>
      <c r="DJ1349" t="s">
        <v>216</v>
      </c>
      <c r="DK1349" t="s">
        <v>168</v>
      </c>
      <c r="DL1349" t="s">
        <v>216</v>
      </c>
      <c r="DM1349" t="s">
        <v>216</v>
      </c>
      <c r="DN1349" t="s">
        <v>216</v>
      </c>
      <c r="DO1349" t="s">
        <v>216</v>
      </c>
      <c r="DP1349" t="s">
        <v>168</v>
      </c>
      <c r="DQ1349" t="s">
        <v>216</v>
      </c>
      <c r="DR1349" t="s">
        <v>168</v>
      </c>
      <c r="DS1349" t="s">
        <v>168</v>
      </c>
      <c r="DT1349" t="s">
        <v>168</v>
      </c>
      <c r="DU1349" t="s">
        <v>168</v>
      </c>
      <c r="DV1349" t="s">
        <v>168</v>
      </c>
      <c r="DW1349" t="s">
        <v>168</v>
      </c>
      <c r="DX1349" t="s">
        <v>168</v>
      </c>
      <c r="DY1349" t="s">
        <v>168</v>
      </c>
      <c r="DZ1349" t="s">
        <v>209</v>
      </c>
      <c r="EA1349" t="s">
        <v>216</v>
      </c>
      <c r="EB1349" t="s">
        <v>168</v>
      </c>
      <c r="EC1349" t="s">
        <v>168</v>
      </c>
      <c r="ED1349" t="s">
        <v>209</v>
      </c>
      <c r="EE1349" t="s">
        <v>168</v>
      </c>
    </row>
    <row r="1350" spans="1:135" x14ac:dyDescent="0.25">
      <c r="A1350" t="s">
        <v>3858</v>
      </c>
      <c r="B1350" t="s">
        <v>148</v>
      </c>
      <c r="C1350" s="1">
        <v>45814</v>
      </c>
      <c r="D1350" t="s">
        <v>311</v>
      </c>
      <c r="E1350" t="s">
        <v>312</v>
      </c>
      <c r="F1350" t="s">
        <v>424</v>
      </c>
      <c r="G1350" t="s">
        <v>425</v>
      </c>
      <c r="H1350">
        <v>799</v>
      </c>
      <c r="I1350" t="s">
        <v>4700</v>
      </c>
      <c r="J1350">
        <v>84503</v>
      </c>
      <c r="K1350" t="s">
        <v>5254</v>
      </c>
      <c r="L1350" t="s">
        <v>180</v>
      </c>
      <c r="M1350" t="s">
        <v>482</v>
      </c>
      <c r="N1350" t="s">
        <v>4703</v>
      </c>
      <c r="O1350" t="s">
        <v>483</v>
      </c>
      <c r="R1350">
        <f>1</f>
        <v>1</v>
      </c>
      <c r="S1350">
        <f>16.8</f>
        <v>16.8</v>
      </c>
      <c r="T1350">
        <f>7.6</f>
        <v>7.6</v>
      </c>
      <c r="U1350">
        <f>470</f>
        <v>470</v>
      </c>
      <c r="X1350">
        <f>0</f>
        <v>0</v>
      </c>
      <c r="Y1350" t="s">
        <v>157</v>
      </c>
      <c r="Z1350">
        <f>0</f>
        <v>0</v>
      </c>
      <c r="AA1350" t="s">
        <v>158</v>
      </c>
      <c r="AB1350" t="s">
        <v>158</v>
      </c>
      <c r="AD1350">
        <f>0</f>
        <v>0</v>
      </c>
      <c r="AE1350">
        <f>0</f>
        <v>0</v>
      </c>
      <c r="AH1350" t="s">
        <v>157</v>
      </c>
    </row>
    <row r="1351" spans="1:135" x14ac:dyDescent="0.25">
      <c r="A1351" t="s">
        <v>3859</v>
      </c>
      <c r="B1351" t="s">
        <v>148</v>
      </c>
      <c r="C1351" s="1">
        <v>45853</v>
      </c>
      <c r="D1351" t="s">
        <v>311</v>
      </c>
      <c r="E1351" t="s">
        <v>312</v>
      </c>
      <c r="F1351" t="s">
        <v>424</v>
      </c>
      <c r="G1351" t="s">
        <v>425</v>
      </c>
      <c r="H1351">
        <v>800</v>
      </c>
      <c r="I1351" t="s">
        <v>6546</v>
      </c>
      <c r="J1351">
        <v>26904</v>
      </c>
      <c r="K1351" t="s">
        <v>5254</v>
      </c>
      <c r="L1351" t="s">
        <v>439</v>
      </c>
      <c r="M1351" t="s">
        <v>485</v>
      </c>
      <c r="N1351" t="s">
        <v>4955</v>
      </c>
      <c r="O1351" t="s">
        <v>486</v>
      </c>
      <c r="R1351">
        <f>1</f>
        <v>1</v>
      </c>
      <c r="S1351">
        <f>19.6</f>
        <v>19.600000000000001</v>
      </c>
      <c r="T1351">
        <f>7.2</f>
        <v>7.2</v>
      </c>
      <c r="U1351">
        <f>591</f>
        <v>591</v>
      </c>
      <c r="X1351">
        <f>0</f>
        <v>0</v>
      </c>
      <c r="Y1351" t="s">
        <v>157</v>
      </c>
      <c r="Z1351">
        <f>0</f>
        <v>0</v>
      </c>
      <c r="AA1351" t="s">
        <v>158</v>
      </c>
      <c r="AB1351" t="s">
        <v>158</v>
      </c>
      <c r="AD1351">
        <f>0</f>
        <v>0</v>
      </c>
      <c r="AE1351">
        <f>0</f>
        <v>0</v>
      </c>
      <c r="AH1351" t="s">
        <v>157</v>
      </c>
    </row>
    <row r="1352" spans="1:135" x14ac:dyDescent="0.25">
      <c r="A1352" t="s">
        <v>3860</v>
      </c>
      <c r="B1352" t="s">
        <v>148</v>
      </c>
      <c r="C1352" s="1">
        <v>45784</v>
      </c>
      <c r="D1352" t="s">
        <v>311</v>
      </c>
      <c r="E1352" t="s">
        <v>312</v>
      </c>
      <c r="F1352" t="s">
        <v>424</v>
      </c>
      <c r="G1352" t="s">
        <v>425</v>
      </c>
      <c r="H1352">
        <v>800</v>
      </c>
      <c r="I1352" t="s">
        <v>6546</v>
      </c>
      <c r="J1352">
        <v>26904</v>
      </c>
      <c r="K1352" t="s">
        <v>5254</v>
      </c>
      <c r="L1352" t="s">
        <v>439</v>
      </c>
      <c r="M1352" t="s">
        <v>488</v>
      </c>
      <c r="N1352" t="s">
        <v>4704</v>
      </c>
      <c r="O1352" t="s">
        <v>489</v>
      </c>
      <c r="R1352">
        <f>1</f>
        <v>1</v>
      </c>
      <c r="S1352">
        <f>17.1</f>
        <v>17.100000000000001</v>
      </c>
      <c r="T1352">
        <f>7.4</f>
        <v>7.4</v>
      </c>
      <c r="U1352">
        <f>371</f>
        <v>371</v>
      </c>
      <c r="V1352">
        <f>0.11</f>
        <v>0.11</v>
      </c>
      <c r="X1352">
        <f>0</f>
        <v>0</v>
      </c>
      <c r="Y1352" t="s">
        <v>157</v>
      </c>
      <c r="Z1352">
        <f>0</f>
        <v>0</v>
      </c>
      <c r="AA1352" t="s">
        <v>158</v>
      </c>
      <c r="AB1352" t="s">
        <v>158</v>
      </c>
      <c r="AD1352">
        <f>0</f>
        <v>0</v>
      </c>
      <c r="AE1352">
        <f>0</f>
        <v>0</v>
      </c>
      <c r="AH1352" t="s">
        <v>157</v>
      </c>
    </row>
    <row r="1353" spans="1:135" x14ac:dyDescent="0.25">
      <c r="A1353" t="s">
        <v>3861</v>
      </c>
      <c r="B1353" t="s">
        <v>148</v>
      </c>
      <c r="C1353" s="1">
        <v>45831</v>
      </c>
      <c r="D1353" t="s">
        <v>311</v>
      </c>
      <c r="E1353" t="s">
        <v>312</v>
      </c>
      <c r="F1353" t="s">
        <v>424</v>
      </c>
      <c r="G1353" t="s">
        <v>425</v>
      </c>
      <c r="H1353">
        <v>803</v>
      </c>
      <c r="I1353" t="s">
        <v>4702</v>
      </c>
      <c r="J1353">
        <v>31048</v>
      </c>
      <c r="K1353" t="s">
        <v>5254</v>
      </c>
      <c r="L1353" t="s">
        <v>387</v>
      </c>
      <c r="M1353" t="s">
        <v>3365</v>
      </c>
      <c r="N1353" t="s">
        <v>6187</v>
      </c>
      <c r="O1353" t="s">
        <v>3366</v>
      </c>
      <c r="R1353">
        <f>1</f>
        <v>1</v>
      </c>
      <c r="S1353">
        <f>17.7</f>
        <v>17.7</v>
      </c>
      <c r="T1353">
        <f>7.4</f>
        <v>7.4</v>
      </c>
      <c r="U1353">
        <f>481</f>
        <v>481</v>
      </c>
      <c r="X1353">
        <f>0</f>
        <v>0</v>
      </c>
      <c r="Y1353" t="s">
        <v>157</v>
      </c>
      <c r="Z1353">
        <f>0</f>
        <v>0</v>
      </c>
      <c r="AA1353" t="s">
        <v>158</v>
      </c>
      <c r="AB1353" t="s">
        <v>158</v>
      </c>
      <c r="AD1353">
        <f>0</f>
        <v>0</v>
      </c>
      <c r="AE1353">
        <f>0</f>
        <v>0</v>
      </c>
      <c r="AH1353" t="s">
        <v>157</v>
      </c>
    </row>
    <row r="1354" spans="1:135" x14ac:dyDescent="0.25">
      <c r="A1354" t="s">
        <v>3862</v>
      </c>
      <c r="B1354" t="s">
        <v>148</v>
      </c>
      <c r="C1354" s="1">
        <v>45810</v>
      </c>
      <c r="D1354" t="s">
        <v>311</v>
      </c>
      <c r="E1354" t="s">
        <v>312</v>
      </c>
      <c r="F1354" t="s">
        <v>424</v>
      </c>
      <c r="G1354" t="s">
        <v>425</v>
      </c>
      <c r="H1354">
        <v>803</v>
      </c>
      <c r="I1354" t="s">
        <v>4702</v>
      </c>
      <c r="J1354">
        <v>31048</v>
      </c>
      <c r="K1354" t="s">
        <v>5254</v>
      </c>
      <c r="L1354" t="s">
        <v>387</v>
      </c>
      <c r="M1354" t="s">
        <v>491</v>
      </c>
      <c r="N1354" t="s">
        <v>492</v>
      </c>
      <c r="O1354" t="s">
        <v>493</v>
      </c>
      <c r="R1354">
        <f>1</f>
        <v>1</v>
      </c>
      <c r="S1354">
        <f>17.1</f>
        <v>17.100000000000001</v>
      </c>
      <c r="T1354">
        <f>7.5</f>
        <v>7.5</v>
      </c>
      <c r="U1354">
        <f>485</f>
        <v>485</v>
      </c>
      <c r="X1354">
        <f>0</f>
        <v>0</v>
      </c>
      <c r="Y1354" t="s">
        <v>157</v>
      </c>
      <c r="Z1354">
        <f>0</f>
        <v>0</v>
      </c>
      <c r="AA1354" t="s">
        <v>158</v>
      </c>
      <c r="AB1354" t="s">
        <v>158</v>
      </c>
      <c r="AD1354">
        <f>0</f>
        <v>0</v>
      </c>
      <c r="AE1354">
        <f>0</f>
        <v>0</v>
      </c>
      <c r="AH1354" t="s">
        <v>157</v>
      </c>
    </row>
    <row r="1355" spans="1:135" x14ac:dyDescent="0.25">
      <c r="A1355" t="s">
        <v>3863</v>
      </c>
      <c r="B1355" t="s">
        <v>268</v>
      </c>
      <c r="C1355" s="1">
        <v>45856</v>
      </c>
      <c r="D1355" t="s">
        <v>222</v>
      </c>
      <c r="E1355" t="s">
        <v>223</v>
      </c>
      <c r="F1355" t="s">
        <v>224</v>
      </c>
      <c r="G1355" t="s">
        <v>229</v>
      </c>
      <c r="H1355">
        <v>367</v>
      </c>
      <c r="I1355" t="s">
        <v>495</v>
      </c>
      <c r="J1355">
        <v>29670</v>
      </c>
      <c r="K1355" t="s">
        <v>5257</v>
      </c>
      <c r="L1355" t="s">
        <v>4956</v>
      </c>
      <c r="M1355" t="s">
        <v>6189</v>
      </c>
      <c r="N1355" t="s">
        <v>4906</v>
      </c>
      <c r="R1355">
        <f>1</f>
        <v>1</v>
      </c>
      <c r="S1355">
        <f>14.4</f>
        <v>14.4</v>
      </c>
      <c r="T1355">
        <f>7.9</f>
        <v>7.9</v>
      </c>
      <c r="U1355">
        <f>243</f>
        <v>243</v>
      </c>
      <c r="X1355">
        <f>1</f>
        <v>1</v>
      </c>
      <c r="Y1355">
        <f>0.06</f>
        <v>0.06</v>
      </c>
      <c r="Z1355">
        <f>0</f>
        <v>0</v>
      </c>
      <c r="AA1355">
        <f>2</f>
        <v>2</v>
      </c>
      <c r="AB1355">
        <f>1</f>
        <v>1</v>
      </c>
      <c r="AC1355">
        <f>0</f>
        <v>0</v>
      </c>
      <c r="AD1355">
        <f>0</f>
        <v>0</v>
      </c>
      <c r="AE1355">
        <f>1</f>
        <v>1</v>
      </c>
      <c r="AH1355" t="s">
        <v>166</v>
      </c>
    </row>
    <row r="1356" spans="1:135" x14ac:dyDescent="0.25">
      <c r="A1356" t="s">
        <v>3864</v>
      </c>
      <c r="B1356" t="s">
        <v>148</v>
      </c>
      <c r="C1356" s="1">
        <v>45818</v>
      </c>
      <c r="D1356" t="s">
        <v>242</v>
      </c>
      <c r="E1356" t="s">
        <v>243</v>
      </c>
      <c r="F1356" t="s">
        <v>244</v>
      </c>
      <c r="G1356" t="s">
        <v>245</v>
      </c>
      <c r="H1356">
        <v>154</v>
      </c>
      <c r="I1356" t="s">
        <v>4695</v>
      </c>
      <c r="J1356">
        <v>54400</v>
      </c>
      <c r="K1356" t="s">
        <v>5257</v>
      </c>
      <c r="L1356" t="s">
        <v>246</v>
      </c>
      <c r="M1356" t="s">
        <v>3371</v>
      </c>
      <c r="N1356" t="s">
        <v>3372</v>
      </c>
      <c r="O1356" t="s">
        <v>3373</v>
      </c>
      <c r="Q1356" t="s">
        <v>6480</v>
      </c>
      <c r="R1356">
        <f>1</f>
        <v>1</v>
      </c>
      <c r="S1356">
        <f>15</f>
        <v>15</v>
      </c>
      <c r="T1356">
        <f>7.7</f>
        <v>7.7</v>
      </c>
      <c r="U1356">
        <f>485</f>
        <v>485</v>
      </c>
      <c r="V1356">
        <f>0.18</f>
        <v>0.18</v>
      </c>
      <c r="X1356">
        <f>1</f>
        <v>1</v>
      </c>
      <c r="Y1356" t="s">
        <v>157</v>
      </c>
      <c r="Z1356">
        <f>0</f>
        <v>0</v>
      </c>
      <c r="AA1356" t="s">
        <v>158</v>
      </c>
      <c r="AB1356" t="s">
        <v>158</v>
      </c>
      <c r="AC1356">
        <f>0</f>
        <v>0</v>
      </c>
      <c r="AD1356">
        <f>0</f>
        <v>0</v>
      </c>
      <c r="AE1356">
        <f>0</f>
        <v>0</v>
      </c>
      <c r="AF1356" t="s">
        <v>249</v>
      </c>
      <c r="AH1356" t="s">
        <v>157</v>
      </c>
      <c r="AU1356" t="s">
        <v>249</v>
      </c>
      <c r="AV1356" t="s">
        <v>249</v>
      </c>
      <c r="AW1356" t="s">
        <v>249</v>
      </c>
    </row>
    <row r="1357" spans="1:135" x14ac:dyDescent="0.25">
      <c r="A1357" t="s">
        <v>3865</v>
      </c>
      <c r="B1357" t="s">
        <v>148</v>
      </c>
      <c r="C1357" s="1">
        <v>45842</v>
      </c>
      <c r="D1357" t="s">
        <v>242</v>
      </c>
      <c r="E1357" t="s">
        <v>243</v>
      </c>
      <c r="F1357" t="s">
        <v>244</v>
      </c>
      <c r="G1357" t="s">
        <v>245</v>
      </c>
      <c r="H1357">
        <v>154</v>
      </c>
      <c r="I1357" t="s">
        <v>4695</v>
      </c>
      <c r="J1357">
        <v>54400</v>
      </c>
      <c r="K1357" t="s">
        <v>5257</v>
      </c>
      <c r="L1357" t="s">
        <v>246</v>
      </c>
      <c r="M1357" t="s">
        <v>499</v>
      </c>
      <c r="N1357" t="s">
        <v>5819</v>
      </c>
      <c r="O1357" t="s">
        <v>500</v>
      </c>
      <c r="R1357">
        <f>1</f>
        <v>1</v>
      </c>
      <c r="S1357">
        <f>15.9</f>
        <v>15.9</v>
      </c>
      <c r="T1357">
        <f>7.3</f>
        <v>7.3</v>
      </c>
      <c r="U1357">
        <f>466</f>
        <v>466</v>
      </c>
      <c r="X1357">
        <f>0</f>
        <v>0</v>
      </c>
      <c r="Y1357" t="s">
        <v>157</v>
      </c>
      <c r="Z1357">
        <f>0</f>
        <v>0</v>
      </c>
      <c r="AA1357" t="s">
        <v>158</v>
      </c>
      <c r="AB1357" t="s">
        <v>158</v>
      </c>
      <c r="AC1357">
        <f>0</f>
        <v>0</v>
      </c>
      <c r="AD1357">
        <f>0</f>
        <v>0</v>
      </c>
      <c r="AE1357">
        <f>0</f>
        <v>0</v>
      </c>
      <c r="AH1357" t="s">
        <v>157</v>
      </c>
    </row>
    <row r="1358" spans="1:135" x14ac:dyDescent="0.25">
      <c r="A1358" t="s">
        <v>3866</v>
      </c>
      <c r="B1358" t="s">
        <v>148</v>
      </c>
      <c r="C1358" s="1">
        <v>45747</v>
      </c>
      <c r="D1358" t="s">
        <v>222</v>
      </c>
      <c r="E1358" t="s">
        <v>223</v>
      </c>
      <c r="F1358" t="s">
        <v>224</v>
      </c>
      <c r="G1358" t="s">
        <v>229</v>
      </c>
      <c r="H1358">
        <v>367</v>
      </c>
      <c r="I1358" t="s">
        <v>495</v>
      </c>
      <c r="J1358">
        <v>29670</v>
      </c>
      <c r="K1358" t="s">
        <v>5257</v>
      </c>
      <c r="L1358" t="s">
        <v>4956</v>
      </c>
      <c r="M1358" t="s">
        <v>4907</v>
      </c>
      <c r="N1358" t="s">
        <v>3378</v>
      </c>
      <c r="Q1358" t="s">
        <v>1280</v>
      </c>
      <c r="R1358">
        <f>1</f>
        <v>1</v>
      </c>
      <c r="S1358">
        <f>12.8</f>
        <v>12.8</v>
      </c>
      <c r="T1358">
        <f>8</f>
        <v>8</v>
      </c>
      <c r="U1358">
        <f>214</f>
        <v>214</v>
      </c>
      <c r="V1358">
        <f>0.08</f>
        <v>0.08</v>
      </c>
      <c r="X1358">
        <f>1</f>
        <v>1</v>
      </c>
      <c r="Y1358">
        <f>0.09</f>
        <v>0.09</v>
      </c>
      <c r="Z1358">
        <f>0</f>
        <v>0</v>
      </c>
      <c r="AA1358">
        <f>0</f>
        <v>0</v>
      </c>
      <c r="AB1358">
        <f>0</f>
        <v>0</v>
      </c>
      <c r="AC1358">
        <f>0</f>
        <v>0</v>
      </c>
      <c r="AD1358">
        <f>0</f>
        <v>0</v>
      </c>
      <c r="AE1358">
        <f>0</f>
        <v>0</v>
      </c>
      <c r="AH1358" t="s">
        <v>166</v>
      </c>
    </row>
    <row r="1359" spans="1:135" x14ac:dyDescent="0.25">
      <c r="A1359" t="s">
        <v>3867</v>
      </c>
      <c r="B1359" t="s">
        <v>148</v>
      </c>
      <c r="C1359" s="1">
        <v>45847</v>
      </c>
      <c r="D1359" t="s">
        <v>222</v>
      </c>
      <c r="E1359" t="s">
        <v>223</v>
      </c>
      <c r="F1359" t="s">
        <v>224</v>
      </c>
      <c r="G1359" t="s">
        <v>229</v>
      </c>
      <c r="H1359">
        <v>367</v>
      </c>
      <c r="I1359" t="s">
        <v>495</v>
      </c>
      <c r="J1359">
        <v>29670</v>
      </c>
      <c r="K1359" t="s">
        <v>5257</v>
      </c>
      <c r="L1359" t="s">
        <v>4956</v>
      </c>
      <c r="M1359" t="s">
        <v>5705</v>
      </c>
      <c r="N1359" t="s">
        <v>3381</v>
      </c>
      <c r="Q1359" t="s">
        <v>6481</v>
      </c>
      <c r="R1359">
        <f>1</f>
        <v>1</v>
      </c>
      <c r="S1359">
        <f>15.8</f>
        <v>15.8</v>
      </c>
      <c r="T1359">
        <f>8.1</f>
        <v>8.1</v>
      </c>
      <c r="U1359">
        <f>241</f>
        <v>241</v>
      </c>
      <c r="X1359">
        <f>1</f>
        <v>1</v>
      </c>
      <c r="Y1359">
        <f>0</f>
        <v>0</v>
      </c>
      <c r="Z1359">
        <f>0</f>
        <v>0</v>
      </c>
      <c r="AA1359">
        <f>0</f>
        <v>0</v>
      </c>
      <c r="AB1359">
        <f>0</f>
        <v>0</v>
      </c>
      <c r="AC1359">
        <f>0</f>
        <v>0</v>
      </c>
      <c r="AD1359">
        <f>0</f>
        <v>0</v>
      </c>
      <c r="AE1359">
        <f>0</f>
        <v>0</v>
      </c>
      <c r="AH1359" t="s">
        <v>166</v>
      </c>
    </row>
    <row r="1360" spans="1:135" x14ac:dyDescent="0.25">
      <c r="A1360" t="s">
        <v>3868</v>
      </c>
      <c r="B1360" t="s">
        <v>148</v>
      </c>
      <c r="C1360" s="1">
        <v>45764</v>
      </c>
      <c r="D1360" t="s">
        <v>317</v>
      </c>
      <c r="E1360" t="s">
        <v>318</v>
      </c>
      <c r="F1360" t="s">
        <v>5796</v>
      </c>
      <c r="G1360" t="s">
        <v>5280</v>
      </c>
      <c r="H1360">
        <v>68</v>
      </c>
      <c r="I1360" t="s">
        <v>5797</v>
      </c>
      <c r="J1360">
        <v>19626</v>
      </c>
      <c r="K1360" t="s">
        <v>5254</v>
      </c>
      <c r="L1360" t="s">
        <v>4953</v>
      </c>
      <c r="M1360" t="s">
        <v>5822</v>
      </c>
      <c r="N1360" t="s">
        <v>5823</v>
      </c>
      <c r="O1360" t="s">
        <v>507</v>
      </c>
      <c r="Q1360" t="s">
        <v>6482</v>
      </c>
      <c r="R1360">
        <f>1</f>
        <v>1</v>
      </c>
      <c r="S1360">
        <f>10.3</f>
        <v>10.3</v>
      </c>
      <c r="T1360">
        <f>7.8</f>
        <v>7.8</v>
      </c>
      <c r="U1360">
        <f>256</f>
        <v>256</v>
      </c>
      <c r="X1360">
        <f>0</f>
        <v>0</v>
      </c>
      <c r="Y1360">
        <f>0.82</f>
        <v>0.82</v>
      </c>
      <c r="Z1360">
        <f>0</f>
        <v>0</v>
      </c>
      <c r="AA1360">
        <f>0</f>
        <v>0</v>
      </c>
      <c r="AB1360">
        <f>0</f>
        <v>0</v>
      </c>
      <c r="AD1360">
        <f>0</f>
        <v>0</v>
      </c>
      <c r="AE1360">
        <f>0</f>
        <v>0</v>
      </c>
      <c r="AH1360" t="s">
        <v>157</v>
      </c>
    </row>
    <row r="1361" spans="1:148" x14ac:dyDescent="0.25">
      <c r="A1361" t="s">
        <v>3869</v>
      </c>
      <c r="B1361" t="s">
        <v>148</v>
      </c>
      <c r="C1361" s="1">
        <v>45887</v>
      </c>
      <c r="D1361" t="s">
        <v>222</v>
      </c>
      <c r="E1361" t="s">
        <v>223</v>
      </c>
      <c r="F1361" t="s">
        <v>4938</v>
      </c>
      <c r="G1361" t="s">
        <v>5291</v>
      </c>
      <c r="H1361">
        <v>1471</v>
      </c>
      <c r="I1361" t="s">
        <v>5291</v>
      </c>
      <c r="J1361">
        <v>14988</v>
      </c>
      <c r="K1361" t="s">
        <v>5257</v>
      </c>
      <c r="L1361" t="s">
        <v>191</v>
      </c>
      <c r="M1361" t="s">
        <v>5824</v>
      </c>
      <c r="N1361" t="s">
        <v>6553</v>
      </c>
      <c r="O1361" t="s">
        <v>509</v>
      </c>
      <c r="Q1361" t="s">
        <v>5326</v>
      </c>
      <c r="R1361">
        <f>1</f>
        <v>1</v>
      </c>
      <c r="S1361">
        <f>20.2</f>
        <v>20.2</v>
      </c>
      <c r="T1361">
        <f>8</f>
        <v>8</v>
      </c>
      <c r="U1361">
        <f>241</f>
        <v>241</v>
      </c>
      <c r="V1361">
        <f>0.14</f>
        <v>0.14000000000000001</v>
      </c>
      <c r="X1361">
        <f>1</f>
        <v>1</v>
      </c>
      <c r="Y1361">
        <f>0.06</f>
        <v>0.06</v>
      </c>
      <c r="Z1361">
        <f>0</f>
        <v>0</v>
      </c>
      <c r="AA1361">
        <f>0</f>
        <v>0</v>
      </c>
      <c r="AB1361">
        <f>0</f>
        <v>0</v>
      </c>
      <c r="AC1361">
        <f>0</f>
        <v>0</v>
      </c>
      <c r="AD1361">
        <f>0</f>
        <v>0</v>
      </c>
      <c r="AE1361">
        <f>0</f>
        <v>0</v>
      </c>
      <c r="AH1361" t="s">
        <v>166</v>
      </c>
    </row>
    <row r="1362" spans="1:148" x14ac:dyDescent="0.25">
      <c r="A1362" t="s">
        <v>3870</v>
      </c>
      <c r="B1362" t="s">
        <v>148</v>
      </c>
      <c r="C1362" s="1">
        <v>45824</v>
      </c>
      <c r="D1362" t="s">
        <v>317</v>
      </c>
      <c r="E1362" t="s">
        <v>318</v>
      </c>
      <c r="F1362" t="s">
        <v>338</v>
      </c>
      <c r="G1362" t="s">
        <v>6538</v>
      </c>
      <c r="H1362">
        <v>854</v>
      </c>
      <c r="I1362" t="s">
        <v>6538</v>
      </c>
      <c r="J1362">
        <v>16473</v>
      </c>
      <c r="K1362" t="s">
        <v>5254</v>
      </c>
      <c r="L1362" t="s">
        <v>4948</v>
      </c>
      <c r="M1362" t="s">
        <v>511</v>
      </c>
      <c r="N1362" t="s">
        <v>512</v>
      </c>
      <c r="O1362" t="s">
        <v>513</v>
      </c>
      <c r="Q1362" t="s">
        <v>329</v>
      </c>
      <c r="R1362">
        <f>1</f>
        <v>1</v>
      </c>
      <c r="S1362">
        <f>15.7</f>
        <v>15.7</v>
      </c>
      <c r="T1362">
        <f>7.9</f>
        <v>7.9</v>
      </c>
      <c r="U1362">
        <f>183</f>
        <v>183</v>
      </c>
      <c r="V1362" t="s">
        <v>209</v>
      </c>
      <c r="X1362">
        <f>0</f>
        <v>0</v>
      </c>
      <c r="Y1362" t="s">
        <v>157</v>
      </c>
      <c r="Z1362">
        <f>0</f>
        <v>0</v>
      </c>
      <c r="AA1362">
        <f>0</f>
        <v>0</v>
      </c>
      <c r="AB1362">
        <f>0</f>
        <v>0</v>
      </c>
      <c r="AD1362">
        <f>0</f>
        <v>0</v>
      </c>
      <c r="AE1362">
        <f>0</f>
        <v>0</v>
      </c>
      <c r="AH1362" t="s">
        <v>157</v>
      </c>
    </row>
    <row r="1363" spans="1:148" x14ac:dyDescent="0.25">
      <c r="A1363" t="s">
        <v>3871</v>
      </c>
      <c r="B1363" t="s">
        <v>148</v>
      </c>
      <c r="C1363" s="1">
        <v>45862</v>
      </c>
      <c r="D1363" t="s">
        <v>242</v>
      </c>
      <c r="E1363" t="s">
        <v>243</v>
      </c>
      <c r="F1363" t="s">
        <v>5284</v>
      </c>
      <c r="G1363" t="s">
        <v>6542</v>
      </c>
      <c r="H1363">
        <v>1523</v>
      </c>
      <c r="I1363" t="s">
        <v>6543</v>
      </c>
      <c r="J1363">
        <v>15615</v>
      </c>
      <c r="K1363" t="s">
        <v>5254</v>
      </c>
      <c r="L1363" t="s">
        <v>387</v>
      </c>
      <c r="M1363" t="s">
        <v>5825</v>
      </c>
      <c r="N1363" t="s">
        <v>521</v>
      </c>
      <c r="O1363" t="s">
        <v>522</v>
      </c>
      <c r="R1363">
        <f>1</f>
        <v>1</v>
      </c>
      <c r="S1363">
        <f>21.9</f>
        <v>21.9</v>
      </c>
      <c r="T1363">
        <f>7.7</f>
        <v>7.7</v>
      </c>
      <c r="U1363">
        <f>470</f>
        <v>470</v>
      </c>
      <c r="X1363">
        <f>0</f>
        <v>0</v>
      </c>
      <c r="Y1363" t="s">
        <v>157</v>
      </c>
      <c r="Z1363">
        <f>0</f>
        <v>0</v>
      </c>
      <c r="AA1363" t="s">
        <v>158</v>
      </c>
      <c r="AB1363" t="s">
        <v>158</v>
      </c>
      <c r="AD1363">
        <f>0</f>
        <v>0</v>
      </c>
      <c r="AE1363">
        <f>0</f>
        <v>0</v>
      </c>
      <c r="AH1363" t="s">
        <v>157</v>
      </c>
      <c r="BL1363" t="s">
        <v>168</v>
      </c>
      <c r="BM1363" t="s">
        <v>168</v>
      </c>
      <c r="BN1363" t="s">
        <v>168</v>
      </c>
      <c r="BO1363" t="s">
        <v>168</v>
      </c>
      <c r="BP1363" t="s">
        <v>168</v>
      </c>
      <c r="BQ1363" t="s">
        <v>168</v>
      </c>
      <c r="BR1363" t="s">
        <v>168</v>
      </c>
      <c r="BS1363" t="s">
        <v>168</v>
      </c>
      <c r="BT1363" t="s">
        <v>216</v>
      </c>
      <c r="BU1363" t="s">
        <v>168</v>
      </c>
      <c r="BV1363" t="s">
        <v>209</v>
      </c>
      <c r="BW1363" t="s">
        <v>209</v>
      </c>
      <c r="BX1363" t="s">
        <v>209</v>
      </c>
      <c r="BY1363" t="s">
        <v>209</v>
      </c>
      <c r="BZ1363" t="s">
        <v>216</v>
      </c>
      <c r="CA1363" t="s">
        <v>216</v>
      </c>
      <c r="CB1363" t="s">
        <v>168</v>
      </c>
      <c r="CC1363" t="s">
        <v>168</v>
      </c>
      <c r="CD1363" t="s">
        <v>216</v>
      </c>
      <c r="CE1363" t="s">
        <v>209</v>
      </c>
      <c r="CF1363" t="s">
        <v>168</v>
      </c>
      <c r="CG1363" t="s">
        <v>168</v>
      </c>
      <c r="CH1363" t="s">
        <v>165</v>
      </c>
      <c r="CI1363" t="s">
        <v>216</v>
      </c>
      <c r="CJ1363" t="s">
        <v>216</v>
      </c>
      <c r="CK1363" t="s">
        <v>216</v>
      </c>
      <c r="CL1363" t="s">
        <v>216</v>
      </c>
      <c r="CM1363" t="s">
        <v>216</v>
      </c>
      <c r="CN1363" t="s">
        <v>216</v>
      </c>
      <c r="CO1363" t="s">
        <v>216</v>
      </c>
      <c r="CP1363" t="s">
        <v>216</v>
      </c>
      <c r="CQ1363" t="s">
        <v>216</v>
      </c>
      <c r="CR1363" t="s">
        <v>216</v>
      </c>
      <c r="CS1363" t="s">
        <v>216</v>
      </c>
      <c r="CT1363" t="s">
        <v>216</v>
      </c>
      <c r="CU1363" t="s">
        <v>216</v>
      </c>
      <c r="CV1363" t="s">
        <v>216</v>
      </c>
      <c r="CW1363" t="s">
        <v>216</v>
      </c>
      <c r="CX1363" t="s">
        <v>216</v>
      </c>
      <c r="CY1363" t="s">
        <v>216</v>
      </c>
      <c r="CZ1363" t="s">
        <v>216</v>
      </c>
      <c r="DA1363" t="s">
        <v>168</v>
      </c>
      <c r="DB1363" t="s">
        <v>216</v>
      </c>
      <c r="DC1363" t="s">
        <v>216</v>
      </c>
      <c r="DD1363" t="s">
        <v>216</v>
      </c>
      <c r="DE1363" t="s">
        <v>168</v>
      </c>
      <c r="DF1363" t="s">
        <v>168</v>
      </c>
      <c r="DG1363" t="s">
        <v>216</v>
      </c>
      <c r="DH1363" t="s">
        <v>216</v>
      </c>
      <c r="DI1363" t="s">
        <v>216</v>
      </c>
      <c r="DJ1363" t="s">
        <v>216</v>
      </c>
      <c r="DK1363" t="s">
        <v>168</v>
      </c>
      <c r="DL1363" t="s">
        <v>216</v>
      </c>
      <c r="DM1363" t="s">
        <v>216</v>
      </c>
      <c r="DN1363" t="s">
        <v>216</v>
      </c>
      <c r="DO1363" t="s">
        <v>216</v>
      </c>
      <c r="DP1363" t="s">
        <v>168</v>
      </c>
      <c r="DQ1363" t="s">
        <v>216</v>
      </c>
      <c r="DR1363" t="s">
        <v>168</v>
      </c>
      <c r="DS1363" t="s">
        <v>168</v>
      </c>
      <c r="DT1363" t="s">
        <v>168</v>
      </c>
      <c r="DU1363" t="s">
        <v>168</v>
      </c>
      <c r="DV1363" t="s">
        <v>168</v>
      </c>
      <c r="DW1363" t="s">
        <v>168</v>
      </c>
      <c r="DX1363" t="s">
        <v>168</v>
      </c>
      <c r="DY1363" t="s">
        <v>168</v>
      </c>
      <c r="DZ1363" t="s">
        <v>209</v>
      </c>
      <c r="EA1363" t="s">
        <v>216</v>
      </c>
      <c r="EB1363" t="s">
        <v>168</v>
      </c>
      <c r="EC1363" t="s">
        <v>168</v>
      </c>
      <c r="ED1363" t="s">
        <v>209</v>
      </c>
      <c r="EE1363" t="s">
        <v>168</v>
      </c>
    </row>
    <row r="1364" spans="1:148" x14ac:dyDescent="0.25">
      <c r="A1364" t="s">
        <v>3872</v>
      </c>
      <c r="B1364" t="s">
        <v>148</v>
      </c>
      <c r="C1364" s="1">
        <v>45784</v>
      </c>
      <c r="D1364" t="s">
        <v>311</v>
      </c>
      <c r="E1364" t="s">
        <v>312</v>
      </c>
      <c r="F1364" t="s">
        <v>4946</v>
      </c>
      <c r="G1364" t="s">
        <v>5093</v>
      </c>
      <c r="H1364">
        <v>798</v>
      </c>
      <c r="I1364" t="s">
        <v>313</v>
      </c>
      <c r="J1364">
        <v>18000</v>
      </c>
      <c r="K1364" t="s">
        <v>5257</v>
      </c>
      <c r="L1364" t="s">
        <v>314</v>
      </c>
      <c r="M1364" t="s">
        <v>5298</v>
      </c>
      <c r="N1364" t="s">
        <v>5299</v>
      </c>
      <c r="O1364" t="s">
        <v>524</v>
      </c>
      <c r="R1364">
        <f>1</f>
        <v>1</v>
      </c>
      <c r="S1364">
        <f>13.5</f>
        <v>13.5</v>
      </c>
      <c r="T1364">
        <f>7.8</f>
        <v>7.8</v>
      </c>
      <c r="U1364">
        <f>504</f>
        <v>504</v>
      </c>
      <c r="X1364">
        <f>0</f>
        <v>0</v>
      </c>
      <c r="Y1364" t="s">
        <v>157</v>
      </c>
      <c r="Z1364">
        <f>0</f>
        <v>0</v>
      </c>
      <c r="AA1364" t="s">
        <v>158</v>
      </c>
      <c r="AB1364" t="s">
        <v>158</v>
      </c>
      <c r="AC1364">
        <f>0</f>
        <v>0</v>
      </c>
      <c r="AD1364">
        <f>0</f>
        <v>0</v>
      </c>
      <c r="AE1364">
        <f>0</f>
        <v>0</v>
      </c>
      <c r="AH1364" t="s">
        <v>157</v>
      </c>
    </row>
    <row r="1365" spans="1:148" x14ac:dyDescent="0.25">
      <c r="A1365" t="s">
        <v>3873</v>
      </c>
      <c r="B1365" t="s">
        <v>148</v>
      </c>
      <c r="C1365" s="1">
        <v>45839</v>
      </c>
      <c r="D1365" t="s">
        <v>175</v>
      </c>
      <c r="E1365" t="s">
        <v>270</v>
      </c>
      <c r="F1365" t="s">
        <v>354</v>
      </c>
      <c r="G1365" t="s">
        <v>6540</v>
      </c>
      <c r="H1365">
        <v>691</v>
      </c>
      <c r="I1365" t="s">
        <v>6541</v>
      </c>
      <c r="J1365">
        <v>20462</v>
      </c>
      <c r="K1365" t="s">
        <v>5257</v>
      </c>
      <c r="L1365" t="s">
        <v>355</v>
      </c>
      <c r="M1365" t="s">
        <v>5300</v>
      </c>
      <c r="N1365" t="s">
        <v>526</v>
      </c>
      <c r="O1365" t="s">
        <v>527</v>
      </c>
      <c r="R1365">
        <f>1</f>
        <v>1</v>
      </c>
      <c r="S1365">
        <f>22.4</f>
        <v>22.4</v>
      </c>
      <c r="T1365">
        <f>7.9</f>
        <v>7.9</v>
      </c>
      <c r="U1365">
        <f>359</f>
        <v>359</v>
      </c>
      <c r="X1365">
        <f>0</f>
        <v>0</v>
      </c>
      <c r="Y1365" t="s">
        <v>207</v>
      </c>
      <c r="Z1365">
        <f>0</f>
        <v>0</v>
      </c>
      <c r="AA1365" t="s">
        <v>158</v>
      </c>
      <c r="AB1365" t="s">
        <v>158</v>
      </c>
      <c r="AC1365">
        <f>0</f>
        <v>0</v>
      </c>
      <c r="AD1365">
        <f>0</f>
        <v>0</v>
      </c>
      <c r="AE1365">
        <f>0</f>
        <v>0</v>
      </c>
      <c r="AH1365" t="s">
        <v>166</v>
      </c>
    </row>
    <row r="1366" spans="1:148" x14ac:dyDescent="0.25">
      <c r="A1366" t="s">
        <v>3874</v>
      </c>
      <c r="B1366" t="s">
        <v>148</v>
      </c>
      <c r="C1366" s="1">
        <v>45810</v>
      </c>
      <c r="D1366" t="s">
        <v>269</v>
      </c>
      <c r="E1366" t="s">
        <v>270</v>
      </c>
      <c r="F1366" t="s">
        <v>271</v>
      </c>
      <c r="G1366" t="s">
        <v>6529</v>
      </c>
      <c r="H1366">
        <v>592</v>
      </c>
      <c r="I1366" t="s">
        <v>6529</v>
      </c>
      <c r="J1366">
        <v>13513</v>
      </c>
      <c r="K1366" t="s">
        <v>5257</v>
      </c>
      <c r="L1366" t="s">
        <v>4940</v>
      </c>
      <c r="M1366" t="s">
        <v>529</v>
      </c>
      <c r="N1366" t="s">
        <v>530</v>
      </c>
      <c r="O1366" t="s">
        <v>531</v>
      </c>
      <c r="R1366">
        <f>1</f>
        <v>1</v>
      </c>
      <c r="S1366">
        <f>15.6</f>
        <v>15.6</v>
      </c>
      <c r="T1366">
        <f>7.7</f>
        <v>7.7</v>
      </c>
      <c r="U1366">
        <f>402</f>
        <v>402</v>
      </c>
      <c r="X1366">
        <f>0</f>
        <v>0</v>
      </c>
      <c r="Y1366" t="s">
        <v>207</v>
      </c>
      <c r="Z1366">
        <f>0</f>
        <v>0</v>
      </c>
      <c r="AA1366" t="s">
        <v>158</v>
      </c>
      <c r="AB1366" t="s">
        <v>158</v>
      </c>
      <c r="AC1366">
        <f>0</f>
        <v>0</v>
      </c>
      <c r="AD1366">
        <f>0</f>
        <v>0</v>
      </c>
      <c r="AE1366">
        <f>0</f>
        <v>0</v>
      </c>
      <c r="AH1366" t="s">
        <v>166</v>
      </c>
    </row>
    <row r="1367" spans="1:148" x14ac:dyDescent="0.25">
      <c r="A1367" t="s">
        <v>3875</v>
      </c>
      <c r="B1367" t="s">
        <v>148</v>
      </c>
      <c r="C1367" s="1">
        <v>45838</v>
      </c>
      <c r="D1367" t="s">
        <v>242</v>
      </c>
      <c r="E1367" t="s">
        <v>243</v>
      </c>
      <c r="F1367" t="s">
        <v>5802</v>
      </c>
      <c r="G1367" t="s">
        <v>5803</v>
      </c>
      <c r="H1367">
        <v>1121</v>
      </c>
      <c r="I1367" t="s">
        <v>5803</v>
      </c>
      <c r="J1367">
        <v>14612</v>
      </c>
      <c r="K1367" t="s">
        <v>5254</v>
      </c>
      <c r="L1367" t="s">
        <v>387</v>
      </c>
      <c r="M1367" t="s">
        <v>6184</v>
      </c>
      <c r="N1367" t="s">
        <v>3322</v>
      </c>
      <c r="R1367">
        <f>1</f>
        <v>1</v>
      </c>
      <c r="S1367">
        <f>19.1</f>
        <v>19.100000000000001</v>
      </c>
      <c r="T1367">
        <f>7.8</f>
        <v>7.8</v>
      </c>
      <c r="U1367">
        <f>502</f>
        <v>502</v>
      </c>
      <c r="V1367">
        <f>0.16</f>
        <v>0.16</v>
      </c>
      <c r="X1367">
        <f>0</f>
        <v>0</v>
      </c>
      <c r="Y1367" t="s">
        <v>157</v>
      </c>
      <c r="Z1367">
        <f>0</f>
        <v>0</v>
      </c>
      <c r="AA1367" t="s">
        <v>158</v>
      </c>
      <c r="AB1367" t="s">
        <v>158</v>
      </c>
      <c r="AD1367">
        <f>0</f>
        <v>0</v>
      </c>
      <c r="AE1367">
        <f>0</f>
        <v>0</v>
      </c>
      <c r="AH1367" t="s">
        <v>157</v>
      </c>
    </row>
    <row r="1368" spans="1:148" x14ac:dyDescent="0.25">
      <c r="A1368" t="s">
        <v>3876</v>
      </c>
      <c r="B1368" t="s">
        <v>148</v>
      </c>
      <c r="C1368" s="1">
        <v>45769</v>
      </c>
      <c r="D1368" t="s">
        <v>222</v>
      </c>
      <c r="E1368" t="s">
        <v>223</v>
      </c>
      <c r="F1368" t="s">
        <v>4938</v>
      </c>
      <c r="G1368" t="s">
        <v>5291</v>
      </c>
      <c r="H1368">
        <v>1471</v>
      </c>
      <c r="I1368" t="s">
        <v>5291</v>
      </c>
      <c r="J1368">
        <v>14988</v>
      </c>
      <c r="K1368" t="s">
        <v>5257</v>
      </c>
      <c r="L1368" t="s">
        <v>191</v>
      </c>
      <c r="M1368" t="s">
        <v>536</v>
      </c>
      <c r="N1368" t="s">
        <v>5826</v>
      </c>
      <c r="O1368" t="s">
        <v>537</v>
      </c>
      <c r="Q1368" t="s">
        <v>6483</v>
      </c>
      <c r="R1368">
        <f>1</f>
        <v>1</v>
      </c>
      <c r="S1368">
        <f>16</f>
        <v>16</v>
      </c>
      <c r="T1368">
        <f>8.3</f>
        <v>8.3000000000000007</v>
      </c>
      <c r="U1368">
        <f>211</f>
        <v>211</v>
      </c>
      <c r="V1368" t="s">
        <v>209</v>
      </c>
      <c r="X1368">
        <f>1</f>
        <v>1</v>
      </c>
      <c r="Y1368">
        <f>0.15</f>
        <v>0.15</v>
      </c>
      <c r="Z1368">
        <f>0</f>
        <v>0</v>
      </c>
      <c r="AA1368">
        <f>0</f>
        <v>0</v>
      </c>
      <c r="AB1368">
        <f>0</f>
        <v>0</v>
      </c>
      <c r="AC1368">
        <f>0</f>
        <v>0</v>
      </c>
      <c r="AD1368">
        <f>0</f>
        <v>0</v>
      </c>
      <c r="AE1368">
        <f>0</f>
        <v>0</v>
      </c>
      <c r="AH1368" t="s">
        <v>166</v>
      </c>
      <c r="AI1368">
        <f>0.75</f>
        <v>0.75</v>
      </c>
      <c r="AL1368" t="s">
        <v>168</v>
      </c>
      <c r="AM1368" t="s">
        <v>164</v>
      </c>
      <c r="AN1368">
        <f>3.5</f>
        <v>3.5</v>
      </c>
      <c r="AO1368">
        <f>0.07</f>
        <v>7.0000000000000007E-2</v>
      </c>
      <c r="AP1368">
        <f>1.7</f>
        <v>1.7</v>
      </c>
      <c r="AQ1368">
        <f>2</f>
        <v>2</v>
      </c>
      <c r="AR1368" t="s">
        <v>167</v>
      </c>
      <c r="AS1368">
        <f>1.1</f>
        <v>1.1000000000000001</v>
      </c>
      <c r="AY1368" t="s">
        <v>157</v>
      </c>
      <c r="AZ1368" t="s">
        <v>208</v>
      </c>
      <c r="BA1368">
        <f>0.0015</f>
        <v>1.5E-3</v>
      </c>
      <c r="BB1368">
        <f>4.8</f>
        <v>4.8</v>
      </c>
      <c r="BC1368">
        <f>0.051</f>
        <v>5.0999999999999997E-2</v>
      </c>
      <c r="BD1368" t="s">
        <v>157</v>
      </c>
      <c r="BE1368">
        <f>0.00062</f>
        <v>6.2E-4</v>
      </c>
      <c r="BF1368" t="s">
        <v>168</v>
      </c>
      <c r="BG1368" t="s">
        <v>237</v>
      </c>
      <c r="BH1368" t="s">
        <v>157</v>
      </c>
      <c r="BK1368">
        <f>0.13</f>
        <v>0.13</v>
      </c>
      <c r="EL1368">
        <f>8.9</f>
        <v>8.9</v>
      </c>
      <c r="EM1368" t="s">
        <v>238</v>
      </c>
      <c r="EN1368">
        <f>1.7</f>
        <v>1.7</v>
      </c>
      <c r="EO1368" t="s">
        <v>238</v>
      </c>
      <c r="ER1368">
        <f>11</f>
        <v>11</v>
      </c>
    </row>
    <row r="1369" spans="1:148" x14ac:dyDescent="0.25">
      <c r="A1369" t="s">
        <v>3877</v>
      </c>
      <c r="B1369" t="s">
        <v>148</v>
      </c>
      <c r="C1369" s="1">
        <v>45818</v>
      </c>
      <c r="D1369" t="s">
        <v>149</v>
      </c>
      <c r="E1369" t="s">
        <v>150</v>
      </c>
      <c r="F1369" t="s">
        <v>151</v>
      </c>
      <c r="G1369" t="s">
        <v>152</v>
      </c>
      <c r="H1369">
        <v>10</v>
      </c>
      <c r="I1369" t="s">
        <v>153</v>
      </c>
      <c r="J1369">
        <v>41336</v>
      </c>
      <c r="K1369" t="s">
        <v>5254</v>
      </c>
      <c r="L1369" t="s">
        <v>154</v>
      </c>
      <c r="M1369" t="s">
        <v>5301</v>
      </c>
      <c r="N1369" t="s">
        <v>539</v>
      </c>
      <c r="O1369" t="s">
        <v>540</v>
      </c>
      <c r="R1369">
        <f>1</f>
        <v>1</v>
      </c>
      <c r="S1369">
        <f>18.2</f>
        <v>18.2</v>
      </c>
      <c r="T1369">
        <f>7.2</f>
        <v>7.2</v>
      </c>
      <c r="U1369">
        <f>510</f>
        <v>510</v>
      </c>
      <c r="X1369">
        <f>0</f>
        <v>0</v>
      </c>
      <c r="Y1369">
        <f>0.1</f>
        <v>0.1</v>
      </c>
      <c r="Z1369">
        <f>0</f>
        <v>0</v>
      </c>
      <c r="AA1369" t="s">
        <v>158</v>
      </c>
      <c r="AB1369" t="s">
        <v>158</v>
      </c>
      <c r="AD1369">
        <f>0</f>
        <v>0</v>
      </c>
      <c r="AE1369">
        <f>0</f>
        <v>0</v>
      </c>
      <c r="AH1369" t="s">
        <v>157</v>
      </c>
    </row>
    <row r="1370" spans="1:148" x14ac:dyDescent="0.25">
      <c r="A1370" t="s">
        <v>3878</v>
      </c>
      <c r="B1370" t="s">
        <v>148</v>
      </c>
      <c r="C1370" s="1">
        <v>45771</v>
      </c>
      <c r="D1370" t="s">
        <v>317</v>
      </c>
      <c r="E1370" t="s">
        <v>318</v>
      </c>
      <c r="F1370" t="s">
        <v>360</v>
      </c>
      <c r="G1370" t="s">
        <v>361</v>
      </c>
      <c r="H1370">
        <v>104</v>
      </c>
      <c r="I1370" t="s">
        <v>361</v>
      </c>
      <c r="J1370">
        <v>61876</v>
      </c>
      <c r="K1370" t="s">
        <v>5257</v>
      </c>
      <c r="L1370" t="s">
        <v>4949</v>
      </c>
      <c r="M1370" t="s">
        <v>4708</v>
      </c>
      <c r="N1370" t="s">
        <v>542</v>
      </c>
      <c r="O1370" t="s">
        <v>543</v>
      </c>
      <c r="Q1370" t="s">
        <v>329</v>
      </c>
      <c r="R1370">
        <f>1</f>
        <v>1</v>
      </c>
      <c r="S1370">
        <f>11.1</f>
        <v>11.1</v>
      </c>
      <c r="T1370">
        <f>8</f>
        <v>8</v>
      </c>
      <c r="U1370">
        <f>215</f>
        <v>215</v>
      </c>
      <c r="X1370">
        <f>0</f>
        <v>0</v>
      </c>
      <c r="Y1370">
        <f>0.12</f>
        <v>0.12</v>
      </c>
      <c r="Z1370">
        <f>0</f>
        <v>0</v>
      </c>
      <c r="AA1370">
        <f>2</f>
        <v>2</v>
      </c>
      <c r="AB1370">
        <f>0</f>
        <v>0</v>
      </c>
      <c r="AC1370">
        <f>0</f>
        <v>0</v>
      </c>
      <c r="AD1370">
        <f>0</f>
        <v>0</v>
      </c>
      <c r="AE1370">
        <f>0</f>
        <v>0</v>
      </c>
      <c r="AH1370" t="s">
        <v>157</v>
      </c>
    </row>
    <row r="1371" spans="1:148" x14ac:dyDescent="0.25">
      <c r="A1371" t="s">
        <v>3879</v>
      </c>
      <c r="B1371" t="s">
        <v>148</v>
      </c>
      <c r="C1371" s="1">
        <v>45818</v>
      </c>
      <c r="D1371" t="s">
        <v>242</v>
      </c>
      <c r="E1371" t="s">
        <v>243</v>
      </c>
      <c r="F1371" t="s">
        <v>244</v>
      </c>
      <c r="G1371" t="s">
        <v>245</v>
      </c>
      <c r="H1371">
        <v>154</v>
      </c>
      <c r="I1371" t="s">
        <v>4695</v>
      </c>
      <c r="J1371">
        <v>54400</v>
      </c>
      <c r="K1371" t="s">
        <v>5257</v>
      </c>
      <c r="L1371" t="s">
        <v>246</v>
      </c>
      <c r="M1371" t="s">
        <v>547</v>
      </c>
      <c r="N1371" t="s">
        <v>5305</v>
      </c>
      <c r="O1371" t="s">
        <v>548</v>
      </c>
      <c r="R1371">
        <f>1</f>
        <v>1</v>
      </c>
      <c r="S1371">
        <f>18.8</f>
        <v>18.8</v>
      </c>
      <c r="T1371">
        <f>7.7</f>
        <v>7.7</v>
      </c>
      <c r="U1371">
        <f>436</f>
        <v>436</v>
      </c>
      <c r="X1371">
        <f>1</f>
        <v>1</v>
      </c>
      <c r="Y1371">
        <f>0.8</f>
        <v>0.8</v>
      </c>
      <c r="Z1371">
        <f>0</f>
        <v>0</v>
      </c>
      <c r="AA1371" t="s">
        <v>158</v>
      </c>
      <c r="AB1371">
        <f>82</f>
        <v>82</v>
      </c>
      <c r="AC1371">
        <f>0</f>
        <v>0</v>
      </c>
      <c r="AD1371">
        <f>0</f>
        <v>0</v>
      </c>
      <c r="AE1371">
        <f>0</f>
        <v>0</v>
      </c>
      <c r="AH1371" t="s">
        <v>157</v>
      </c>
      <c r="BL1371" t="s">
        <v>168</v>
      </c>
      <c r="BM1371" t="s">
        <v>168</v>
      </c>
      <c r="BN1371" t="s">
        <v>168</v>
      </c>
      <c r="BO1371" t="s">
        <v>168</v>
      </c>
      <c r="BP1371" t="s">
        <v>168</v>
      </c>
      <c r="BQ1371" t="s">
        <v>168</v>
      </c>
      <c r="BR1371" t="s">
        <v>168</v>
      </c>
      <c r="BS1371" t="s">
        <v>168</v>
      </c>
      <c r="BT1371" t="s">
        <v>216</v>
      </c>
      <c r="BU1371" t="s">
        <v>168</v>
      </c>
      <c r="BV1371" t="s">
        <v>209</v>
      </c>
      <c r="BW1371" t="s">
        <v>209</v>
      </c>
      <c r="BX1371" t="s">
        <v>209</v>
      </c>
      <c r="BY1371" t="s">
        <v>209</v>
      </c>
      <c r="BZ1371" t="s">
        <v>216</v>
      </c>
      <c r="CA1371" t="s">
        <v>216</v>
      </c>
      <c r="CB1371" t="s">
        <v>168</v>
      </c>
      <c r="CC1371" t="s">
        <v>168</v>
      </c>
      <c r="CD1371" t="s">
        <v>216</v>
      </c>
      <c r="CE1371" t="s">
        <v>209</v>
      </c>
      <c r="CF1371" t="s">
        <v>168</v>
      </c>
      <c r="CG1371" t="s">
        <v>168</v>
      </c>
      <c r="CH1371" t="s">
        <v>165</v>
      </c>
      <c r="CI1371" t="s">
        <v>216</v>
      </c>
      <c r="CJ1371" t="s">
        <v>216</v>
      </c>
      <c r="CK1371" t="s">
        <v>216</v>
      </c>
      <c r="CL1371" t="s">
        <v>216</v>
      </c>
      <c r="CM1371" t="s">
        <v>216</v>
      </c>
      <c r="CN1371" t="s">
        <v>216</v>
      </c>
      <c r="CO1371" t="s">
        <v>216</v>
      </c>
      <c r="CP1371" t="s">
        <v>216</v>
      </c>
      <c r="CQ1371" t="s">
        <v>216</v>
      </c>
      <c r="CR1371" t="s">
        <v>216</v>
      </c>
      <c r="CS1371" t="s">
        <v>216</v>
      </c>
      <c r="CT1371" t="s">
        <v>216</v>
      </c>
      <c r="CU1371" t="s">
        <v>216</v>
      </c>
      <c r="CV1371" t="s">
        <v>216</v>
      </c>
      <c r="CW1371" t="s">
        <v>216</v>
      </c>
      <c r="CX1371" t="s">
        <v>216</v>
      </c>
      <c r="CY1371" t="s">
        <v>216</v>
      </c>
      <c r="CZ1371" t="s">
        <v>216</v>
      </c>
      <c r="DA1371" t="s">
        <v>168</v>
      </c>
      <c r="DB1371" t="s">
        <v>216</v>
      </c>
      <c r="DC1371" t="s">
        <v>216</v>
      </c>
      <c r="DD1371" t="s">
        <v>216</v>
      </c>
      <c r="DE1371" t="s">
        <v>168</v>
      </c>
      <c r="DF1371" t="s">
        <v>168</v>
      </c>
      <c r="DG1371" t="s">
        <v>216</v>
      </c>
      <c r="DH1371" t="s">
        <v>216</v>
      </c>
      <c r="DI1371" t="s">
        <v>216</v>
      </c>
      <c r="DJ1371" t="s">
        <v>216</v>
      </c>
      <c r="DK1371" t="s">
        <v>168</v>
      </c>
      <c r="DL1371" t="s">
        <v>216</v>
      </c>
      <c r="DM1371" t="s">
        <v>216</v>
      </c>
      <c r="DN1371" t="s">
        <v>216</v>
      </c>
      <c r="DO1371" t="s">
        <v>216</v>
      </c>
      <c r="DP1371" t="s">
        <v>168</v>
      </c>
      <c r="DQ1371" t="s">
        <v>216</v>
      </c>
      <c r="DR1371" t="s">
        <v>168</v>
      </c>
      <c r="DS1371" t="s">
        <v>168</v>
      </c>
      <c r="DT1371" t="s">
        <v>168</v>
      </c>
      <c r="DU1371" t="s">
        <v>168</v>
      </c>
      <c r="DV1371" t="s">
        <v>168</v>
      </c>
      <c r="DW1371" t="s">
        <v>168</v>
      </c>
      <c r="DX1371" t="s">
        <v>168</v>
      </c>
      <c r="DY1371" t="s">
        <v>168</v>
      </c>
      <c r="DZ1371" t="s">
        <v>209</v>
      </c>
      <c r="EA1371" t="s">
        <v>216</v>
      </c>
      <c r="EB1371" t="s">
        <v>168</v>
      </c>
      <c r="EC1371" t="s">
        <v>168</v>
      </c>
      <c r="ED1371" t="s">
        <v>209</v>
      </c>
      <c r="EE1371" t="s">
        <v>168</v>
      </c>
    </row>
    <row r="1372" spans="1:148" x14ac:dyDescent="0.25">
      <c r="A1372" t="s">
        <v>3880</v>
      </c>
      <c r="B1372" t="s">
        <v>148</v>
      </c>
      <c r="C1372" s="1">
        <v>45826</v>
      </c>
      <c r="D1372" t="s">
        <v>311</v>
      </c>
      <c r="E1372" t="s">
        <v>312</v>
      </c>
      <c r="F1372" t="s">
        <v>349</v>
      </c>
      <c r="G1372" t="s">
        <v>5788</v>
      </c>
      <c r="H1372">
        <v>895</v>
      </c>
      <c r="I1372" t="s">
        <v>6539</v>
      </c>
      <c r="J1372">
        <v>17000</v>
      </c>
      <c r="K1372" t="s">
        <v>5257</v>
      </c>
      <c r="L1372" t="s">
        <v>350</v>
      </c>
      <c r="M1372" t="s">
        <v>5306</v>
      </c>
      <c r="N1372" t="s">
        <v>550</v>
      </c>
      <c r="O1372" t="s">
        <v>551</v>
      </c>
      <c r="R1372">
        <f>1</f>
        <v>1</v>
      </c>
      <c r="S1372">
        <f>18.8</f>
        <v>18.8</v>
      </c>
      <c r="T1372">
        <f>7.5</f>
        <v>7.5</v>
      </c>
      <c r="U1372">
        <f>510</f>
        <v>510</v>
      </c>
      <c r="V1372" t="s">
        <v>209</v>
      </c>
      <c r="X1372">
        <f>0</f>
        <v>0</v>
      </c>
      <c r="Y1372">
        <f>0.1</f>
        <v>0.1</v>
      </c>
      <c r="Z1372">
        <f>0</f>
        <v>0</v>
      </c>
      <c r="AA1372" t="s">
        <v>158</v>
      </c>
      <c r="AB1372" t="s">
        <v>158</v>
      </c>
      <c r="AC1372">
        <f>0</f>
        <v>0</v>
      </c>
      <c r="AD1372">
        <f>0</f>
        <v>0</v>
      </c>
      <c r="AE1372">
        <f>0</f>
        <v>0</v>
      </c>
      <c r="AH1372" t="s">
        <v>157</v>
      </c>
    </row>
    <row r="1373" spans="1:148" x14ac:dyDescent="0.25">
      <c r="A1373" t="s">
        <v>3881</v>
      </c>
      <c r="B1373" t="s">
        <v>148</v>
      </c>
      <c r="C1373" s="1">
        <v>45824</v>
      </c>
      <c r="D1373" t="s">
        <v>269</v>
      </c>
      <c r="E1373" t="s">
        <v>270</v>
      </c>
      <c r="F1373" t="s">
        <v>271</v>
      </c>
      <c r="G1373" t="s">
        <v>272</v>
      </c>
      <c r="H1373">
        <v>132</v>
      </c>
      <c r="I1373" t="s">
        <v>272</v>
      </c>
      <c r="J1373">
        <v>22721</v>
      </c>
      <c r="K1373" t="s">
        <v>5257</v>
      </c>
      <c r="L1373" t="s">
        <v>154</v>
      </c>
      <c r="M1373" t="s">
        <v>553</v>
      </c>
      <c r="N1373" t="s">
        <v>5827</v>
      </c>
      <c r="O1373" t="s">
        <v>554</v>
      </c>
      <c r="Q1373" t="s">
        <v>2878</v>
      </c>
      <c r="R1373">
        <f>1</f>
        <v>1</v>
      </c>
      <c r="S1373">
        <f>17.2</f>
        <v>17.2</v>
      </c>
      <c r="T1373">
        <f>7.6</f>
        <v>7.6</v>
      </c>
      <c r="U1373">
        <f>456</f>
        <v>456</v>
      </c>
      <c r="V1373">
        <f>0.22</f>
        <v>0.22</v>
      </c>
      <c r="X1373">
        <f>0</f>
        <v>0</v>
      </c>
      <c r="Y1373">
        <f>0.14</f>
        <v>0.14000000000000001</v>
      </c>
      <c r="Z1373">
        <f>0</f>
        <v>0</v>
      </c>
      <c r="AA1373" t="s">
        <v>158</v>
      </c>
      <c r="AB1373" t="s">
        <v>158</v>
      </c>
      <c r="AC1373">
        <f>0</f>
        <v>0</v>
      </c>
      <c r="AD1373">
        <f>0</f>
        <v>0</v>
      </c>
      <c r="AE1373">
        <f>0</f>
        <v>0</v>
      </c>
      <c r="AH1373" t="s">
        <v>166</v>
      </c>
    </row>
    <row r="1374" spans="1:148" x14ac:dyDescent="0.25">
      <c r="A1374" t="s">
        <v>3882</v>
      </c>
      <c r="B1374" t="s">
        <v>148</v>
      </c>
      <c r="C1374" s="1">
        <v>45797</v>
      </c>
      <c r="D1374" t="s">
        <v>175</v>
      </c>
      <c r="E1374" t="s">
        <v>176</v>
      </c>
      <c r="F1374" t="s">
        <v>556</v>
      </c>
      <c r="G1374" t="s">
        <v>557</v>
      </c>
      <c r="H1374">
        <v>1702</v>
      </c>
      <c r="I1374" t="s">
        <v>5831</v>
      </c>
      <c r="J1374">
        <v>37633</v>
      </c>
      <c r="K1374" t="s">
        <v>5254</v>
      </c>
      <c r="L1374" t="s">
        <v>180</v>
      </c>
      <c r="M1374" t="s">
        <v>590</v>
      </c>
      <c r="N1374" t="s">
        <v>591</v>
      </c>
      <c r="O1374" t="s">
        <v>592</v>
      </c>
      <c r="Q1374" t="s">
        <v>6314</v>
      </c>
      <c r="R1374">
        <f>1</f>
        <v>1</v>
      </c>
      <c r="S1374">
        <f>13</f>
        <v>13</v>
      </c>
      <c r="T1374">
        <f>7.4</f>
        <v>7.4</v>
      </c>
      <c r="U1374">
        <f>494</f>
        <v>494</v>
      </c>
      <c r="X1374">
        <f>0</f>
        <v>0</v>
      </c>
      <c r="Y1374" t="s">
        <v>157</v>
      </c>
      <c r="Z1374">
        <f>0</f>
        <v>0</v>
      </c>
      <c r="AA1374" t="s">
        <v>158</v>
      </c>
      <c r="AB1374" t="s">
        <v>158</v>
      </c>
      <c r="AD1374">
        <f>0</f>
        <v>0</v>
      </c>
      <c r="AE1374">
        <f>0</f>
        <v>0</v>
      </c>
      <c r="AH1374" t="s">
        <v>157</v>
      </c>
    </row>
    <row r="1375" spans="1:148" x14ac:dyDescent="0.25">
      <c r="A1375" t="s">
        <v>3883</v>
      </c>
      <c r="B1375" t="s">
        <v>148</v>
      </c>
      <c r="C1375" s="1">
        <v>45824</v>
      </c>
      <c r="D1375" t="s">
        <v>175</v>
      </c>
      <c r="E1375" t="s">
        <v>176</v>
      </c>
      <c r="F1375" t="s">
        <v>556</v>
      </c>
      <c r="G1375" t="s">
        <v>557</v>
      </c>
      <c r="H1375">
        <v>1702</v>
      </c>
      <c r="I1375" t="s">
        <v>5831</v>
      </c>
      <c r="J1375">
        <v>37633</v>
      </c>
      <c r="K1375" t="s">
        <v>5254</v>
      </c>
      <c r="L1375" t="s">
        <v>180</v>
      </c>
      <c r="M1375" t="s">
        <v>5834</v>
      </c>
      <c r="N1375" t="s">
        <v>598</v>
      </c>
      <c r="O1375" t="s">
        <v>599</v>
      </c>
      <c r="Q1375" t="s">
        <v>6312</v>
      </c>
      <c r="R1375">
        <f>1</f>
        <v>1</v>
      </c>
      <c r="S1375">
        <f>17.4</f>
        <v>17.399999999999999</v>
      </c>
      <c r="T1375">
        <f>7.5</f>
        <v>7.5</v>
      </c>
      <c r="U1375">
        <f>491</f>
        <v>491</v>
      </c>
      <c r="X1375">
        <f>0</f>
        <v>0</v>
      </c>
      <c r="Y1375" t="s">
        <v>157</v>
      </c>
      <c r="Z1375">
        <f>0</f>
        <v>0</v>
      </c>
      <c r="AA1375" t="s">
        <v>158</v>
      </c>
      <c r="AB1375" t="s">
        <v>158</v>
      </c>
      <c r="AD1375">
        <f>0</f>
        <v>0</v>
      </c>
      <c r="AE1375">
        <f>0</f>
        <v>0</v>
      </c>
      <c r="AH1375" t="s">
        <v>157</v>
      </c>
    </row>
    <row r="1376" spans="1:148" x14ac:dyDescent="0.25">
      <c r="A1376" t="s">
        <v>3884</v>
      </c>
      <c r="B1376" t="s">
        <v>148</v>
      </c>
      <c r="C1376" s="1">
        <v>45797</v>
      </c>
      <c r="D1376" t="s">
        <v>175</v>
      </c>
      <c r="E1376" t="s">
        <v>176</v>
      </c>
      <c r="F1376" t="s">
        <v>556</v>
      </c>
      <c r="G1376" t="s">
        <v>557</v>
      </c>
      <c r="H1376">
        <v>1702</v>
      </c>
      <c r="I1376" t="s">
        <v>5831</v>
      </c>
      <c r="J1376">
        <v>37633</v>
      </c>
      <c r="K1376" t="s">
        <v>5254</v>
      </c>
      <c r="L1376" t="s">
        <v>180</v>
      </c>
      <c r="M1376" t="s">
        <v>3405</v>
      </c>
      <c r="N1376" t="s">
        <v>3406</v>
      </c>
      <c r="O1376" t="s">
        <v>3407</v>
      </c>
      <c r="Q1376" t="s">
        <v>6484</v>
      </c>
      <c r="R1376">
        <f>1</f>
        <v>1</v>
      </c>
      <c r="S1376">
        <f>14.5</f>
        <v>14.5</v>
      </c>
      <c r="T1376">
        <f>7.5</f>
        <v>7.5</v>
      </c>
      <c r="U1376">
        <f>493</f>
        <v>493</v>
      </c>
      <c r="X1376">
        <f>0</f>
        <v>0</v>
      </c>
      <c r="Y1376" t="s">
        <v>157</v>
      </c>
      <c r="Z1376">
        <f>0</f>
        <v>0</v>
      </c>
      <c r="AA1376" t="s">
        <v>158</v>
      </c>
      <c r="AB1376" t="s">
        <v>158</v>
      </c>
      <c r="AD1376">
        <f>0</f>
        <v>0</v>
      </c>
      <c r="AE1376">
        <f>0</f>
        <v>0</v>
      </c>
      <c r="AH1376" t="s">
        <v>157</v>
      </c>
    </row>
    <row r="1377" spans="1:149" x14ac:dyDescent="0.25">
      <c r="A1377" t="s">
        <v>3885</v>
      </c>
      <c r="B1377" t="s">
        <v>148</v>
      </c>
      <c r="C1377" s="1">
        <v>45810</v>
      </c>
      <c r="D1377" t="s">
        <v>175</v>
      </c>
      <c r="E1377" t="s">
        <v>176</v>
      </c>
      <c r="F1377" t="s">
        <v>556</v>
      </c>
      <c r="G1377" t="s">
        <v>557</v>
      </c>
      <c r="H1377">
        <v>1705</v>
      </c>
      <c r="I1377" t="s">
        <v>601</v>
      </c>
      <c r="J1377">
        <v>28423</v>
      </c>
      <c r="K1377" t="s">
        <v>5254</v>
      </c>
      <c r="L1377" t="s">
        <v>4940</v>
      </c>
      <c r="M1377" t="s">
        <v>5309</v>
      </c>
      <c r="N1377" t="s">
        <v>4714</v>
      </c>
      <c r="O1377" t="s">
        <v>602</v>
      </c>
      <c r="Q1377" t="s">
        <v>1097</v>
      </c>
      <c r="R1377">
        <f>1</f>
        <v>1</v>
      </c>
      <c r="S1377">
        <f>16.8</f>
        <v>16.8</v>
      </c>
      <c r="T1377">
        <f>7.4</f>
        <v>7.4</v>
      </c>
      <c r="U1377">
        <f>440</f>
        <v>440</v>
      </c>
      <c r="V1377" t="s">
        <v>1723</v>
      </c>
      <c r="X1377">
        <f>0</f>
        <v>0</v>
      </c>
      <c r="Y1377" t="s">
        <v>157</v>
      </c>
      <c r="Z1377">
        <f>0</f>
        <v>0</v>
      </c>
      <c r="AA1377" t="s">
        <v>158</v>
      </c>
      <c r="AB1377" t="s">
        <v>158</v>
      </c>
      <c r="AD1377">
        <f>0</f>
        <v>0</v>
      </c>
      <c r="AE1377">
        <f>0</f>
        <v>0</v>
      </c>
      <c r="AH1377" t="s">
        <v>157</v>
      </c>
    </row>
    <row r="1378" spans="1:149" x14ac:dyDescent="0.25">
      <c r="A1378" t="s">
        <v>3886</v>
      </c>
      <c r="B1378" t="s">
        <v>148</v>
      </c>
      <c r="C1378" s="1">
        <v>45818</v>
      </c>
      <c r="D1378" t="s">
        <v>175</v>
      </c>
      <c r="E1378" t="s">
        <v>176</v>
      </c>
      <c r="F1378" t="s">
        <v>556</v>
      </c>
      <c r="G1378" t="s">
        <v>557</v>
      </c>
      <c r="H1378">
        <v>1705</v>
      </c>
      <c r="I1378" t="s">
        <v>601</v>
      </c>
      <c r="J1378">
        <v>28423</v>
      </c>
      <c r="K1378" t="s">
        <v>5254</v>
      </c>
      <c r="L1378" t="s">
        <v>4940</v>
      </c>
      <c r="M1378" t="s">
        <v>5310</v>
      </c>
      <c r="N1378" t="s">
        <v>604</v>
      </c>
      <c r="O1378" t="s">
        <v>605</v>
      </c>
      <c r="Q1378" t="s">
        <v>6311</v>
      </c>
      <c r="R1378">
        <f>1</f>
        <v>1</v>
      </c>
      <c r="S1378">
        <f>17.2</f>
        <v>17.2</v>
      </c>
      <c r="T1378">
        <f>7.4</f>
        <v>7.4</v>
      </c>
      <c r="U1378">
        <f>418</f>
        <v>418</v>
      </c>
      <c r="X1378">
        <f>0</f>
        <v>0</v>
      </c>
      <c r="Y1378" t="s">
        <v>157</v>
      </c>
      <c r="Z1378">
        <f>0</f>
        <v>0</v>
      </c>
      <c r="AA1378" t="s">
        <v>158</v>
      </c>
      <c r="AB1378" t="s">
        <v>158</v>
      </c>
      <c r="AD1378">
        <f>0</f>
        <v>0</v>
      </c>
      <c r="AE1378">
        <f>0</f>
        <v>0</v>
      </c>
      <c r="AH1378" t="s">
        <v>157</v>
      </c>
    </row>
    <row r="1379" spans="1:149" x14ac:dyDescent="0.25">
      <c r="A1379" t="s">
        <v>3887</v>
      </c>
      <c r="B1379" t="s">
        <v>148</v>
      </c>
      <c r="C1379" s="1">
        <v>45733</v>
      </c>
      <c r="D1379" t="s">
        <v>175</v>
      </c>
      <c r="E1379" t="s">
        <v>176</v>
      </c>
      <c r="F1379" t="s">
        <v>556</v>
      </c>
      <c r="G1379" t="s">
        <v>557</v>
      </c>
      <c r="H1379">
        <v>1705</v>
      </c>
      <c r="I1379" t="s">
        <v>601</v>
      </c>
      <c r="J1379">
        <v>28423</v>
      </c>
      <c r="K1379" t="s">
        <v>5254</v>
      </c>
      <c r="L1379" t="s">
        <v>4940</v>
      </c>
      <c r="M1379" t="s">
        <v>3413</v>
      </c>
      <c r="N1379" t="s">
        <v>3414</v>
      </c>
      <c r="O1379" t="s">
        <v>3415</v>
      </c>
      <c r="Q1379" t="s">
        <v>6313</v>
      </c>
      <c r="R1379">
        <f>1</f>
        <v>1</v>
      </c>
      <c r="S1379">
        <f>11.2</f>
        <v>11.2</v>
      </c>
      <c r="T1379">
        <f>7.6</f>
        <v>7.6</v>
      </c>
      <c r="U1379">
        <f>438</f>
        <v>438</v>
      </c>
      <c r="X1379">
        <f>0</f>
        <v>0</v>
      </c>
      <c r="Y1379" t="s">
        <v>157</v>
      </c>
      <c r="Z1379">
        <f>0</f>
        <v>0</v>
      </c>
      <c r="AA1379" t="s">
        <v>158</v>
      </c>
      <c r="AB1379" t="s">
        <v>158</v>
      </c>
      <c r="AD1379">
        <f>0</f>
        <v>0</v>
      </c>
      <c r="AE1379">
        <f>0</f>
        <v>0</v>
      </c>
    </row>
    <row r="1380" spans="1:149" x14ac:dyDescent="0.25">
      <c r="A1380" t="s">
        <v>3888</v>
      </c>
      <c r="B1380" t="s">
        <v>148</v>
      </c>
      <c r="C1380" s="1">
        <v>45818</v>
      </c>
      <c r="D1380" t="s">
        <v>175</v>
      </c>
      <c r="E1380" t="s">
        <v>176</v>
      </c>
      <c r="F1380" t="s">
        <v>556</v>
      </c>
      <c r="G1380" t="s">
        <v>557</v>
      </c>
      <c r="H1380">
        <v>1709</v>
      </c>
      <c r="I1380" t="s">
        <v>6555</v>
      </c>
      <c r="J1380">
        <v>38347</v>
      </c>
      <c r="K1380" t="s">
        <v>5254</v>
      </c>
      <c r="L1380" t="s">
        <v>180</v>
      </c>
      <c r="M1380" t="s">
        <v>5835</v>
      </c>
      <c r="N1380" t="s">
        <v>5311</v>
      </c>
      <c r="O1380" t="s">
        <v>607</v>
      </c>
      <c r="Q1380" t="s">
        <v>6311</v>
      </c>
      <c r="R1380">
        <f>1</f>
        <v>1</v>
      </c>
      <c r="S1380">
        <f>16.3</f>
        <v>16.3</v>
      </c>
      <c r="T1380">
        <f>7.4</f>
        <v>7.4</v>
      </c>
      <c r="U1380">
        <f>538</f>
        <v>538</v>
      </c>
      <c r="X1380">
        <f>0</f>
        <v>0</v>
      </c>
      <c r="Y1380" t="s">
        <v>157</v>
      </c>
      <c r="Z1380">
        <f>0</f>
        <v>0</v>
      </c>
      <c r="AA1380" t="s">
        <v>158</v>
      </c>
      <c r="AB1380" t="s">
        <v>158</v>
      </c>
      <c r="AD1380">
        <f>0</f>
        <v>0</v>
      </c>
      <c r="AE1380">
        <f>0</f>
        <v>0</v>
      </c>
      <c r="AH1380" t="s">
        <v>157</v>
      </c>
    </row>
    <row r="1381" spans="1:149" x14ac:dyDescent="0.25">
      <c r="A1381" t="s">
        <v>3889</v>
      </c>
      <c r="B1381" t="s">
        <v>148</v>
      </c>
      <c r="C1381" s="1">
        <v>45810</v>
      </c>
      <c r="D1381" t="s">
        <v>175</v>
      </c>
      <c r="E1381" t="s">
        <v>176</v>
      </c>
      <c r="F1381" t="s">
        <v>556</v>
      </c>
      <c r="G1381" t="s">
        <v>557</v>
      </c>
      <c r="H1381">
        <v>1709</v>
      </c>
      <c r="I1381" t="s">
        <v>6555</v>
      </c>
      <c r="J1381">
        <v>38347</v>
      </c>
      <c r="K1381" t="s">
        <v>5254</v>
      </c>
      <c r="L1381" t="s">
        <v>180</v>
      </c>
      <c r="M1381" t="s">
        <v>5313</v>
      </c>
      <c r="N1381" t="s">
        <v>5314</v>
      </c>
      <c r="O1381" t="s">
        <v>611</v>
      </c>
      <c r="Q1381" t="s">
        <v>6311</v>
      </c>
      <c r="R1381">
        <f>1</f>
        <v>1</v>
      </c>
      <c r="S1381">
        <f>16.5</f>
        <v>16.5</v>
      </c>
      <c r="T1381">
        <f>7.4</f>
        <v>7.4</v>
      </c>
      <c r="U1381">
        <f>539</f>
        <v>539</v>
      </c>
      <c r="X1381">
        <f>0</f>
        <v>0</v>
      </c>
      <c r="Y1381" t="s">
        <v>157</v>
      </c>
      <c r="Z1381">
        <f>0</f>
        <v>0</v>
      </c>
      <c r="AA1381" t="s">
        <v>158</v>
      </c>
      <c r="AB1381" t="s">
        <v>158</v>
      </c>
      <c r="AD1381">
        <f>0</f>
        <v>0</v>
      </c>
      <c r="AE1381">
        <f>0</f>
        <v>0</v>
      </c>
      <c r="AH1381" t="s">
        <v>157</v>
      </c>
    </row>
    <row r="1382" spans="1:149" x14ac:dyDescent="0.25">
      <c r="A1382" t="s">
        <v>3890</v>
      </c>
      <c r="B1382" t="s">
        <v>148</v>
      </c>
      <c r="C1382" s="1">
        <v>45756</v>
      </c>
      <c r="D1382" t="s">
        <v>149</v>
      </c>
      <c r="E1382" t="s">
        <v>150</v>
      </c>
      <c r="F1382" t="s">
        <v>613</v>
      </c>
      <c r="G1382" t="s">
        <v>614</v>
      </c>
      <c r="H1382">
        <v>1826</v>
      </c>
      <c r="I1382" t="s">
        <v>5238</v>
      </c>
      <c r="J1382">
        <v>789</v>
      </c>
      <c r="K1382" t="s">
        <v>5254</v>
      </c>
      <c r="M1382" t="s">
        <v>3891</v>
      </c>
      <c r="N1382" t="s">
        <v>6216</v>
      </c>
      <c r="R1382">
        <f>1</f>
        <v>1</v>
      </c>
      <c r="S1382">
        <f>16.1</f>
        <v>16.100000000000001</v>
      </c>
      <c r="T1382">
        <f>7.8</f>
        <v>7.8</v>
      </c>
      <c r="U1382">
        <f>468</f>
        <v>468</v>
      </c>
      <c r="X1382">
        <f>0</f>
        <v>0</v>
      </c>
      <c r="Y1382">
        <f>0.1</f>
        <v>0.1</v>
      </c>
      <c r="Z1382">
        <f>0</f>
        <v>0</v>
      </c>
      <c r="AA1382" t="s">
        <v>158</v>
      </c>
      <c r="AB1382" t="s">
        <v>158</v>
      </c>
      <c r="AD1382">
        <f>0</f>
        <v>0</v>
      </c>
      <c r="AE1382">
        <f>0</f>
        <v>0</v>
      </c>
      <c r="AH1382" t="s">
        <v>157</v>
      </c>
    </row>
    <row r="1383" spans="1:149" x14ac:dyDescent="0.25">
      <c r="A1383" t="s">
        <v>3892</v>
      </c>
      <c r="B1383" t="s">
        <v>148</v>
      </c>
      <c r="C1383" s="1">
        <v>45806</v>
      </c>
      <c r="D1383" t="s">
        <v>149</v>
      </c>
      <c r="E1383" t="s">
        <v>150</v>
      </c>
      <c r="F1383" t="s">
        <v>613</v>
      </c>
      <c r="G1383" t="s">
        <v>614</v>
      </c>
      <c r="H1383">
        <v>1826</v>
      </c>
      <c r="I1383" t="s">
        <v>5238</v>
      </c>
      <c r="J1383">
        <v>789</v>
      </c>
      <c r="K1383" t="s">
        <v>5254</v>
      </c>
      <c r="M1383" t="s">
        <v>3891</v>
      </c>
      <c r="N1383" t="s">
        <v>6216</v>
      </c>
      <c r="Q1383" t="s">
        <v>6485</v>
      </c>
      <c r="R1383">
        <f>1</f>
        <v>1</v>
      </c>
      <c r="S1383">
        <f>14.6</f>
        <v>14.6</v>
      </c>
      <c r="T1383">
        <f>7.5</f>
        <v>7.5</v>
      </c>
      <c r="U1383">
        <f>469</f>
        <v>469</v>
      </c>
      <c r="X1383">
        <f>0</f>
        <v>0</v>
      </c>
      <c r="Y1383">
        <f>0.1</f>
        <v>0.1</v>
      </c>
      <c r="Z1383">
        <f>0</f>
        <v>0</v>
      </c>
      <c r="AA1383" t="s">
        <v>158</v>
      </c>
      <c r="AB1383" t="s">
        <v>158</v>
      </c>
      <c r="AD1383">
        <f>0</f>
        <v>0</v>
      </c>
      <c r="AE1383">
        <f>0</f>
        <v>0</v>
      </c>
      <c r="AH1383" t="s">
        <v>157</v>
      </c>
      <c r="BL1383" t="s">
        <v>168</v>
      </c>
      <c r="BM1383" t="s">
        <v>168</v>
      </c>
      <c r="BN1383" t="s">
        <v>168</v>
      </c>
      <c r="BO1383" t="s">
        <v>168</v>
      </c>
      <c r="BP1383" t="s">
        <v>168</v>
      </c>
      <c r="BQ1383" t="s">
        <v>168</v>
      </c>
      <c r="BR1383" t="s">
        <v>168</v>
      </c>
      <c r="BS1383" t="s">
        <v>168</v>
      </c>
      <c r="BT1383" t="s">
        <v>216</v>
      </c>
      <c r="BU1383" t="s">
        <v>168</v>
      </c>
      <c r="BV1383" t="s">
        <v>209</v>
      </c>
      <c r="BW1383" t="s">
        <v>209</v>
      </c>
      <c r="BX1383" t="s">
        <v>209</v>
      </c>
      <c r="BY1383" t="s">
        <v>209</v>
      </c>
      <c r="BZ1383" t="s">
        <v>216</v>
      </c>
      <c r="CA1383" t="s">
        <v>216</v>
      </c>
      <c r="CB1383" t="s">
        <v>168</v>
      </c>
      <c r="CC1383" t="s">
        <v>168</v>
      </c>
      <c r="CD1383" t="s">
        <v>216</v>
      </c>
      <c r="CE1383" t="s">
        <v>209</v>
      </c>
      <c r="CF1383" t="s">
        <v>168</v>
      </c>
      <c r="CG1383" t="s">
        <v>168</v>
      </c>
      <c r="CH1383" t="s">
        <v>165</v>
      </c>
      <c r="CI1383" t="s">
        <v>216</v>
      </c>
      <c r="CJ1383" t="s">
        <v>216</v>
      </c>
      <c r="CK1383" t="s">
        <v>216</v>
      </c>
      <c r="CL1383" t="s">
        <v>216</v>
      </c>
      <c r="CM1383" t="s">
        <v>216</v>
      </c>
      <c r="CN1383" t="s">
        <v>216</v>
      </c>
      <c r="CO1383" t="s">
        <v>216</v>
      </c>
      <c r="CP1383" t="s">
        <v>216</v>
      </c>
      <c r="CQ1383" t="s">
        <v>216</v>
      </c>
      <c r="CR1383" t="s">
        <v>216</v>
      </c>
      <c r="CS1383" t="s">
        <v>216</v>
      </c>
      <c r="CT1383" t="s">
        <v>216</v>
      </c>
      <c r="CU1383" t="s">
        <v>216</v>
      </c>
      <c r="CV1383" t="s">
        <v>216</v>
      </c>
      <c r="CW1383" t="s">
        <v>216</v>
      </c>
      <c r="CX1383" t="s">
        <v>216</v>
      </c>
      <c r="CY1383" t="s">
        <v>216</v>
      </c>
      <c r="CZ1383" t="s">
        <v>216</v>
      </c>
      <c r="DA1383" t="s">
        <v>168</v>
      </c>
      <c r="DB1383" t="s">
        <v>216</v>
      </c>
      <c r="DC1383" t="s">
        <v>216</v>
      </c>
      <c r="DD1383" t="s">
        <v>216</v>
      </c>
      <c r="DE1383" t="s">
        <v>168</v>
      </c>
      <c r="DF1383" t="s">
        <v>168</v>
      </c>
      <c r="DG1383" t="s">
        <v>216</v>
      </c>
      <c r="DH1383" t="s">
        <v>216</v>
      </c>
      <c r="DI1383" t="s">
        <v>216</v>
      </c>
      <c r="DJ1383" t="s">
        <v>216</v>
      </c>
      <c r="DK1383" t="s">
        <v>168</v>
      </c>
      <c r="DL1383" t="s">
        <v>216</v>
      </c>
      <c r="DM1383" t="s">
        <v>216</v>
      </c>
      <c r="DN1383" t="s">
        <v>216</v>
      </c>
      <c r="DO1383" t="s">
        <v>216</v>
      </c>
      <c r="DP1383" t="s">
        <v>168</v>
      </c>
      <c r="DQ1383" t="s">
        <v>216</v>
      </c>
      <c r="DR1383" t="s">
        <v>168</v>
      </c>
      <c r="DS1383" t="s">
        <v>168</v>
      </c>
      <c r="DT1383" t="s">
        <v>168</v>
      </c>
      <c r="DU1383" t="s">
        <v>168</v>
      </c>
      <c r="DV1383" t="s">
        <v>168</v>
      </c>
      <c r="DW1383" t="s">
        <v>168</v>
      </c>
      <c r="DX1383" t="s">
        <v>168</v>
      </c>
      <c r="DY1383" t="s">
        <v>168</v>
      </c>
      <c r="DZ1383" t="s">
        <v>209</v>
      </c>
      <c r="EA1383" t="s">
        <v>216</v>
      </c>
      <c r="EB1383" t="s">
        <v>168</v>
      </c>
      <c r="ED1383" t="s">
        <v>209</v>
      </c>
      <c r="EE1383" t="s">
        <v>168</v>
      </c>
    </row>
    <row r="1384" spans="1:149" x14ac:dyDescent="0.25">
      <c r="A1384" t="s">
        <v>3893</v>
      </c>
      <c r="B1384" t="s">
        <v>148</v>
      </c>
      <c r="C1384" s="1">
        <v>45826</v>
      </c>
      <c r="D1384" t="s">
        <v>149</v>
      </c>
      <c r="E1384" t="s">
        <v>150</v>
      </c>
      <c r="F1384" t="s">
        <v>625</v>
      </c>
      <c r="G1384" t="s">
        <v>626</v>
      </c>
      <c r="H1384">
        <v>1679</v>
      </c>
      <c r="I1384" t="s">
        <v>627</v>
      </c>
      <c r="J1384">
        <v>12250</v>
      </c>
      <c r="K1384" t="s">
        <v>5254</v>
      </c>
      <c r="L1384" t="s">
        <v>393</v>
      </c>
      <c r="M1384" t="s">
        <v>5315</v>
      </c>
      <c r="N1384" t="s">
        <v>5316</v>
      </c>
      <c r="O1384" t="s">
        <v>628</v>
      </c>
      <c r="R1384">
        <f>1</f>
        <v>1</v>
      </c>
      <c r="S1384">
        <f>16.8</f>
        <v>16.8</v>
      </c>
      <c r="T1384">
        <f>7.1</f>
        <v>7.1</v>
      </c>
      <c r="U1384">
        <f>240</f>
        <v>240</v>
      </c>
      <c r="X1384">
        <f>0</f>
        <v>0</v>
      </c>
      <c r="Y1384">
        <f>0.1</f>
        <v>0.1</v>
      </c>
      <c r="Z1384">
        <f>0</f>
        <v>0</v>
      </c>
      <c r="AA1384" t="s">
        <v>158</v>
      </c>
      <c r="AB1384" t="s">
        <v>158</v>
      </c>
      <c r="AD1384">
        <f>0</f>
        <v>0</v>
      </c>
      <c r="AE1384">
        <f>0</f>
        <v>0</v>
      </c>
      <c r="AH1384" t="s">
        <v>157</v>
      </c>
    </row>
    <row r="1385" spans="1:149" x14ac:dyDescent="0.25">
      <c r="A1385" t="s">
        <v>3894</v>
      </c>
      <c r="B1385" t="s">
        <v>148</v>
      </c>
      <c r="C1385" s="1">
        <v>45824</v>
      </c>
      <c r="D1385" t="s">
        <v>175</v>
      </c>
      <c r="E1385" t="s">
        <v>176</v>
      </c>
      <c r="F1385" t="s">
        <v>630</v>
      </c>
      <c r="G1385" t="s">
        <v>631</v>
      </c>
      <c r="H1385">
        <v>1175</v>
      </c>
      <c r="I1385" t="s">
        <v>631</v>
      </c>
      <c r="J1385">
        <v>14500</v>
      </c>
      <c r="K1385" t="s">
        <v>5254</v>
      </c>
      <c r="L1385" t="s">
        <v>154</v>
      </c>
      <c r="M1385" t="s">
        <v>630</v>
      </c>
      <c r="N1385" t="s">
        <v>632</v>
      </c>
      <c r="O1385" t="s">
        <v>633</v>
      </c>
      <c r="Q1385" t="s">
        <v>6461</v>
      </c>
      <c r="R1385">
        <f>1</f>
        <v>1</v>
      </c>
      <c r="S1385">
        <f>19.8</f>
        <v>19.8</v>
      </c>
      <c r="T1385">
        <f>7.7</f>
        <v>7.7</v>
      </c>
      <c r="U1385">
        <f>503</f>
        <v>503</v>
      </c>
      <c r="V1385">
        <f>0.22</f>
        <v>0.22</v>
      </c>
      <c r="X1385">
        <f>0</f>
        <v>0</v>
      </c>
      <c r="Y1385" t="s">
        <v>157</v>
      </c>
      <c r="Z1385">
        <f>0</f>
        <v>0</v>
      </c>
      <c r="AA1385" t="s">
        <v>158</v>
      </c>
      <c r="AB1385">
        <f>19</f>
        <v>19</v>
      </c>
      <c r="AD1385">
        <f>0</f>
        <v>0</v>
      </c>
      <c r="AE1385">
        <f>0</f>
        <v>0</v>
      </c>
      <c r="AH1385" t="s">
        <v>157</v>
      </c>
    </row>
    <row r="1386" spans="1:149" x14ac:dyDescent="0.25">
      <c r="A1386" t="s">
        <v>3895</v>
      </c>
      <c r="B1386" t="s">
        <v>148</v>
      </c>
      <c r="C1386" s="1">
        <v>45806</v>
      </c>
      <c r="D1386" t="s">
        <v>175</v>
      </c>
      <c r="E1386" t="s">
        <v>176</v>
      </c>
      <c r="F1386" t="s">
        <v>630</v>
      </c>
      <c r="G1386" t="s">
        <v>631</v>
      </c>
      <c r="H1386">
        <v>1175</v>
      </c>
      <c r="I1386" t="s">
        <v>631</v>
      </c>
      <c r="J1386">
        <v>14500</v>
      </c>
      <c r="K1386" t="s">
        <v>5254</v>
      </c>
      <c r="L1386" t="s">
        <v>154</v>
      </c>
      <c r="M1386" t="s">
        <v>635</v>
      </c>
      <c r="N1386" t="s">
        <v>636</v>
      </c>
      <c r="O1386" t="s">
        <v>637</v>
      </c>
      <c r="Q1386" t="s">
        <v>6311</v>
      </c>
      <c r="R1386">
        <f>1</f>
        <v>1</v>
      </c>
      <c r="S1386">
        <f>14.5</f>
        <v>14.5</v>
      </c>
      <c r="T1386">
        <f>7.4</f>
        <v>7.4</v>
      </c>
      <c r="U1386">
        <f>524</f>
        <v>524</v>
      </c>
      <c r="X1386">
        <f>0</f>
        <v>0</v>
      </c>
      <c r="Y1386" t="s">
        <v>157</v>
      </c>
      <c r="Z1386">
        <f>0</f>
        <v>0</v>
      </c>
      <c r="AA1386" t="s">
        <v>158</v>
      </c>
      <c r="AB1386" t="s">
        <v>158</v>
      </c>
      <c r="AD1386">
        <f>0</f>
        <v>0</v>
      </c>
      <c r="AE1386">
        <f>0</f>
        <v>0</v>
      </c>
      <c r="AH1386" t="s">
        <v>157</v>
      </c>
      <c r="AI1386" t="s">
        <v>238</v>
      </c>
      <c r="AL1386" t="s">
        <v>164</v>
      </c>
      <c r="AM1386" t="s">
        <v>165</v>
      </c>
      <c r="AN1386">
        <f>4.9</f>
        <v>4.9000000000000004</v>
      </c>
      <c r="AO1386">
        <f>0.1</f>
        <v>0.1</v>
      </c>
      <c r="AP1386">
        <f>6.5</f>
        <v>6.5</v>
      </c>
      <c r="AQ1386">
        <f>5.5</f>
        <v>5.5</v>
      </c>
      <c r="AR1386" t="s">
        <v>157</v>
      </c>
      <c r="AS1386">
        <f>2.6</f>
        <v>2.6</v>
      </c>
      <c r="AY1386" t="s">
        <v>167</v>
      </c>
      <c r="AZ1386" t="s">
        <v>158</v>
      </c>
      <c r="BA1386" t="s">
        <v>216</v>
      </c>
      <c r="BB1386" t="s">
        <v>158</v>
      </c>
      <c r="BC1386" t="s">
        <v>166</v>
      </c>
      <c r="BD1386" t="s">
        <v>167</v>
      </c>
      <c r="BE1386">
        <f>0.005</f>
        <v>5.0000000000000001E-3</v>
      </c>
      <c r="BF1386" t="s">
        <v>168</v>
      </c>
      <c r="BG1386" t="s">
        <v>167</v>
      </c>
      <c r="BH1386">
        <f>1.8</f>
        <v>1.8</v>
      </c>
      <c r="BK1386">
        <f>0.37</f>
        <v>0.37</v>
      </c>
      <c r="EL1386">
        <f>0.29</f>
        <v>0.28999999999999998</v>
      </c>
      <c r="EM1386" t="s">
        <v>166</v>
      </c>
      <c r="EN1386">
        <f>0.37</f>
        <v>0.37</v>
      </c>
      <c r="EO1386">
        <f>0.37</f>
        <v>0.37</v>
      </c>
      <c r="EP1386" t="s">
        <v>157</v>
      </c>
      <c r="EQ1386" t="s">
        <v>157</v>
      </c>
      <c r="ER1386">
        <f>1</f>
        <v>1</v>
      </c>
      <c r="ES1386" t="s">
        <v>166</v>
      </c>
    </row>
    <row r="1387" spans="1:149" x14ac:dyDescent="0.25">
      <c r="A1387" t="s">
        <v>3896</v>
      </c>
      <c r="B1387" t="s">
        <v>148</v>
      </c>
      <c r="C1387" s="1">
        <v>45817</v>
      </c>
      <c r="D1387" t="s">
        <v>175</v>
      </c>
      <c r="E1387" t="s">
        <v>176</v>
      </c>
      <c r="F1387" t="s">
        <v>630</v>
      </c>
      <c r="G1387" t="s">
        <v>6557</v>
      </c>
      <c r="H1387">
        <v>24</v>
      </c>
      <c r="I1387" t="s">
        <v>6557</v>
      </c>
      <c r="J1387">
        <v>13150</v>
      </c>
      <c r="K1387" t="s">
        <v>5254</v>
      </c>
      <c r="L1387" t="s">
        <v>154</v>
      </c>
      <c r="M1387" t="s">
        <v>5837</v>
      </c>
      <c r="N1387" t="s">
        <v>4717</v>
      </c>
      <c r="O1387" t="s">
        <v>647</v>
      </c>
      <c r="Q1387" t="s">
        <v>6311</v>
      </c>
      <c r="R1387">
        <f>1</f>
        <v>1</v>
      </c>
      <c r="S1387">
        <f>19.8</f>
        <v>19.8</v>
      </c>
      <c r="T1387">
        <f>7.5</f>
        <v>7.5</v>
      </c>
      <c r="U1387">
        <f>496</f>
        <v>496</v>
      </c>
      <c r="X1387">
        <f>0</f>
        <v>0</v>
      </c>
      <c r="Y1387" t="s">
        <v>157</v>
      </c>
      <c r="Z1387">
        <f>0</f>
        <v>0</v>
      </c>
      <c r="AA1387" t="s">
        <v>158</v>
      </c>
      <c r="AB1387" t="s">
        <v>158</v>
      </c>
      <c r="AD1387">
        <f>0</f>
        <v>0</v>
      </c>
      <c r="AE1387">
        <f>0</f>
        <v>0</v>
      </c>
      <c r="AH1387" t="s">
        <v>157</v>
      </c>
    </row>
    <row r="1388" spans="1:149" x14ac:dyDescent="0.25">
      <c r="A1388" t="s">
        <v>3897</v>
      </c>
      <c r="B1388" t="s">
        <v>148</v>
      </c>
      <c r="C1388" s="1">
        <v>45819</v>
      </c>
      <c r="D1388" t="s">
        <v>189</v>
      </c>
      <c r="E1388" t="s">
        <v>284</v>
      </c>
      <c r="F1388" t="s">
        <v>665</v>
      </c>
      <c r="G1388" t="s">
        <v>666</v>
      </c>
      <c r="H1388">
        <v>193</v>
      </c>
      <c r="I1388" t="s">
        <v>666</v>
      </c>
      <c r="J1388">
        <v>10226</v>
      </c>
      <c r="K1388" t="s">
        <v>5257</v>
      </c>
      <c r="L1388" t="s">
        <v>387</v>
      </c>
      <c r="M1388" t="s">
        <v>3898</v>
      </c>
      <c r="N1388" t="s">
        <v>3899</v>
      </c>
      <c r="O1388" t="s">
        <v>3900</v>
      </c>
      <c r="R1388">
        <f>1</f>
        <v>1</v>
      </c>
      <c r="S1388">
        <f>14.2</f>
        <v>14.2</v>
      </c>
      <c r="T1388">
        <f>7.7</f>
        <v>7.7</v>
      </c>
      <c r="U1388">
        <f>361</f>
        <v>361</v>
      </c>
      <c r="V1388">
        <f>0.37</f>
        <v>0.37</v>
      </c>
      <c r="X1388">
        <f>1</f>
        <v>1</v>
      </c>
      <c r="Y1388">
        <f>0.02</f>
        <v>0.02</v>
      </c>
      <c r="Z1388">
        <f>0</f>
        <v>0</v>
      </c>
      <c r="AA1388">
        <f>0</f>
        <v>0</v>
      </c>
      <c r="AB1388">
        <f>0</f>
        <v>0</v>
      </c>
      <c r="AC1388">
        <f>0</f>
        <v>0</v>
      </c>
      <c r="AD1388">
        <f>0</f>
        <v>0</v>
      </c>
      <c r="AE1388">
        <f>0</f>
        <v>0</v>
      </c>
      <c r="AH1388">
        <f>0.2</f>
        <v>0.2</v>
      </c>
    </row>
    <row r="1389" spans="1:149" x14ac:dyDescent="0.25">
      <c r="A1389" t="s">
        <v>3901</v>
      </c>
      <c r="B1389" t="s">
        <v>148</v>
      </c>
      <c r="C1389" s="1">
        <v>45782</v>
      </c>
      <c r="D1389" t="s">
        <v>189</v>
      </c>
      <c r="E1389" t="s">
        <v>284</v>
      </c>
      <c r="F1389" t="s">
        <v>665</v>
      </c>
      <c r="G1389" t="s">
        <v>666</v>
      </c>
      <c r="H1389">
        <v>193</v>
      </c>
      <c r="I1389" t="s">
        <v>666</v>
      </c>
      <c r="J1389">
        <v>10226</v>
      </c>
      <c r="K1389" t="s">
        <v>5257</v>
      </c>
      <c r="L1389" t="s">
        <v>387</v>
      </c>
      <c r="M1389" t="s">
        <v>5841</v>
      </c>
      <c r="N1389" t="s">
        <v>672</v>
      </c>
      <c r="O1389" t="s">
        <v>673</v>
      </c>
      <c r="R1389">
        <f>1</f>
        <v>1</v>
      </c>
      <c r="S1389">
        <f>15.1</f>
        <v>15.1</v>
      </c>
      <c r="T1389">
        <f>8.1</f>
        <v>8.1</v>
      </c>
      <c r="U1389">
        <f>338</f>
        <v>338</v>
      </c>
      <c r="V1389">
        <f>0.17</f>
        <v>0.17</v>
      </c>
      <c r="X1389">
        <f>0</f>
        <v>0</v>
      </c>
      <c r="Y1389">
        <f>0.02</f>
        <v>0.02</v>
      </c>
      <c r="Z1389">
        <f>0</f>
        <v>0</v>
      </c>
      <c r="AA1389">
        <f>0</f>
        <v>0</v>
      </c>
      <c r="AB1389">
        <f>0</f>
        <v>0</v>
      </c>
      <c r="AC1389">
        <f>0</f>
        <v>0</v>
      </c>
      <c r="AD1389">
        <f>0</f>
        <v>0</v>
      </c>
      <c r="AE1389">
        <f>0</f>
        <v>0</v>
      </c>
      <c r="AH1389" t="s">
        <v>157</v>
      </c>
    </row>
    <row r="1390" spans="1:149" x14ac:dyDescent="0.25">
      <c r="A1390" t="s">
        <v>3902</v>
      </c>
      <c r="B1390" t="s">
        <v>148</v>
      </c>
      <c r="C1390" s="1">
        <v>45782</v>
      </c>
      <c r="D1390" t="s">
        <v>189</v>
      </c>
      <c r="E1390" t="s">
        <v>284</v>
      </c>
      <c r="F1390" t="s">
        <v>665</v>
      </c>
      <c r="G1390" t="s">
        <v>666</v>
      </c>
      <c r="H1390">
        <v>193</v>
      </c>
      <c r="I1390" t="s">
        <v>666</v>
      </c>
      <c r="J1390">
        <v>10226</v>
      </c>
      <c r="K1390" t="s">
        <v>5257</v>
      </c>
      <c r="L1390" t="s">
        <v>387</v>
      </c>
      <c r="M1390" t="s">
        <v>5842</v>
      </c>
      <c r="N1390" t="s">
        <v>675</v>
      </c>
      <c r="O1390" t="s">
        <v>676</v>
      </c>
      <c r="R1390">
        <f>1</f>
        <v>1</v>
      </c>
      <c r="S1390">
        <f>14.8</f>
        <v>14.8</v>
      </c>
      <c r="T1390">
        <f>8.1</f>
        <v>8.1</v>
      </c>
      <c r="U1390">
        <f>340</f>
        <v>340</v>
      </c>
      <c r="X1390">
        <f>0</f>
        <v>0</v>
      </c>
      <c r="Y1390">
        <f>0.02</f>
        <v>0.02</v>
      </c>
      <c r="Z1390">
        <f>0</f>
        <v>0</v>
      </c>
      <c r="AA1390">
        <f>0</f>
        <v>0</v>
      </c>
      <c r="AB1390">
        <f>0</f>
        <v>0</v>
      </c>
      <c r="AC1390">
        <f>0</f>
        <v>0</v>
      </c>
      <c r="AD1390">
        <f>0</f>
        <v>0</v>
      </c>
      <c r="AE1390">
        <f>0</f>
        <v>0</v>
      </c>
      <c r="AH1390" t="s">
        <v>157</v>
      </c>
    </row>
    <row r="1391" spans="1:149" x14ac:dyDescent="0.25">
      <c r="A1391" t="s">
        <v>3903</v>
      </c>
      <c r="B1391" t="s">
        <v>148</v>
      </c>
      <c r="C1391" s="1">
        <v>45765</v>
      </c>
      <c r="D1391" t="s">
        <v>189</v>
      </c>
      <c r="E1391" t="s">
        <v>190</v>
      </c>
      <c r="F1391" t="s">
        <v>5849</v>
      </c>
      <c r="G1391" t="s">
        <v>711</v>
      </c>
      <c r="H1391">
        <v>328</v>
      </c>
      <c r="I1391" t="s">
        <v>711</v>
      </c>
      <c r="J1391">
        <v>19000</v>
      </c>
      <c r="K1391" t="s">
        <v>5257</v>
      </c>
      <c r="L1391" t="s">
        <v>712</v>
      </c>
      <c r="M1391" t="s">
        <v>715</v>
      </c>
      <c r="N1391" t="s">
        <v>716</v>
      </c>
      <c r="O1391" t="s">
        <v>717</v>
      </c>
      <c r="Q1391" t="s">
        <v>6486</v>
      </c>
      <c r="R1391">
        <f>1</f>
        <v>1</v>
      </c>
      <c r="S1391">
        <f>14.9</f>
        <v>14.9</v>
      </c>
      <c r="T1391">
        <f>7.7</f>
        <v>7.7</v>
      </c>
      <c r="U1391">
        <f>527</f>
        <v>527</v>
      </c>
      <c r="V1391">
        <f>0.07</f>
        <v>7.0000000000000007E-2</v>
      </c>
      <c r="X1391">
        <f>0</f>
        <v>0</v>
      </c>
      <c r="Y1391">
        <f>0.05</f>
        <v>0.05</v>
      </c>
      <c r="Z1391">
        <f>0</f>
        <v>0</v>
      </c>
      <c r="AA1391">
        <f>0</f>
        <v>0</v>
      </c>
      <c r="AB1391">
        <f>2</f>
        <v>2</v>
      </c>
      <c r="AC1391">
        <f>0</f>
        <v>0</v>
      </c>
      <c r="AD1391">
        <f>0</f>
        <v>0</v>
      </c>
      <c r="AE1391">
        <f>0</f>
        <v>0</v>
      </c>
      <c r="AH1391" t="s">
        <v>157</v>
      </c>
    </row>
    <row r="1392" spans="1:149" x14ac:dyDescent="0.25">
      <c r="A1392" t="s">
        <v>3904</v>
      </c>
      <c r="B1392" t="s">
        <v>148</v>
      </c>
      <c r="C1392" s="1">
        <v>45821</v>
      </c>
      <c r="D1392" t="s">
        <v>269</v>
      </c>
      <c r="E1392" t="s">
        <v>270</v>
      </c>
      <c r="F1392" t="s">
        <v>754</v>
      </c>
      <c r="G1392" t="s">
        <v>755</v>
      </c>
      <c r="H1392">
        <v>135</v>
      </c>
      <c r="I1392" t="s">
        <v>755</v>
      </c>
      <c r="J1392">
        <v>10755</v>
      </c>
      <c r="K1392" t="s">
        <v>5254</v>
      </c>
      <c r="L1392" t="s">
        <v>154</v>
      </c>
      <c r="M1392" t="s">
        <v>6194</v>
      </c>
      <c r="N1392" t="s">
        <v>4908</v>
      </c>
      <c r="O1392" t="s">
        <v>3428</v>
      </c>
      <c r="R1392">
        <f>1</f>
        <v>1</v>
      </c>
      <c r="S1392">
        <f>17.5</f>
        <v>17.5</v>
      </c>
      <c r="T1392">
        <f>7.3</f>
        <v>7.3</v>
      </c>
      <c r="U1392">
        <f>615</f>
        <v>615</v>
      </c>
      <c r="X1392">
        <f>0</f>
        <v>0</v>
      </c>
      <c r="Y1392">
        <f>0.23</f>
        <v>0.23</v>
      </c>
      <c r="Z1392">
        <f>0</f>
        <v>0</v>
      </c>
      <c r="AA1392" t="s">
        <v>158</v>
      </c>
      <c r="AB1392" t="s">
        <v>158</v>
      </c>
      <c r="AD1392">
        <f>0</f>
        <v>0</v>
      </c>
      <c r="AE1392">
        <f>0</f>
        <v>0</v>
      </c>
      <c r="AH1392" t="s">
        <v>166</v>
      </c>
      <c r="AI1392">
        <f>0.4</f>
        <v>0.4</v>
      </c>
      <c r="AL1392" t="s">
        <v>216</v>
      </c>
      <c r="AM1392" t="s">
        <v>266</v>
      </c>
      <c r="AN1392">
        <f>7.01</f>
        <v>7.01</v>
      </c>
      <c r="AO1392">
        <f>0.14</f>
        <v>0.14000000000000001</v>
      </c>
      <c r="AP1392">
        <f>8.06</f>
        <v>8.06</v>
      </c>
      <c r="AQ1392">
        <f>5.98</f>
        <v>5.98</v>
      </c>
      <c r="AR1392" t="s">
        <v>209</v>
      </c>
      <c r="AS1392">
        <f>3.4</f>
        <v>3.4</v>
      </c>
      <c r="AY1392" t="s">
        <v>157</v>
      </c>
      <c r="AZ1392" t="s">
        <v>208</v>
      </c>
      <c r="BA1392">
        <f>0.0026</f>
        <v>2.5999999999999999E-3</v>
      </c>
      <c r="BB1392">
        <f>2.6</f>
        <v>2.6</v>
      </c>
      <c r="BC1392" t="s">
        <v>209</v>
      </c>
      <c r="BD1392" t="s">
        <v>157</v>
      </c>
      <c r="BE1392">
        <f>0.0027</f>
        <v>2.7000000000000001E-3</v>
      </c>
      <c r="BF1392">
        <f>0.046</f>
        <v>4.5999999999999999E-2</v>
      </c>
      <c r="BG1392" t="s">
        <v>237</v>
      </c>
      <c r="BH1392" t="s">
        <v>157</v>
      </c>
      <c r="BK1392">
        <f>0.36</f>
        <v>0.36</v>
      </c>
      <c r="BL1392" t="s">
        <v>3641</v>
      </c>
      <c r="BM1392" t="s">
        <v>209</v>
      </c>
      <c r="BN1392" t="s">
        <v>164</v>
      </c>
      <c r="BO1392" t="s">
        <v>164</v>
      </c>
      <c r="BP1392" t="s">
        <v>1921</v>
      </c>
      <c r="BQ1392" t="s">
        <v>164</v>
      </c>
      <c r="BR1392" t="s">
        <v>165</v>
      </c>
      <c r="BS1392" t="s">
        <v>209</v>
      </c>
      <c r="BT1392" t="s">
        <v>266</v>
      </c>
      <c r="BU1392" t="s">
        <v>1922</v>
      </c>
      <c r="BV1392" t="s">
        <v>207</v>
      </c>
      <c r="BW1392" t="s">
        <v>207</v>
      </c>
      <c r="BX1392" t="s">
        <v>207</v>
      </c>
      <c r="BY1392" t="s">
        <v>207</v>
      </c>
      <c r="BZ1392" t="s">
        <v>217</v>
      </c>
      <c r="CA1392" t="s">
        <v>266</v>
      </c>
      <c r="CB1392" t="s">
        <v>1923</v>
      </c>
      <c r="CC1392" t="s">
        <v>1924</v>
      </c>
      <c r="CD1392" t="s">
        <v>216</v>
      </c>
      <c r="CE1392" t="s">
        <v>207</v>
      </c>
      <c r="CF1392" t="s">
        <v>3642</v>
      </c>
      <c r="CG1392" t="s">
        <v>1925</v>
      </c>
      <c r="CH1392" t="s">
        <v>216</v>
      </c>
      <c r="CI1392">
        <f>0.01</f>
        <v>0.01</v>
      </c>
      <c r="CJ1392" t="s">
        <v>216</v>
      </c>
      <c r="CK1392" t="s">
        <v>1924</v>
      </c>
      <c r="CL1392" t="s">
        <v>1926</v>
      </c>
      <c r="CM1392" t="s">
        <v>1924</v>
      </c>
      <c r="CN1392" t="s">
        <v>266</v>
      </c>
      <c r="CO1392" t="s">
        <v>266</v>
      </c>
      <c r="CP1392" t="s">
        <v>216</v>
      </c>
      <c r="CQ1392" t="s">
        <v>217</v>
      </c>
      <c r="CR1392">
        <f>0.022</f>
        <v>2.1999999999999999E-2</v>
      </c>
      <c r="CS1392" t="s">
        <v>1927</v>
      </c>
      <c r="CT1392" t="s">
        <v>1925</v>
      </c>
      <c r="CU1392" t="s">
        <v>1926</v>
      </c>
      <c r="CV1392" t="s">
        <v>266</v>
      </c>
      <c r="CW1392" t="s">
        <v>1928</v>
      </c>
      <c r="CX1392" t="s">
        <v>1924</v>
      </c>
      <c r="CY1392" t="s">
        <v>216</v>
      </c>
      <c r="CZ1392" t="s">
        <v>217</v>
      </c>
      <c r="DA1392" t="s">
        <v>1926</v>
      </c>
      <c r="DB1392" t="s">
        <v>1922</v>
      </c>
      <c r="DC1392" t="s">
        <v>1924</v>
      </c>
      <c r="DD1392" t="s">
        <v>1922</v>
      </c>
      <c r="DE1392" t="s">
        <v>216</v>
      </c>
      <c r="DF1392" t="s">
        <v>216</v>
      </c>
      <c r="DG1392" t="s">
        <v>1924</v>
      </c>
      <c r="DH1392" t="s">
        <v>1928</v>
      </c>
      <c r="DI1392" t="s">
        <v>1922</v>
      </c>
      <c r="DJ1392" t="s">
        <v>249</v>
      </c>
      <c r="DK1392" t="s">
        <v>1928</v>
      </c>
      <c r="DL1392" t="s">
        <v>1929</v>
      </c>
      <c r="DM1392" t="s">
        <v>1922</v>
      </c>
      <c r="DN1392" t="s">
        <v>165</v>
      </c>
      <c r="DO1392" t="s">
        <v>249</v>
      </c>
      <c r="DP1392" t="s">
        <v>165</v>
      </c>
      <c r="DQ1392" t="s">
        <v>1927</v>
      </c>
      <c r="DR1392" t="s">
        <v>1928</v>
      </c>
      <c r="DS1392" t="s">
        <v>1928</v>
      </c>
      <c r="DT1392" t="s">
        <v>249</v>
      </c>
      <c r="DU1392" t="s">
        <v>1922</v>
      </c>
      <c r="DV1392" t="s">
        <v>1930</v>
      </c>
      <c r="DW1392" t="s">
        <v>216</v>
      </c>
      <c r="DX1392" t="s">
        <v>216</v>
      </c>
      <c r="DY1392" t="s">
        <v>216</v>
      </c>
      <c r="DZ1392" t="s">
        <v>157</v>
      </c>
      <c r="EA1392" t="s">
        <v>1922</v>
      </c>
      <c r="EB1392" t="s">
        <v>1927</v>
      </c>
      <c r="EC1392" t="s">
        <v>207</v>
      </c>
      <c r="ED1392" t="s">
        <v>207</v>
      </c>
      <c r="EE1392" t="s">
        <v>1928</v>
      </c>
      <c r="EL1392">
        <f>0.5</f>
        <v>0.5</v>
      </c>
      <c r="EM1392" t="s">
        <v>238</v>
      </c>
      <c r="EN1392">
        <f>0.6</f>
        <v>0.6</v>
      </c>
      <c r="EO1392">
        <f>0.6</f>
        <v>0.6</v>
      </c>
      <c r="ER1392">
        <f>1.7</f>
        <v>1.7</v>
      </c>
    </row>
    <row r="1393" spans="1:148" x14ac:dyDescent="0.25">
      <c r="A1393" t="s">
        <v>3905</v>
      </c>
      <c r="B1393" t="s">
        <v>148</v>
      </c>
      <c r="C1393" s="1">
        <v>45867</v>
      </c>
      <c r="D1393" t="s">
        <v>269</v>
      </c>
      <c r="E1393" t="s">
        <v>270</v>
      </c>
      <c r="F1393" t="s">
        <v>754</v>
      </c>
      <c r="G1393" t="s">
        <v>755</v>
      </c>
      <c r="H1393">
        <v>135</v>
      </c>
      <c r="I1393" t="s">
        <v>755</v>
      </c>
      <c r="J1393">
        <v>10755</v>
      </c>
      <c r="K1393" t="s">
        <v>5254</v>
      </c>
      <c r="L1393" t="s">
        <v>154</v>
      </c>
      <c r="M1393" t="s">
        <v>756</v>
      </c>
      <c r="N1393" t="s">
        <v>757</v>
      </c>
      <c r="O1393" t="s">
        <v>758</v>
      </c>
      <c r="R1393">
        <f>1</f>
        <v>1</v>
      </c>
      <c r="S1393">
        <f>21.1</f>
        <v>21.1</v>
      </c>
      <c r="T1393">
        <f>7.7</f>
        <v>7.7</v>
      </c>
      <c r="U1393">
        <f>630</f>
        <v>630</v>
      </c>
      <c r="V1393">
        <f>0.11</f>
        <v>0.11</v>
      </c>
      <c r="X1393">
        <f>0</f>
        <v>0</v>
      </c>
      <c r="Y1393">
        <f>0.14</f>
        <v>0.14000000000000001</v>
      </c>
      <c r="Z1393">
        <f>0</f>
        <v>0</v>
      </c>
      <c r="AA1393" t="s">
        <v>158</v>
      </c>
      <c r="AB1393" t="s">
        <v>158</v>
      </c>
      <c r="AD1393">
        <f>0</f>
        <v>0</v>
      </c>
      <c r="AE1393">
        <f>0</f>
        <v>0</v>
      </c>
      <c r="AH1393" t="s">
        <v>166</v>
      </c>
    </row>
    <row r="1394" spans="1:148" x14ac:dyDescent="0.25">
      <c r="A1394" t="s">
        <v>3906</v>
      </c>
      <c r="B1394" t="s">
        <v>148</v>
      </c>
      <c r="C1394" s="1">
        <v>45807</v>
      </c>
      <c r="D1394" t="s">
        <v>175</v>
      </c>
      <c r="E1394" t="s">
        <v>176</v>
      </c>
      <c r="F1394" t="s">
        <v>556</v>
      </c>
      <c r="G1394" t="s">
        <v>808</v>
      </c>
      <c r="H1394">
        <v>338</v>
      </c>
      <c r="I1394" t="s">
        <v>808</v>
      </c>
      <c r="J1394">
        <v>14369</v>
      </c>
      <c r="K1394" t="s">
        <v>5254</v>
      </c>
      <c r="L1394" t="s">
        <v>4724</v>
      </c>
      <c r="M1394" t="s">
        <v>5334</v>
      </c>
      <c r="N1394" t="s">
        <v>809</v>
      </c>
      <c r="O1394" t="s">
        <v>810</v>
      </c>
      <c r="Q1394" t="s">
        <v>6311</v>
      </c>
      <c r="R1394">
        <f>1</f>
        <v>1</v>
      </c>
      <c r="S1394">
        <f>14.2</f>
        <v>14.2</v>
      </c>
      <c r="T1394">
        <f>7.5</f>
        <v>7.5</v>
      </c>
      <c r="U1394">
        <f>481</f>
        <v>481</v>
      </c>
      <c r="X1394">
        <f>0</f>
        <v>0</v>
      </c>
      <c r="Y1394" t="s">
        <v>157</v>
      </c>
      <c r="Z1394">
        <f>0</f>
        <v>0</v>
      </c>
      <c r="AA1394" t="s">
        <v>158</v>
      </c>
      <c r="AB1394" t="s">
        <v>158</v>
      </c>
      <c r="AD1394">
        <f>0</f>
        <v>0</v>
      </c>
      <c r="AE1394">
        <f>0</f>
        <v>0</v>
      </c>
      <c r="AH1394" t="s">
        <v>157</v>
      </c>
    </row>
    <row r="1395" spans="1:148" x14ac:dyDescent="0.25">
      <c r="A1395" t="s">
        <v>3907</v>
      </c>
      <c r="B1395" t="s">
        <v>148</v>
      </c>
      <c r="C1395" s="1">
        <v>45728</v>
      </c>
      <c r="D1395" t="s">
        <v>242</v>
      </c>
      <c r="E1395" t="s">
        <v>243</v>
      </c>
      <c r="F1395" t="s">
        <v>391</v>
      </c>
      <c r="G1395" t="s">
        <v>392</v>
      </c>
      <c r="H1395">
        <v>1124</v>
      </c>
      <c r="I1395" t="s">
        <v>392</v>
      </c>
      <c r="J1395">
        <v>11300</v>
      </c>
      <c r="K1395" t="s">
        <v>5254</v>
      </c>
      <c r="L1395" t="s">
        <v>393</v>
      </c>
      <c r="M1395" t="s">
        <v>4909</v>
      </c>
      <c r="N1395" t="s">
        <v>6195</v>
      </c>
      <c r="O1395" t="s">
        <v>3432</v>
      </c>
      <c r="R1395">
        <f>1</f>
        <v>1</v>
      </c>
      <c r="S1395">
        <f>13.5</f>
        <v>13.5</v>
      </c>
      <c r="T1395">
        <f>7.6</f>
        <v>7.6</v>
      </c>
      <c r="U1395">
        <f>413</f>
        <v>413</v>
      </c>
      <c r="X1395">
        <f>1</f>
        <v>1</v>
      </c>
      <c r="Y1395">
        <f>0.12</f>
        <v>0.12</v>
      </c>
      <c r="Z1395">
        <f>0</f>
        <v>0</v>
      </c>
      <c r="AA1395" t="s">
        <v>158</v>
      </c>
      <c r="AB1395" t="s">
        <v>158</v>
      </c>
      <c r="AD1395">
        <f>0</f>
        <v>0</v>
      </c>
      <c r="AE1395">
        <f>0</f>
        <v>0</v>
      </c>
      <c r="AH1395" t="s">
        <v>157</v>
      </c>
    </row>
    <row r="1396" spans="1:148" x14ac:dyDescent="0.25">
      <c r="A1396" t="s">
        <v>3908</v>
      </c>
      <c r="B1396" t="s">
        <v>148</v>
      </c>
      <c r="C1396" s="1">
        <v>45785</v>
      </c>
      <c r="D1396" t="s">
        <v>242</v>
      </c>
      <c r="E1396" t="s">
        <v>243</v>
      </c>
      <c r="F1396" t="s">
        <v>391</v>
      </c>
      <c r="G1396" t="s">
        <v>392</v>
      </c>
      <c r="H1396">
        <v>1124</v>
      </c>
      <c r="I1396" t="s">
        <v>392</v>
      </c>
      <c r="J1396">
        <v>11300</v>
      </c>
      <c r="K1396" t="s">
        <v>5254</v>
      </c>
      <c r="L1396" t="s">
        <v>393</v>
      </c>
      <c r="M1396" t="s">
        <v>954</v>
      </c>
      <c r="N1396" t="s">
        <v>955</v>
      </c>
      <c r="O1396" t="s">
        <v>956</v>
      </c>
      <c r="R1396">
        <f>1</f>
        <v>1</v>
      </c>
      <c r="S1396">
        <f>14.8</f>
        <v>14.8</v>
      </c>
      <c r="T1396">
        <f>7.6</f>
        <v>7.6</v>
      </c>
      <c r="U1396">
        <f>400</f>
        <v>400</v>
      </c>
      <c r="V1396">
        <f>0.14</f>
        <v>0.14000000000000001</v>
      </c>
      <c r="X1396">
        <f>0</f>
        <v>0</v>
      </c>
      <c r="Y1396">
        <f>0.12</f>
        <v>0.12</v>
      </c>
      <c r="Z1396">
        <f>0</f>
        <v>0</v>
      </c>
      <c r="AA1396" t="s">
        <v>158</v>
      </c>
      <c r="AB1396">
        <f>47</f>
        <v>47</v>
      </c>
      <c r="AD1396">
        <f>0</f>
        <v>0</v>
      </c>
      <c r="AE1396">
        <f>0</f>
        <v>0</v>
      </c>
      <c r="AH1396" t="s">
        <v>157</v>
      </c>
      <c r="BL1396" t="s">
        <v>168</v>
      </c>
      <c r="BM1396" t="s">
        <v>168</v>
      </c>
      <c r="BN1396" t="s">
        <v>168</v>
      </c>
      <c r="BO1396" t="s">
        <v>168</v>
      </c>
      <c r="BP1396" t="s">
        <v>168</v>
      </c>
      <c r="BQ1396" t="s">
        <v>168</v>
      </c>
      <c r="BR1396" t="s">
        <v>168</v>
      </c>
      <c r="BS1396" t="s">
        <v>168</v>
      </c>
      <c r="BT1396" t="s">
        <v>209</v>
      </c>
      <c r="BU1396" t="s">
        <v>168</v>
      </c>
      <c r="BV1396" t="s">
        <v>209</v>
      </c>
      <c r="BW1396" t="s">
        <v>209</v>
      </c>
      <c r="BX1396" t="s">
        <v>209</v>
      </c>
      <c r="BY1396" t="s">
        <v>209</v>
      </c>
      <c r="BZ1396" t="s">
        <v>216</v>
      </c>
      <c r="CA1396" t="s">
        <v>216</v>
      </c>
      <c r="CB1396" t="s">
        <v>168</v>
      </c>
      <c r="CC1396" t="s">
        <v>168</v>
      </c>
      <c r="CD1396" t="s">
        <v>216</v>
      </c>
      <c r="CE1396" t="s">
        <v>209</v>
      </c>
      <c r="CF1396" t="s">
        <v>168</v>
      </c>
      <c r="CG1396" t="s">
        <v>168</v>
      </c>
      <c r="CH1396" t="s">
        <v>165</v>
      </c>
      <c r="CI1396" t="s">
        <v>216</v>
      </c>
      <c r="CJ1396" t="s">
        <v>216</v>
      </c>
      <c r="CK1396" t="s">
        <v>216</v>
      </c>
      <c r="CL1396" t="s">
        <v>216</v>
      </c>
      <c r="CM1396" t="s">
        <v>216</v>
      </c>
      <c r="CN1396" t="s">
        <v>216</v>
      </c>
      <c r="CO1396" t="s">
        <v>216</v>
      </c>
      <c r="CP1396" t="s">
        <v>216</v>
      </c>
      <c r="CQ1396" t="s">
        <v>216</v>
      </c>
      <c r="CR1396" t="s">
        <v>216</v>
      </c>
      <c r="CS1396" t="s">
        <v>216</v>
      </c>
      <c r="CT1396" t="s">
        <v>216</v>
      </c>
      <c r="CU1396" t="s">
        <v>216</v>
      </c>
      <c r="CV1396" t="s">
        <v>216</v>
      </c>
      <c r="CW1396" t="s">
        <v>216</v>
      </c>
      <c r="CX1396" t="s">
        <v>216</v>
      </c>
      <c r="CY1396" t="s">
        <v>216</v>
      </c>
      <c r="CZ1396" t="s">
        <v>216</v>
      </c>
      <c r="DA1396" t="s">
        <v>168</v>
      </c>
      <c r="DB1396" t="s">
        <v>216</v>
      </c>
      <c r="DC1396" t="s">
        <v>216</v>
      </c>
      <c r="DD1396" t="s">
        <v>216</v>
      </c>
      <c r="DE1396" t="s">
        <v>168</v>
      </c>
      <c r="DF1396" t="s">
        <v>168</v>
      </c>
      <c r="DG1396" t="s">
        <v>216</v>
      </c>
      <c r="DH1396" t="s">
        <v>216</v>
      </c>
      <c r="DI1396" t="s">
        <v>216</v>
      </c>
      <c r="DJ1396" t="s">
        <v>216</v>
      </c>
      <c r="DK1396" t="s">
        <v>168</v>
      </c>
      <c r="DL1396" t="s">
        <v>216</v>
      </c>
      <c r="DM1396" t="s">
        <v>216</v>
      </c>
      <c r="DN1396" t="s">
        <v>216</v>
      </c>
      <c r="DO1396" t="s">
        <v>216</v>
      </c>
      <c r="DP1396" t="s">
        <v>168</v>
      </c>
      <c r="DQ1396" t="s">
        <v>216</v>
      </c>
      <c r="DR1396" t="s">
        <v>168</v>
      </c>
      <c r="DS1396" t="s">
        <v>168</v>
      </c>
      <c r="DT1396" t="s">
        <v>168</v>
      </c>
      <c r="DU1396" t="s">
        <v>168</v>
      </c>
      <c r="DV1396" t="s">
        <v>168</v>
      </c>
      <c r="DW1396" t="s">
        <v>168</v>
      </c>
      <c r="DX1396" t="s">
        <v>168</v>
      </c>
      <c r="DY1396" t="s">
        <v>168</v>
      </c>
      <c r="DZ1396" t="s">
        <v>209</v>
      </c>
      <c r="EA1396" t="s">
        <v>216</v>
      </c>
      <c r="EB1396" t="s">
        <v>168</v>
      </c>
      <c r="EC1396" t="s">
        <v>168</v>
      </c>
      <c r="ED1396" t="s">
        <v>209</v>
      </c>
      <c r="EE1396" t="s">
        <v>168</v>
      </c>
    </row>
    <row r="1397" spans="1:148" x14ac:dyDescent="0.25">
      <c r="A1397" t="s">
        <v>3909</v>
      </c>
      <c r="B1397" t="s">
        <v>148</v>
      </c>
      <c r="C1397" s="1">
        <v>45870</v>
      </c>
      <c r="D1397" t="s">
        <v>269</v>
      </c>
      <c r="E1397" t="s">
        <v>270</v>
      </c>
      <c r="F1397" t="s">
        <v>6531</v>
      </c>
      <c r="G1397" t="s">
        <v>6532</v>
      </c>
      <c r="H1397">
        <v>796</v>
      </c>
      <c r="I1397" t="s">
        <v>6533</v>
      </c>
      <c r="J1397">
        <v>12713</v>
      </c>
      <c r="K1397" t="s">
        <v>5257</v>
      </c>
      <c r="L1397" t="s">
        <v>302</v>
      </c>
      <c r="M1397" t="s">
        <v>967</v>
      </c>
      <c r="N1397" t="s">
        <v>5365</v>
      </c>
      <c r="O1397" t="s">
        <v>968</v>
      </c>
      <c r="R1397">
        <f>1</f>
        <v>1</v>
      </c>
      <c r="S1397">
        <f>20.5</f>
        <v>20.5</v>
      </c>
      <c r="T1397">
        <f>7.7</f>
        <v>7.7</v>
      </c>
      <c r="U1397">
        <f>365</f>
        <v>365</v>
      </c>
      <c r="W1397">
        <f>0.09</f>
        <v>0.09</v>
      </c>
      <c r="X1397">
        <f>0</f>
        <v>0</v>
      </c>
      <c r="Y1397" t="s">
        <v>207</v>
      </c>
      <c r="Z1397">
        <f>0</f>
        <v>0</v>
      </c>
      <c r="AA1397" t="s">
        <v>158</v>
      </c>
      <c r="AB1397" t="s">
        <v>158</v>
      </c>
      <c r="AC1397">
        <f>0</f>
        <v>0</v>
      </c>
      <c r="AD1397">
        <f>0</f>
        <v>0</v>
      </c>
      <c r="AE1397">
        <f>0</f>
        <v>0</v>
      </c>
      <c r="AH1397" t="s">
        <v>166</v>
      </c>
    </row>
    <row r="1398" spans="1:148" x14ac:dyDescent="0.25">
      <c r="A1398" t="s">
        <v>3910</v>
      </c>
      <c r="B1398" t="s">
        <v>148</v>
      </c>
      <c r="C1398" s="1">
        <v>45835</v>
      </c>
      <c r="D1398" t="s">
        <v>175</v>
      </c>
      <c r="E1398" t="s">
        <v>649</v>
      </c>
      <c r="F1398" t="s">
        <v>918</v>
      </c>
      <c r="G1398" t="s">
        <v>919</v>
      </c>
      <c r="H1398">
        <v>44</v>
      </c>
      <c r="I1398" t="s">
        <v>920</v>
      </c>
      <c r="J1398">
        <v>10558</v>
      </c>
      <c r="K1398" t="s">
        <v>5257</v>
      </c>
      <c r="L1398" t="s">
        <v>431</v>
      </c>
      <c r="M1398" t="s">
        <v>980</v>
      </c>
      <c r="N1398" t="s">
        <v>981</v>
      </c>
      <c r="O1398" t="s">
        <v>982</v>
      </c>
      <c r="Q1398" t="s">
        <v>6487</v>
      </c>
      <c r="R1398">
        <f>1</f>
        <v>1</v>
      </c>
      <c r="S1398">
        <f>17.6</f>
        <v>17.600000000000001</v>
      </c>
      <c r="T1398">
        <f>7.8</f>
        <v>7.8</v>
      </c>
      <c r="U1398">
        <f>338</f>
        <v>338</v>
      </c>
      <c r="X1398">
        <f>0</f>
        <v>0</v>
      </c>
      <c r="Y1398" t="s">
        <v>3911</v>
      </c>
      <c r="Z1398">
        <f>0</f>
        <v>0</v>
      </c>
      <c r="AA1398" t="s">
        <v>158</v>
      </c>
      <c r="AB1398">
        <f>13</f>
        <v>13</v>
      </c>
      <c r="AC1398">
        <f>0</f>
        <v>0</v>
      </c>
      <c r="AD1398">
        <f>0</f>
        <v>0</v>
      </c>
      <c r="AE1398">
        <f>0</f>
        <v>0</v>
      </c>
      <c r="AH1398" t="s">
        <v>157</v>
      </c>
      <c r="AI1398" t="s">
        <v>238</v>
      </c>
      <c r="AL1398" t="s">
        <v>164</v>
      </c>
      <c r="AM1398" t="s">
        <v>165</v>
      </c>
      <c r="AN1398">
        <f>5.8</f>
        <v>5.8</v>
      </c>
      <c r="AO1398">
        <f>0.12</f>
        <v>0.12</v>
      </c>
      <c r="AP1398">
        <f>7.2</f>
        <v>7.2</v>
      </c>
      <c r="AQ1398">
        <f>2.7</f>
        <v>2.7</v>
      </c>
      <c r="AR1398" t="s">
        <v>157</v>
      </c>
      <c r="AS1398">
        <f>1.8</f>
        <v>1.8</v>
      </c>
      <c r="AY1398" t="s">
        <v>167</v>
      </c>
      <c r="AZ1398" t="s">
        <v>158</v>
      </c>
      <c r="BA1398" t="s">
        <v>216</v>
      </c>
      <c r="BB1398" t="s">
        <v>158</v>
      </c>
      <c r="BC1398" t="s">
        <v>166</v>
      </c>
      <c r="BD1398" t="s">
        <v>167</v>
      </c>
      <c r="BE1398">
        <f>0.0073</f>
        <v>7.3000000000000001E-3</v>
      </c>
      <c r="BF1398" t="s">
        <v>168</v>
      </c>
      <c r="BG1398" t="s">
        <v>167</v>
      </c>
      <c r="BH1398" t="s">
        <v>167</v>
      </c>
      <c r="BK1398">
        <f>0.14</f>
        <v>0.14000000000000001</v>
      </c>
      <c r="EL1398">
        <f>0.8</f>
        <v>0.8</v>
      </c>
      <c r="EM1398" t="s">
        <v>166</v>
      </c>
      <c r="EN1398">
        <f>0.87</f>
        <v>0.87</v>
      </c>
      <c r="EO1398">
        <f>0.66</f>
        <v>0.66</v>
      </c>
      <c r="ER1398">
        <f>2.3</f>
        <v>2.2999999999999998</v>
      </c>
    </row>
    <row r="1399" spans="1:148" x14ac:dyDescent="0.25">
      <c r="A1399" t="s">
        <v>3912</v>
      </c>
      <c r="B1399" t="s">
        <v>148</v>
      </c>
      <c r="C1399" s="1">
        <v>45867</v>
      </c>
      <c r="D1399" t="s">
        <v>189</v>
      </c>
      <c r="E1399" t="s">
        <v>190</v>
      </c>
      <c r="F1399" t="s">
        <v>5849</v>
      </c>
      <c r="G1399" t="s">
        <v>711</v>
      </c>
      <c r="H1399">
        <v>328</v>
      </c>
      <c r="I1399" t="s">
        <v>711</v>
      </c>
      <c r="J1399">
        <v>19000</v>
      </c>
      <c r="K1399" t="s">
        <v>5257</v>
      </c>
      <c r="L1399" t="s">
        <v>712</v>
      </c>
      <c r="M1399" t="s">
        <v>5069</v>
      </c>
      <c r="N1399" t="s">
        <v>5070</v>
      </c>
      <c r="O1399" t="s">
        <v>3436</v>
      </c>
      <c r="R1399">
        <f>1</f>
        <v>1</v>
      </c>
      <c r="S1399">
        <f>22.1</f>
        <v>22.1</v>
      </c>
      <c r="T1399">
        <f>7.3</f>
        <v>7.3</v>
      </c>
      <c r="U1399">
        <f>349</f>
        <v>349</v>
      </c>
      <c r="X1399">
        <f>0</f>
        <v>0</v>
      </c>
      <c r="Y1399">
        <f>0.19</f>
        <v>0.19</v>
      </c>
      <c r="Z1399">
        <f>0</f>
        <v>0</v>
      </c>
      <c r="AA1399">
        <f>0</f>
        <v>0</v>
      </c>
      <c r="AB1399">
        <f>0</f>
        <v>0</v>
      </c>
      <c r="AC1399">
        <f>0</f>
        <v>0</v>
      </c>
      <c r="AD1399">
        <f>0</f>
        <v>0</v>
      </c>
      <c r="AE1399">
        <f>0</f>
        <v>0</v>
      </c>
      <c r="AH1399" t="s">
        <v>157</v>
      </c>
    </row>
    <row r="1400" spans="1:148" x14ac:dyDescent="0.25">
      <c r="A1400" t="s">
        <v>3913</v>
      </c>
      <c r="B1400" t="s">
        <v>148</v>
      </c>
      <c r="C1400" s="1">
        <v>45824</v>
      </c>
      <c r="D1400" t="s">
        <v>269</v>
      </c>
      <c r="E1400" t="s">
        <v>270</v>
      </c>
      <c r="F1400" t="s">
        <v>6531</v>
      </c>
      <c r="G1400" t="s">
        <v>6532</v>
      </c>
      <c r="H1400">
        <v>796</v>
      </c>
      <c r="I1400" t="s">
        <v>6533</v>
      </c>
      <c r="J1400">
        <v>12713</v>
      </c>
      <c r="K1400" t="s">
        <v>5257</v>
      </c>
      <c r="L1400" t="s">
        <v>302</v>
      </c>
      <c r="M1400" t="s">
        <v>3440</v>
      </c>
      <c r="N1400" t="s">
        <v>3441</v>
      </c>
      <c r="O1400" t="s">
        <v>3442</v>
      </c>
      <c r="R1400">
        <f>1</f>
        <v>1</v>
      </c>
      <c r="S1400">
        <f>18.8</f>
        <v>18.8</v>
      </c>
      <c r="T1400">
        <f>8</f>
        <v>8</v>
      </c>
      <c r="U1400">
        <f>356</f>
        <v>356</v>
      </c>
      <c r="V1400">
        <f>0.19</f>
        <v>0.19</v>
      </c>
      <c r="X1400">
        <f>0</f>
        <v>0</v>
      </c>
      <c r="Y1400" t="s">
        <v>207</v>
      </c>
      <c r="Z1400">
        <f>0</f>
        <v>0</v>
      </c>
      <c r="AA1400" t="s">
        <v>158</v>
      </c>
      <c r="AB1400" t="s">
        <v>158</v>
      </c>
      <c r="AC1400">
        <f>0</f>
        <v>0</v>
      </c>
      <c r="AD1400">
        <f>0</f>
        <v>0</v>
      </c>
      <c r="AE1400">
        <f>0</f>
        <v>0</v>
      </c>
      <c r="AH1400" t="s">
        <v>166</v>
      </c>
    </row>
    <row r="1401" spans="1:148" x14ac:dyDescent="0.25">
      <c r="A1401" t="s">
        <v>3914</v>
      </c>
      <c r="B1401" t="s">
        <v>148</v>
      </c>
      <c r="C1401" s="1">
        <v>45805</v>
      </c>
      <c r="D1401" t="s">
        <v>189</v>
      </c>
      <c r="E1401" t="s">
        <v>284</v>
      </c>
      <c r="F1401" t="s">
        <v>285</v>
      </c>
      <c r="G1401" t="s">
        <v>286</v>
      </c>
      <c r="H1401">
        <v>197</v>
      </c>
      <c r="I1401" t="s">
        <v>287</v>
      </c>
      <c r="J1401">
        <v>19851</v>
      </c>
      <c r="K1401" t="s">
        <v>5257</v>
      </c>
      <c r="L1401" t="s">
        <v>4943</v>
      </c>
      <c r="M1401" t="s">
        <v>1027</v>
      </c>
      <c r="N1401" t="s">
        <v>1028</v>
      </c>
      <c r="O1401" t="s">
        <v>1029</v>
      </c>
      <c r="R1401">
        <f>1</f>
        <v>1</v>
      </c>
      <c r="S1401">
        <f>14.8</f>
        <v>14.8</v>
      </c>
      <c r="T1401">
        <f>7.9</f>
        <v>7.9</v>
      </c>
      <c r="U1401">
        <f>330</f>
        <v>330</v>
      </c>
      <c r="V1401">
        <f>0.13</f>
        <v>0.13</v>
      </c>
      <c r="X1401">
        <f>0</f>
        <v>0</v>
      </c>
      <c r="Y1401">
        <f>0.07</f>
        <v>7.0000000000000007E-2</v>
      </c>
      <c r="Z1401">
        <f>0</f>
        <v>0</v>
      </c>
      <c r="AA1401">
        <f>2</f>
        <v>2</v>
      </c>
      <c r="AB1401">
        <f>4</f>
        <v>4</v>
      </c>
      <c r="AC1401">
        <f>0</f>
        <v>0</v>
      </c>
      <c r="AD1401">
        <f>0</f>
        <v>0</v>
      </c>
      <c r="AE1401">
        <f>0</f>
        <v>0</v>
      </c>
      <c r="AH1401" t="s">
        <v>157</v>
      </c>
    </row>
    <row r="1402" spans="1:148" x14ac:dyDescent="0.25">
      <c r="A1402" t="s">
        <v>3915</v>
      </c>
      <c r="B1402" t="s">
        <v>268</v>
      </c>
      <c r="C1402" s="1">
        <v>45867</v>
      </c>
      <c r="D1402" t="s">
        <v>189</v>
      </c>
      <c r="E1402" t="s">
        <v>190</v>
      </c>
      <c r="F1402" t="s">
        <v>5849</v>
      </c>
      <c r="G1402" t="s">
        <v>711</v>
      </c>
      <c r="H1402">
        <v>328</v>
      </c>
      <c r="I1402" t="s">
        <v>711</v>
      </c>
      <c r="J1402">
        <v>19000</v>
      </c>
      <c r="K1402" t="s">
        <v>5257</v>
      </c>
      <c r="L1402" t="s">
        <v>712</v>
      </c>
      <c r="M1402" t="s">
        <v>5375</v>
      </c>
      <c r="N1402" t="s">
        <v>1031</v>
      </c>
      <c r="O1402" t="s">
        <v>1032</v>
      </c>
      <c r="R1402">
        <f>1</f>
        <v>1</v>
      </c>
      <c r="S1402">
        <f>23.4</f>
        <v>23.4</v>
      </c>
      <c r="T1402">
        <f>7.8</f>
        <v>7.8</v>
      </c>
      <c r="U1402">
        <f>355</f>
        <v>355</v>
      </c>
      <c r="V1402">
        <f>0.05</f>
        <v>0.05</v>
      </c>
      <c r="X1402">
        <f>0</f>
        <v>0</v>
      </c>
      <c r="Y1402">
        <f>0.29</f>
        <v>0.28999999999999998</v>
      </c>
      <c r="Z1402">
        <f>0</f>
        <v>0</v>
      </c>
      <c r="AA1402" t="s">
        <v>705</v>
      </c>
      <c r="AB1402">
        <f>62</f>
        <v>62</v>
      </c>
      <c r="AC1402">
        <f>0</f>
        <v>0</v>
      </c>
      <c r="AD1402">
        <f>0</f>
        <v>0</v>
      </c>
      <c r="AE1402">
        <f>0</f>
        <v>0</v>
      </c>
      <c r="AH1402" t="s">
        <v>157</v>
      </c>
    </row>
    <row r="1403" spans="1:148" x14ac:dyDescent="0.25">
      <c r="A1403" t="s">
        <v>3916</v>
      </c>
      <c r="B1403" t="s">
        <v>148</v>
      </c>
      <c r="C1403" s="1">
        <v>45756</v>
      </c>
      <c r="D1403" t="s">
        <v>149</v>
      </c>
      <c r="E1403" t="s">
        <v>150</v>
      </c>
      <c r="F1403" t="s">
        <v>613</v>
      </c>
      <c r="G1403" t="s">
        <v>614</v>
      </c>
      <c r="H1403">
        <v>1824</v>
      </c>
      <c r="I1403" t="s">
        <v>5103</v>
      </c>
      <c r="J1403">
        <v>5600</v>
      </c>
      <c r="K1403" t="s">
        <v>5254</v>
      </c>
      <c r="M1403" t="s">
        <v>6193</v>
      </c>
      <c r="N1403" t="s">
        <v>3419</v>
      </c>
      <c r="R1403">
        <f>1</f>
        <v>1</v>
      </c>
      <c r="S1403">
        <f>13.6</f>
        <v>13.6</v>
      </c>
      <c r="T1403">
        <f>7.1</f>
        <v>7.1</v>
      </c>
      <c r="U1403">
        <f>410</f>
        <v>410</v>
      </c>
      <c r="V1403" t="s">
        <v>157</v>
      </c>
      <c r="X1403">
        <f>0</f>
        <v>0</v>
      </c>
      <c r="Y1403">
        <f>0.1</f>
        <v>0.1</v>
      </c>
      <c r="Z1403">
        <f>0</f>
        <v>0</v>
      </c>
      <c r="AA1403" t="s">
        <v>158</v>
      </c>
      <c r="AB1403" t="s">
        <v>158</v>
      </c>
      <c r="AD1403">
        <f>0</f>
        <v>0</v>
      </c>
      <c r="AE1403">
        <f>0</f>
        <v>0</v>
      </c>
      <c r="AH1403" t="s">
        <v>157</v>
      </c>
    </row>
    <row r="1404" spans="1:148" x14ac:dyDescent="0.25">
      <c r="A1404" t="s">
        <v>3917</v>
      </c>
      <c r="B1404" t="s">
        <v>148</v>
      </c>
      <c r="C1404" s="1">
        <v>45805</v>
      </c>
      <c r="D1404" t="s">
        <v>189</v>
      </c>
      <c r="E1404" t="s">
        <v>284</v>
      </c>
      <c r="F1404" t="s">
        <v>285</v>
      </c>
      <c r="G1404" t="s">
        <v>286</v>
      </c>
      <c r="H1404">
        <v>197</v>
      </c>
      <c r="I1404" t="s">
        <v>287</v>
      </c>
      <c r="J1404">
        <v>19851</v>
      </c>
      <c r="K1404" t="s">
        <v>5257</v>
      </c>
      <c r="L1404" t="s">
        <v>4943</v>
      </c>
      <c r="M1404" t="s">
        <v>1057</v>
      </c>
      <c r="N1404" t="s">
        <v>1058</v>
      </c>
      <c r="O1404" t="s">
        <v>1059</v>
      </c>
      <c r="R1404">
        <f>1</f>
        <v>1</v>
      </c>
      <c r="S1404">
        <f>14.8</f>
        <v>14.8</v>
      </c>
      <c r="T1404">
        <f>7.8</f>
        <v>7.8</v>
      </c>
      <c r="U1404">
        <f>327</f>
        <v>327</v>
      </c>
      <c r="V1404" t="s">
        <v>1723</v>
      </c>
      <c r="X1404">
        <f>0</f>
        <v>0</v>
      </c>
      <c r="Y1404">
        <f>0.13</f>
        <v>0.13</v>
      </c>
      <c r="Z1404">
        <f>0</f>
        <v>0</v>
      </c>
      <c r="AA1404">
        <f>4</f>
        <v>4</v>
      </c>
      <c r="AB1404">
        <f>3</f>
        <v>3</v>
      </c>
      <c r="AC1404">
        <f>0</f>
        <v>0</v>
      </c>
      <c r="AD1404">
        <f>0</f>
        <v>0</v>
      </c>
      <c r="AE1404">
        <f>0</f>
        <v>0</v>
      </c>
      <c r="AH1404" t="s">
        <v>157</v>
      </c>
      <c r="BB1404">
        <f>12</f>
        <v>12</v>
      </c>
    </row>
    <row r="1405" spans="1:148" x14ac:dyDescent="0.25">
      <c r="A1405" t="s">
        <v>3918</v>
      </c>
      <c r="B1405" t="s">
        <v>148</v>
      </c>
      <c r="C1405" s="1">
        <v>45807</v>
      </c>
      <c r="D1405" t="s">
        <v>175</v>
      </c>
      <c r="E1405" t="s">
        <v>176</v>
      </c>
      <c r="F1405" t="s">
        <v>556</v>
      </c>
      <c r="G1405" t="s">
        <v>808</v>
      </c>
      <c r="H1405">
        <v>338</v>
      </c>
      <c r="I1405" t="s">
        <v>808</v>
      </c>
      <c r="J1405">
        <v>14369</v>
      </c>
      <c r="K1405" t="s">
        <v>5254</v>
      </c>
      <c r="L1405" t="s">
        <v>4724</v>
      </c>
      <c r="M1405" t="s">
        <v>4743</v>
      </c>
      <c r="N1405" t="s">
        <v>4744</v>
      </c>
      <c r="O1405" t="s">
        <v>1089</v>
      </c>
      <c r="Q1405" t="s">
        <v>6311</v>
      </c>
      <c r="R1405">
        <f>1</f>
        <v>1</v>
      </c>
      <c r="S1405">
        <f>17.5</f>
        <v>17.5</v>
      </c>
      <c r="T1405">
        <f>7.5</f>
        <v>7.5</v>
      </c>
      <c r="U1405">
        <f>502</f>
        <v>502</v>
      </c>
      <c r="X1405">
        <f>0</f>
        <v>0</v>
      </c>
      <c r="Y1405" t="s">
        <v>157</v>
      </c>
      <c r="Z1405">
        <f>0</f>
        <v>0</v>
      </c>
      <c r="AA1405" t="s">
        <v>158</v>
      </c>
      <c r="AB1405">
        <f>14</f>
        <v>14</v>
      </c>
      <c r="AD1405">
        <f>0</f>
        <v>0</v>
      </c>
      <c r="AE1405">
        <f>0</f>
        <v>0</v>
      </c>
      <c r="AH1405" t="s">
        <v>157</v>
      </c>
    </row>
    <row r="1406" spans="1:148" x14ac:dyDescent="0.25">
      <c r="A1406" t="s">
        <v>3919</v>
      </c>
      <c r="B1406" t="s">
        <v>148</v>
      </c>
      <c r="C1406" s="1">
        <v>45818</v>
      </c>
      <c r="D1406" t="s">
        <v>175</v>
      </c>
      <c r="E1406" t="s">
        <v>176</v>
      </c>
      <c r="F1406" t="s">
        <v>556</v>
      </c>
      <c r="G1406" t="s">
        <v>557</v>
      </c>
      <c r="H1406">
        <v>1701</v>
      </c>
      <c r="I1406" t="s">
        <v>6554</v>
      </c>
      <c r="J1406">
        <v>138695</v>
      </c>
      <c r="K1406" t="s">
        <v>5254</v>
      </c>
      <c r="L1406" t="s">
        <v>180</v>
      </c>
      <c r="M1406" t="s">
        <v>5828</v>
      </c>
      <c r="N1406" t="s">
        <v>566</v>
      </c>
      <c r="O1406" t="s">
        <v>567</v>
      </c>
      <c r="Q1406" t="s">
        <v>6311</v>
      </c>
      <c r="R1406">
        <f>1</f>
        <v>1</v>
      </c>
      <c r="S1406">
        <f>15.9</f>
        <v>15.9</v>
      </c>
      <c r="T1406">
        <f>7.5</f>
        <v>7.5</v>
      </c>
      <c r="U1406">
        <f>446</f>
        <v>446</v>
      </c>
      <c r="X1406">
        <f>0</f>
        <v>0</v>
      </c>
      <c r="Y1406" t="s">
        <v>157</v>
      </c>
      <c r="Z1406">
        <f>0</f>
        <v>0</v>
      </c>
      <c r="AA1406" t="s">
        <v>158</v>
      </c>
      <c r="AB1406" t="s">
        <v>158</v>
      </c>
      <c r="AD1406">
        <f>0</f>
        <v>0</v>
      </c>
      <c r="AE1406">
        <f>0</f>
        <v>0</v>
      </c>
      <c r="AH1406" t="s">
        <v>157</v>
      </c>
    </row>
    <row r="1407" spans="1:148" x14ac:dyDescent="0.25">
      <c r="A1407" t="s">
        <v>3920</v>
      </c>
      <c r="B1407" t="s">
        <v>148</v>
      </c>
      <c r="C1407" s="1">
        <v>45798</v>
      </c>
      <c r="D1407" t="s">
        <v>175</v>
      </c>
      <c r="E1407" t="s">
        <v>176</v>
      </c>
      <c r="F1407" t="s">
        <v>556</v>
      </c>
      <c r="G1407" t="s">
        <v>557</v>
      </c>
      <c r="H1407">
        <v>1701</v>
      </c>
      <c r="I1407" t="s">
        <v>6554</v>
      </c>
      <c r="J1407">
        <v>138695</v>
      </c>
      <c r="K1407" t="s">
        <v>5254</v>
      </c>
      <c r="L1407" t="s">
        <v>180</v>
      </c>
      <c r="M1407" t="s">
        <v>4960</v>
      </c>
      <c r="N1407" t="s">
        <v>4711</v>
      </c>
      <c r="O1407" t="s">
        <v>583</v>
      </c>
      <c r="Q1407" t="s">
        <v>6488</v>
      </c>
      <c r="R1407">
        <f>1</f>
        <v>1</v>
      </c>
      <c r="S1407">
        <f>15.4</f>
        <v>15.4</v>
      </c>
      <c r="T1407">
        <f>7.4</f>
        <v>7.4</v>
      </c>
      <c r="U1407">
        <f>516</f>
        <v>516</v>
      </c>
      <c r="X1407">
        <f>0</f>
        <v>0</v>
      </c>
      <c r="Y1407" t="s">
        <v>157</v>
      </c>
      <c r="Z1407">
        <f>0</f>
        <v>0</v>
      </c>
      <c r="AA1407" t="s">
        <v>158</v>
      </c>
      <c r="AB1407" t="s">
        <v>158</v>
      </c>
      <c r="AD1407">
        <f>0</f>
        <v>0</v>
      </c>
      <c r="AE1407">
        <f>0</f>
        <v>0</v>
      </c>
      <c r="AH1407" t="s">
        <v>157</v>
      </c>
    </row>
    <row r="1408" spans="1:148" x14ac:dyDescent="0.25">
      <c r="A1408" t="s">
        <v>3921</v>
      </c>
      <c r="B1408" t="s">
        <v>148</v>
      </c>
      <c r="C1408" s="1">
        <v>45806</v>
      </c>
      <c r="D1408" t="s">
        <v>175</v>
      </c>
      <c r="E1408" t="s">
        <v>176</v>
      </c>
      <c r="F1408" t="s">
        <v>556</v>
      </c>
      <c r="G1408" t="s">
        <v>557</v>
      </c>
      <c r="H1408">
        <v>1708</v>
      </c>
      <c r="I1408" t="s">
        <v>6591</v>
      </c>
      <c r="J1408">
        <v>14987</v>
      </c>
      <c r="K1408" t="s">
        <v>5254</v>
      </c>
      <c r="L1408" t="s">
        <v>180</v>
      </c>
      <c r="M1408" t="s">
        <v>5123</v>
      </c>
      <c r="N1408" t="s">
        <v>4747</v>
      </c>
      <c r="O1408" t="s">
        <v>1099</v>
      </c>
      <c r="Q1408" t="s">
        <v>6311</v>
      </c>
      <c r="R1408">
        <f>1</f>
        <v>1</v>
      </c>
      <c r="S1408">
        <f>15.2</f>
        <v>15.2</v>
      </c>
      <c r="T1408">
        <f>7.5</f>
        <v>7.5</v>
      </c>
      <c r="U1408">
        <f>438</f>
        <v>438</v>
      </c>
      <c r="X1408">
        <f>0</f>
        <v>0</v>
      </c>
      <c r="Y1408" t="s">
        <v>157</v>
      </c>
      <c r="Z1408">
        <f>0</f>
        <v>0</v>
      </c>
      <c r="AA1408" t="s">
        <v>158</v>
      </c>
      <c r="AB1408" t="s">
        <v>158</v>
      </c>
      <c r="AD1408">
        <f>0</f>
        <v>0</v>
      </c>
      <c r="AE1408">
        <f>0</f>
        <v>0</v>
      </c>
      <c r="AH1408" t="s">
        <v>157</v>
      </c>
    </row>
    <row r="1409" spans="1:46" x14ac:dyDescent="0.25">
      <c r="A1409" t="s">
        <v>3922</v>
      </c>
      <c r="B1409" t="s">
        <v>148</v>
      </c>
      <c r="C1409" s="1">
        <v>45748</v>
      </c>
      <c r="D1409" t="s">
        <v>175</v>
      </c>
      <c r="E1409" t="s">
        <v>176</v>
      </c>
      <c r="F1409" t="s">
        <v>556</v>
      </c>
      <c r="G1409" t="s">
        <v>557</v>
      </c>
      <c r="H1409">
        <v>1703</v>
      </c>
      <c r="I1409" t="s">
        <v>5893</v>
      </c>
      <c r="J1409">
        <v>19041</v>
      </c>
      <c r="K1409" t="s">
        <v>5254</v>
      </c>
      <c r="L1409" t="s">
        <v>4724</v>
      </c>
      <c r="M1409" t="s">
        <v>6196</v>
      </c>
      <c r="N1409" t="s">
        <v>5071</v>
      </c>
      <c r="O1409" t="s">
        <v>3450</v>
      </c>
      <c r="Q1409" t="s">
        <v>6313</v>
      </c>
      <c r="R1409">
        <f>1</f>
        <v>1</v>
      </c>
      <c r="S1409">
        <f>12.2</f>
        <v>12.2</v>
      </c>
      <c r="T1409">
        <f>7.3</f>
        <v>7.3</v>
      </c>
      <c r="U1409">
        <f>574</f>
        <v>574</v>
      </c>
      <c r="V1409" t="s">
        <v>207</v>
      </c>
      <c r="X1409">
        <f>0</f>
        <v>0</v>
      </c>
      <c r="Y1409" t="s">
        <v>157</v>
      </c>
      <c r="Z1409">
        <f>0</f>
        <v>0</v>
      </c>
      <c r="AA1409" t="s">
        <v>158</v>
      </c>
      <c r="AB1409" t="s">
        <v>158</v>
      </c>
      <c r="AD1409">
        <f>0</f>
        <v>0</v>
      </c>
      <c r="AE1409">
        <f>0</f>
        <v>0</v>
      </c>
    </row>
    <row r="1410" spans="1:46" x14ac:dyDescent="0.25">
      <c r="A1410" t="s">
        <v>3923</v>
      </c>
      <c r="B1410" t="s">
        <v>148</v>
      </c>
      <c r="C1410" s="1">
        <v>45806</v>
      </c>
      <c r="D1410" t="s">
        <v>175</v>
      </c>
      <c r="E1410" t="s">
        <v>176</v>
      </c>
      <c r="F1410" t="s">
        <v>556</v>
      </c>
      <c r="G1410" t="s">
        <v>557</v>
      </c>
      <c r="H1410">
        <v>1708</v>
      </c>
      <c r="I1410" t="s">
        <v>6591</v>
      </c>
      <c r="J1410">
        <v>14987</v>
      </c>
      <c r="K1410" t="s">
        <v>5254</v>
      </c>
      <c r="L1410" t="s">
        <v>180</v>
      </c>
      <c r="M1410" t="s">
        <v>5896</v>
      </c>
      <c r="N1410" t="s">
        <v>1126</v>
      </c>
      <c r="O1410" t="s">
        <v>1127</v>
      </c>
      <c r="Q1410" t="s">
        <v>6441</v>
      </c>
      <c r="R1410">
        <f>1</f>
        <v>1</v>
      </c>
      <c r="S1410">
        <f>13.8</f>
        <v>13.8</v>
      </c>
      <c r="T1410">
        <f t="shared" ref="T1410:T1415" si="1">7.5</f>
        <v>7.5</v>
      </c>
      <c r="U1410">
        <f>532</f>
        <v>532</v>
      </c>
      <c r="X1410">
        <f>0</f>
        <v>0</v>
      </c>
      <c r="Y1410" t="s">
        <v>157</v>
      </c>
      <c r="Z1410">
        <f>0</f>
        <v>0</v>
      </c>
      <c r="AA1410" t="s">
        <v>158</v>
      </c>
      <c r="AB1410" t="s">
        <v>158</v>
      </c>
      <c r="AD1410">
        <f>0</f>
        <v>0</v>
      </c>
      <c r="AE1410">
        <f>0</f>
        <v>0</v>
      </c>
      <c r="AH1410" t="s">
        <v>157</v>
      </c>
    </row>
    <row r="1411" spans="1:46" x14ac:dyDescent="0.25">
      <c r="A1411" t="s">
        <v>3924</v>
      </c>
      <c r="B1411" t="s">
        <v>148</v>
      </c>
      <c r="C1411" s="1">
        <v>45806</v>
      </c>
      <c r="D1411" t="s">
        <v>175</v>
      </c>
      <c r="E1411" t="s">
        <v>176</v>
      </c>
      <c r="F1411" t="s">
        <v>556</v>
      </c>
      <c r="G1411" t="s">
        <v>557</v>
      </c>
      <c r="H1411">
        <v>1708</v>
      </c>
      <c r="I1411" t="s">
        <v>6591</v>
      </c>
      <c r="J1411">
        <v>14987</v>
      </c>
      <c r="K1411" t="s">
        <v>5254</v>
      </c>
      <c r="L1411" t="s">
        <v>180</v>
      </c>
      <c r="M1411" t="s">
        <v>5897</v>
      </c>
      <c r="N1411" t="s">
        <v>1129</v>
      </c>
      <c r="O1411" t="s">
        <v>1130</v>
      </c>
      <c r="Q1411" t="s">
        <v>6334</v>
      </c>
      <c r="R1411">
        <f>1</f>
        <v>1</v>
      </c>
      <c r="S1411">
        <f>16.9</f>
        <v>16.899999999999999</v>
      </c>
      <c r="T1411">
        <f t="shared" si="1"/>
        <v>7.5</v>
      </c>
      <c r="U1411">
        <f>472</f>
        <v>472</v>
      </c>
      <c r="X1411">
        <f>0</f>
        <v>0</v>
      </c>
      <c r="Y1411" t="s">
        <v>157</v>
      </c>
      <c r="Z1411">
        <f>0</f>
        <v>0</v>
      </c>
      <c r="AA1411" t="s">
        <v>158</v>
      </c>
      <c r="AB1411" t="s">
        <v>158</v>
      </c>
      <c r="AD1411">
        <f>0</f>
        <v>0</v>
      </c>
      <c r="AE1411">
        <f>0</f>
        <v>0</v>
      </c>
      <c r="AH1411" t="s">
        <v>157</v>
      </c>
    </row>
    <row r="1412" spans="1:46" x14ac:dyDescent="0.25">
      <c r="A1412" t="s">
        <v>3925</v>
      </c>
      <c r="B1412" t="s">
        <v>148</v>
      </c>
      <c r="C1412" s="1">
        <v>45806</v>
      </c>
      <c r="D1412" t="s">
        <v>175</v>
      </c>
      <c r="E1412" t="s">
        <v>176</v>
      </c>
      <c r="F1412" t="s">
        <v>556</v>
      </c>
      <c r="G1412" t="s">
        <v>557</v>
      </c>
      <c r="H1412">
        <v>1708</v>
      </c>
      <c r="I1412" t="s">
        <v>6591</v>
      </c>
      <c r="J1412">
        <v>14987</v>
      </c>
      <c r="K1412" t="s">
        <v>5254</v>
      </c>
      <c r="L1412" t="s">
        <v>180</v>
      </c>
      <c r="M1412" t="s">
        <v>5124</v>
      </c>
      <c r="N1412" t="s">
        <v>5898</v>
      </c>
      <c r="O1412" t="s">
        <v>1132</v>
      </c>
      <c r="Q1412" t="s">
        <v>6335</v>
      </c>
      <c r="R1412">
        <f>1</f>
        <v>1</v>
      </c>
      <c r="S1412">
        <f>15.6</f>
        <v>15.6</v>
      </c>
      <c r="T1412">
        <f t="shared" si="1"/>
        <v>7.5</v>
      </c>
      <c r="U1412">
        <f>437</f>
        <v>437</v>
      </c>
      <c r="X1412">
        <f>0</f>
        <v>0</v>
      </c>
      <c r="Y1412" t="s">
        <v>157</v>
      </c>
      <c r="Z1412">
        <f>0</f>
        <v>0</v>
      </c>
      <c r="AA1412" t="s">
        <v>158</v>
      </c>
      <c r="AB1412" t="s">
        <v>158</v>
      </c>
      <c r="AD1412">
        <f>0</f>
        <v>0</v>
      </c>
      <c r="AE1412">
        <f>0</f>
        <v>0</v>
      </c>
      <c r="AH1412" t="s">
        <v>157</v>
      </c>
    </row>
    <row r="1413" spans="1:46" x14ac:dyDescent="0.25">
      <c r="A1413" t="s">
        <v>3926</v>
      </c>
      <c r="B1413" t="s">
        <v>148</v>
      </c>
      <c r="C1413" s="1">
        <v>45806</v>
      </c>
      <c r="D1413" t="s">
        <v>175</v>
      </c>
      <c r="E1413" t="s">
        <v>176</v>
      </c>
      <c r="F1413" t="s">
        <v>556</v>
      </c>
      <c r="G1413" t="s">
        <v>557</v>
      </c>
      <c r="H1413">
        <v>1708</v>
      </c>
      <c r="I1413" t="s">
        <v>6591</v>
      </c>
      <c r="J1413">
        <v>14987</v>
      </c>
      <c r="K1413" t="s">
        <v>5254</v>
      </c>
      <c r="L1413" t="s">
        <v>180</v>
      </c>
      <c r="M1413" t="s">
        <v>5382</v>
      </c>
      <c r="N1413" t="s">
        <v>4751</v>
      </c>
      <c r="O1413" t="s">
        <v>1134</v>
      </c>
      <c r="Q1413" t="s">
        <v>6335</v>
      </c>
      <c r="R1413">
        <f>1</f>
        <v>1</v>
      </c>
      <c r="S1413">
        <f>14.8</f>
        <v>14.8</v>
      </c>
      <c r="T1413">
        <f t="shared" si="1"/>
        <v>7.5</v>
      </c>
      <c r="U1413">
        <f>435</f>
        <v>435</v>
      </c>
      <c r="X1413">
        <f>0</f>
        <v>0</v>
      </c>
      <c r="Y1413" t="s">
        <v>157</v>
      </c>
      <c r="Z1413">
        <f>0</f>
        <v>0</v>
      </c>
      <c r="AA1413" t="s">
        <v>158</v>
      </c>
      <c r="AB1413" t="s">
        <v>158</v>
      </c>
      <c r="AD1413">
        <f>0</f>
        <v>0</v>
      </c>
      <c r="AE1413">
        <f>0</f>
        <v>0</v>
      </c>
      <c r="AH1413" t="s">
        <v>157</v>
      </c>
    </row>
    <row r="1414" spans="1:46" x14ac:dyDescent="0.25">
      <c r="A1414" t="s">
        <v>3927</v>
      </c>
      <c r="B1414" t="s">
        <v>148</v>
      </c>
      <c r="C1414" s="1">
        <v>45806</v>
      </c>
      <c r="D1414" t="s">
        <v>175</v>
      </c>
      <c r="E1414" t="s">
        <v>176</v>
      </c>
      <c r="F1414" t="s">
        <v>556</v>
      </c>
      <c r="G1414" t="s">
        <v>557</v>
      </c>
      <c r="H1414">
        <v>1708</v>
      </c>
      <c r="I1414" t="s">
        <v>6591</v>
      </c>
      <c r="J1414">
        <v>14987</v>
      </c>
      <c r="K1414" t="s">
        <v>5254</v>
      </c>
      <c r="L1414" t="s">
        <v>180</v>
      </c>
      <c r="M1414" t="s">
        <v>1136</v>
      </c>
      <c r="N1414" t="s">
        <v>1137</v>
      </c>
      <c r="O1414" t="s">
        <v>1138</v>
      </c>
      <c r="Q1414" t="s">
        <v>6336</v>
      </c>
      <c r="R1414">
        <f>1</f>
        <v>1</v>
      </c>
      <c r="S1414">
        <f>15.2</f>
        <v>15.2</v>
      </c>
      <c r="T1414">
        <f t="shared" si="1"/>
        <v>7.5</v>
      </c>
      <c r="U1414">
        <f>469</f>
        <v>469</v>
      </c>
      <c r="X1414">
        <f>0</f>
        <v>0</v>
      </c>
      <c r="Y1414" t="s">
        <v>157</v>
      </c>
      <c r="Z1414">
        <f>0</f>
        <v>0</v>
      </c>
      <c r="AA1414" t="s">
        <v>158</v>
      </c>
      <c r="AB1414" t="s">
        <v>158</v>
      </c>
      <c r="AD1414">
        <f>0</f>
        <v>0</v>
      </c>
      <c r="AE1414">
        <f>0</f>
        <v>0</v>
      </c>
      <c r="AH1414" t="s">
        <v>157</v>
      </c>
    </row>
    <row r="1415" spans="1:46" x14ac:dyDescent="0.25">
      <c r="A1415" t="s">
        <v>3928</v>
      </c>
      <c r="B1415" t="s">
        <v>148</v>
      </c>
      <c r="C1415" s="1">
        <v>45817</v>
      </c>
      <c r="D1415" t="s">
        <v>175</v>
      </c>
      <c r="E1415" t="s">
        <v>176</v>
      </c>
      <c r="F1415" t="s">
        <v>556</v>
      </c>
      <c r="G1415" t="s">
        <v>557</v>
      </c>
      <c r="H1415">
        <v>1706</v>
      </c>
      <c r="I1415" t="s">
        <v>6592</v>
      </c>
      <c r="J1415">
        <v>17666</v>
      </c>
      <c r="K1415" t="s">
        <v>5254</v>
      </c>
      <c r="L1415" t="s">
        <v>154</v>
      </c>
      <c r="M1415" t="s">
        <v>1143</v>
      </c>
      <c r="N1415" t="s">
        <v>4975</v>
      </c>
      <c r="O1415" t="s">
        <v>1144</v>
      </c>
      <c r="Q1415" t="s">
        <v>6312</v>
      </c>
      <c r="R1415">
        <f>1</f>
        <v>1</v>
      </c>
      <c r="S1415">
        <f>16.8</f>
        <v>16.8</v>
      </c>
      <c r="T1415">
        <f t="shared" si="1"/>
        <v>7.5</v>
      </c>
      <c r="U1415">
        <f>429</f>
        <v>429</v>
      </c>
      <c r="X1415">
        <f>0</f>
        <v>0</v>
      </c>
      <c r="Y1415" t="s">
        <v>157</v>
      </c>
      <c r="Z1415">
        <f>0</f>
        <v>0</v>
      </c>
      <c r="AA1415" t="s">
        <v>158</v>
      </c>
      <c r="AB1415" t="s">
        <v>158</v>
      </c>
      <c r="AD1415">
        <f>0</f>
        <v>0</v>
      </c>
      <c r="AE1415">
        <f>0</f>
        <v>0</v>
      </c>
      <c r="AH1415" t="s">
        <v>157</v>
      </c>
    </row>
    <row r="1416" spans="1:46" x14ac:dyDescent="0.25">
      <c r="A1416" t="s">
        <v>3929</v>
      </c>
      <c r="B1416" t="s">
        <v>148</v>
      </c>
      <c r="C1416" s="1">
        <v>45838</v>
      </c>
      <c r="D1416" t="s">
        <v>175</v>
      </c>
      <c r="E1416" t="s">
        <v>176</v>
      </c>
      <c r="F1416" t="s">
        <v>556</v>
      </c>
      <c r="G1416" t="s">
        <v>557</v>
      </c>
      <c r="H1416">
        <v>1706</v>
      </c>
      <c r="I1416" t="s">
        <v>6592</v>
      </c>
      <c r="J1416">
        <v>17666</v>
      </c>
      <c r="K1416" t="s">
        <v>5254</v>
      </c>
      <c r="L1416" t="s">
        <v>154</v>
      </c>
      <c r="M1416" t="s">
        <v>3467</v>
      </c>
      <c r="N1416" t="s">
        <v>6197</v>
      </c>
      <c r="O1416" t="s">
        <v>3468</v>
      </c>
      <c r="Q1416" t="s">
        <v>6446</v>
      </c>
      <c r="R1416">
        <f>1</f>
        <v>1</v>
      </c>
      <c r="S1416">
        <f>21.5</f>
        <v>21.5</v>
      </c>
      <c r="T1416">
        <f>7.6</f>
        <v>7.6</v>
      </c>
      <c r="U1416">
        <f>444</f>
        <v>444</v>
      </c>
      <c r="V1416" t="s">
        <v>1723</v>
      </c>
      <c r="X1416">
        <f>0</f>
        <v>0</v>
      </c>
      <c r="Y1416">
        <f>2.7</f>
        <v>2.7</v>
      </c>
      <c r="Z1416">
        <f>0</f>
        <v>0</v>
      </c>
      <c r="AA1416" t="s">
        <v>158</v>
      </c>
      <c r="AB1416" t="s">
        <v>158</v>
      </c>
      <c r="AD1416">
        <f>0</f>
        <v>0</v>
      </c>
      <c r="AE1416">
        <f>0</f>
        <v>0</v>
      </c>
      <c r="AH1416" t="s">
        <v>157</v>
      </c>
    </row>
    <row r="1417" spans="1:46" x14ac:dyDescent="0.25">
      <c r="A1417" t="s">
        <v>3930</v>
      </c>
      <c r="B1417" t="s">
        <v>148</v>
      </c>
      <c r="C1417" s="1">
        <v>45819</v>
      </c>
      <c r="D1417" t="s">
        <v>189</v>
      </c>
      <c r="E1417" t="s">
        <v>284</v>
      </c>
      <c r="F1417" t="s">
        <v>665</v>
      </c>
      <c r="G1417" t="s">
        <v>666</v>
      </c>
      <c r="H1417">
        <v>193</v>
      </c>
      <c r="I1417" t="s">
        <v>666</v>
      </c>
      <c r="J1417">
        <v>10226</v>
      </c>
      <c r="K1417" t="s">
        <v>5257</v>
      </c>
      <c r="L1417" t="s">
        <v>387</v>
      </c>
      <c r="M1417" t="s">
        <v>5904</v>
      </c>
      <c r="N1417" t="s">
        <v>5905</v>
      </c>
      <c r="O1417" t="s">
        <v>1182</v>
      </c>
      <c r="R1417">
        <f>1</f>
        <v>1</v>
      </c>
      <c r="S1417">
        <f>19.3</f>
        <v>19.3</v>
      </c>
      <c r="T1417">
        <f>7.9</f>
        <v>7.9</v>
      </c>
      <c r="U1417">
        <f>365</f>
        <v>365</v>
      </c>
      <c r="X1417">
        <f>0</f>
        <v>0</v>
      </c>
      <c r="Y1417">
        <f>0.06</f>
        <v>0.06</v>
      </c>
      <c r="Z1417">
        <f>0</f>
        <v>0</v>
      </c>
      <c r="AA1417">
        <f>0</f>
        <v>0</v>
      </c>
      <c r="AB1417">
        <f>1</f>
        <v>1</v>
      </c>
      <c r="AC1417">
        <f>0</f>
        <v>0</v>
      </c>
      <c r="AD1417">
        <f>0</f>
        <v>0</v>
      </c>
      <c r="AE1417">
        <f>0</f>
        <v>0</v>
      </c>
      <c r="AH1417">
        <f>0.2</f>
        <v>0.2</v>
      </c>
    </row>
    <row r="1418" spans="1:46" x14ac:dyDescent="0.25">
      <c r="A1418" t="s">
        <v>3931</v>
      </c>
      <c r="B1418" t="s">
        <v>148</v>
      </c>
      <c r="C1418" s="1">
        <v>45714</v>
      </c>
      <c r="D1418" t="s">
        <v>175</v>
      </c>
      <c r="E1418" t="s">
        <v>176</v>
      </c>
      <c r="F1418" t="s">
        <v>690</v>
      </c>
      <c r="G1418" t="s">
        <v>691</v>
      </c>
      <c r="H1418">
        <v>1021</v>
      </c>
      <c r="I1418" t="s">
        <v>692</v>
      </c>
      <c r="J1418">
        <v>9974</v>
      </c>
      <c r="K1418" t="s">
        <v>5254</v>
      </c>
      <c r="L1418" t="s">
        <v>4963</v>
      </c>
      <c r="M1418" t="s">
        <v>693</v>
      </c>
      <c r="N1418" t="s">
        <v>694</v>
      </c>
      <c r="O1418" t="s">
        <v>695</v>
      </c>
      <c r="R1418">
        <f>1</f>
        <v>1</v>
      </c>
      <c r="S1418">
        <f>10.3</f>
        <v>10.3</v>
      </c>
      <c r="T1418">
        <f>7.5</f>
        <v>7.5</v>
      </c>
      <c r="U1418">
        <f>411</f>
        <v>411</v>
      </c>
      <c r="V1418">
        <f>0.16</f>
        <v>0.16</v>
      </c>
      <c r="X1418">
        <f>0</f>
        <v>0</v>
      </c>
      <c r="Y1418" t="s">
        <v>157</v>
      </c>
      <c r="Z1418">
        <f>0</f>
        <v>0</v>
      </c>
      <c r="AA1418" t="s">
        <v>158</v>
      </c>
      <c r="AB1418" t="s">
        <v>158</v>
      </c>
      <c r="AC1418">
        <f>0</f>
        <v>0</v>
      </c>
      <c r="AD1418">
        <f>0</f>
        <v>0</v>
      </c>
      <c r="AE1418">
        <f>0</f>
        <v>0</v>
      </c>
    </row>
    <row r="1419" spans="1:46" x14ac:dyDescent="0.25">
      <c r="A1419" t="s">
        <v>3932</v>
      </c>
      <c r="B1419" t="s">
        <v>148</v>
      </c>
      <c r="C1419" s="1">
        <v>45848</v>
      </c>
      <c r="D1419" t="s">
        <v>149</v>
      </c>
      <c r="E1419" t="s">
        <v>150</v>
      </c>
      <c r="F1419" t="s">
        <v>151</v>
      </c>
      <c r="G1419" t="s">
        <v>152</v>
      </c>
      <c r="H1419">
        <v>10</v>
      </c>
      <c r="I1419" t="s">
        <v>153</v>
      </c>
      <c r="J1419">
        <v>41336</v>
      </c>
      <c r="K1419" t="s">
        <v>5254</v>
      </c>
      <c r="L1419" t="s">
        <v>154</v>
      </c>
      <c r="M1419" t="s">
        <v>5256</v>
      </c>
      <c r="N1419" t="s">
        <v>4694</v>
      </c>
      <c r="O1419" t="s">
        <v>163</v>
      </c>
      <c r="R1419">
        <f>1</f>
        <v>1</v>
      </c>
      <c r="S1419">
        <f>19.1</f>
        <v>19.100000000000001</v>
      </c>
      <c r="T1419">
        <f>7.1</f>
        <v>7.1</v>
      </c>
      <c r="U1419">
        <f>473</f>
        <v>473</v>
      </c>
      <c r="V1419" t="s">
        <v>209</v>
      </c>
      <c r="X1419">
        <f>0</f>
        <v>0</v>
      </c>
      <c r="Y1419">
        <f>0.1</f>
        <v>0.1</v>
      </c>
      <c r="Z1419">
        <f>0</f>
        <v>0</v>
      </c>
      <c r="AA1419" t="s">
        <v>158</v>
      </c>
      <c r="AB1419" t="s">
        <v>158</v>
      </c>
      <c r="AD1419">
        <f>0</f>
        <v>0</v>
      </c>
      <c r="AE1419">
        <f>0</f>
        <v>0</v>
      </c>
      <c r="AH1419" t="s">
        <v>157</v>
      </c>
    </row>
    <row r="1420" spans="1:46" x14ac:dyDescent="0.25">
      <c r="A1420" t="s">
        <v>3933</v>
      </c>
      <c r="B1420" t="s">
        <v>148</v>
      </c>
      <c r="C1420" s="1">
        <v>45848</v>
      </c>
      <c r="D1420" t="s">
        <v>149</v>
      </c>
      <c r="E1420" t="s">
        <v>150</v>
      </c>
      <c r="F1420" t="s">
        <v>5770</v>
      </c>
      <c r="G1420" t="s">
        <v>170</v>
      </c>
      <c r="H1420">
        <v>1837</v>
      </c>
      <c r="I1420" t="s">
        <v>171</v>
      </c>
      <c r="J1420">
        <v>13800</v>
      </c>
      <c r="K1420" t="s">
        <v>5254</v>
      </c>
      <c r="M1420" t="s">
        <v>172</v>
      </c>
      <c r="N1420" t="s">
        <v>5771</v>
      </c>
      <c r="O1420" t="s">
        <v>173</v>
      </c>
      <c r="R1420">
        <f>1</f>
        <v>1</v>
      </c>
      <c r="S1420">
        <f>20.3</f>
        <v>20.3</v>
      </c>
      <c r="T1420">
        <f>7</f>
        <v>7</v>
      </c>
      <c r="U1420">
        <f>341</f>
        <v>341</v>
      </c>
      <c r="V1420">
        <f>0.05</f>
        <v>0.05</v>
      </c>
      <c r="X1420">
        <f>0</f>
        <v>0</v>
      </c>
      <c r="Y1420">
        <f>0.1</f>
        <v>0.1</v>
      </c>
      <c r="Z1420">
        <f>0</f>
        <v>0</v>
      </c>
      <c r="AA1420" t="s">
        <v>158</v>
      </c>
      <c r="AB1420" t="s">
        <v>158</v>
      </c>
      <c r="AD1420">
        <f>0</f>
        <v>0</v>
      </c>
      <c r="AE1420">
        <f>0</f>
        <v>0</v>
      </c>
      <c r="AH1420" t="s">
        <v>157</v>
      </c>
    </row>
    <row r="1421" spans="1:46" x14ac:dyDescent="0.25">
      <c r="A1421" t="s">
        <v>3934</v>
      </c>
      <c r="B1421" t="s">
        <v>148</v>
      </c>
      <c r="C1421" s="1">
        <v>45866</v>
      </c>
      <c r="D1421" t="s">
        <v>189</v>
      </c>
      <c r="E1421" t="s">
        <v>190</v>
      </c>
      <c r="F1421" t="s">
        <v>4936</v>
      </c>
      <c r="G1421" t="s">
        <v>5090</v>
      </c>
      <c r="H1421">
        <v>172</v>
      </c>
      <c r="I1421" t="s">
        <v>5090</v>
      </c>
      <c r="J1421">
        <v>89433</v>
      </c>
      <c r="K1421" t="s">
        <v>5257</v>
      </c>
      <c r="L1421" t="s">
        <v>191</v>
      </c>
      <c r="M1421" t="s">
        <v>198</v>
      </c>
      <c r="N1421" t="s">
        <v>199</v>
      </c>
      <c r="O1421" t="s">
        <v>200</v>
      </c>
      <c r="Q1421" t="s">
        <v>6489</v>
      </c>
      <c r="R1421">
        <f>1</f>
        <v>1</v>
      </c>
      <c r="S1421">
        <f>21.2</f>
        <v>21.2</v>
      </c>
      <c r="T1421">
        <f>7.9</f>
        <v>7.9</v>
      </c>
      <c r="U1421">
        <f>379</f>
        <v>379</v>
      </c>
      <c r="X1421">
        <f>0</f>
        <v>0</v>
      </c>
      <c r="Y1421">
        <f>0.03</f>
        <v>0.03</v>
      </c>
      <c r="Z1421">
        <f>0</f>
        <v>0</v>
      </c>
      <c r="AA1421">
        <f>0</f>
        <v>0</v>
      </c>
      <c r="AB1421">
        <f>4</f>
        <v>4</v>
      </c>
      <c r="AC1421">
        <f>0</f>
        <v>0</v>
      </c>
      <c r="AD1421">
        <f>0</f>
        <v>0</v>
      </c>
      <c r="AE1421">
        <f>0</f>
        <v>0</v>
      </c>
      <c r="AH1421" t="s">
        <v>157</v>
      </c>
    </row>
    <row r="1422" spans="1:46" x14ac:dyDescent="0.25">
      <c r="A1422" t="s">
        <v>3935</v>
      </c>
      <c r="B1422" t="s">
        <v>148</v>
      </c>
      <c r="C1422" s="1">
        <v>45805</v>
      </c>
      <c r="D1422" t="s">
        <v>189</v>
      </c>
      <c r="E1422" t="s">
        <v>190</v>
      </c>
      <c r="F1422" t="s">
        <v>4936</v>
      </c>
      <c r="G1422" t="s">
        <v>5090</v>
      </c>
      <c r="H1422">
        <v>172</v>
      </c>
      <c r="I1422" t="s">
        <v>5090</v>
      </c>
      <c r="J1422">
        <v>89433</v>
      </c>
      <c r="K1422" t="s">
        <v>5257</v>
      </c>
      <c r="L1422" t="s">
        <v>191</v>
      </c>
      <c r="M1422" t="s">
        <v>205</v>
      </c>
      <c r="N1422" t="s">
        <v>6524</v>
      </c>
      <c r="O1422" t="s">
        <v>206</v>
      </c>
      <c r="R1422">
        <f>1</f>
        <v>1</v>
      </c>
      <c r="S1422">
        <f>17.9</f>
        <v>17.899999999999999</v>
      </c>
      <c r="T1422">
        <f>7.8</f>
        <v>7.8</v>
      </c>
      <c r="U1422">
        <f>341</f>
        <v>341</v>
      </c>
      <c r="X1422">
        <f>0</f>
        <v>0</v>
      </c>
      <c r="Y1422">
        <f>0.09</f>
        <v>0.09</v>
      </c>
      <c r="Z1422">
        <f>0</f>
        <v>0</v>
      </c>
      <c r="AA1422">
        <f>0</f>
        <v>0</v>
      </c>
      <c r="AB1422">
        <f>2</f>
        <v>2</v>
      </c>
      <c r="AC1422">
        <f>0</f>
        <v>0</v>
      </c>
      <c r="AD1422">
        <f>0</f>
        <v>0</v>
      </c>
      <c r="AE1422">
        <f>0</f>
        <v>0</v>
      </c>
      <c r="AG1422" t="s">
        <v>249</v>
      </c>
      <c r="AH1422" t="s">
        <v>157</v>
      </c>
      <c r="AT1422" t="s">
        <v>250</v>
      </c>
    </row>
    <row r="1423" spans="1:46" x14ac:dyDescent="0.25">
      <c r="A1423" t="s">
        <v>3936</v>
      </c>
      <c r="B1423" t="s">
        <v>148</v>
      </c>
      <c r="C1423" s="1">
        <v>45866</v>
      </c>
      <c r="D1423" t="s">
        <v>189</v>
      </c>
      <c r="E1423" t="s">
        <v>190</v>
      </c>
      <c r="F1423" t="s">
        <v>4936</v>
      </c>
      <c r="G1423" t="s">
        <v>5090</v>
      </c>
      <c r="H1423">
        <v>172</v>
      </c>
      <c r="I1423" t="s">
        <v>5090</v>
      </c>
      <c r="J1423">
        <v>89433</v>
      </c>
      <c r="K1423" t="s">
        <v>5257</v>
      </c>
      <c r="L1423" t="s">
        <v>191</v>
      </c>
      <c r="M1423" t="s">
        <v>6177</v>
      </c>
      <c r="N1423" t="s">
        <v>6178</v>
      </c>
      <c r="O1423" t="s">
        <v>3271</v>
      </c>
      <c r="R1423">
        <f>1</f>
        <v>1</v>
      </c>
      <c r="S1423">
        <f>23.8</f>
        <v>23.8</v>
      </c>
      <c r="T1423">
        <f>7.8</f>
        <v>7.8</v>
      </c>
      <c r="U1423">
        <f>377</f>
        <v>377</v>
      </c>
      <c r="V1423">
        <f>0.13</f>
        <v>0.13</v>
      </c>
      <c r="X1423">
        <f>0</f>
        <v>0</v>
      </c>
      <c r="Y1423">
        <f>0.06</f>
        <v>0.06</v>
      </c>
      <c r="Z1423">
        <f>0</f>
        <v>0</v>
      </c>
      <c r="AA1423">
        <f>0</f>
        <v>0</v>
      </c>
      <c r="AB1423">
        <f>5</f>
        <v>5</v>
      </c>
      <c r="AC1423">
        <f>0</f>
        <v>0</v>
      </c>
      <c r="AD1423">
        <f>0</f>
        <v>0</v>
      </c>
      <c r="AE1423">
        <f>0</f>
        <v>0</v>
      </c>
      <c r="AH1423" t="s">
        <v>157</v>
      </c>
    </row>
    <row r="1424" spans="1:46" x14ac:dyDescent="0.25">
      <c r="A1424" t="s">
        <v>3937</v>
      </c>
      <c r="B1424" t="s">
        <v>148</v>
      </c>
      <c r="C1424" s="1">
        <v>45890</v>
      </c>
      <c r="D1424" t="s">
        <v>222</v>
      </c>
      <c r="E1424" t="s">
        <v>223</v>
      </c>
      <c r="F1424" t="s">
        <v>224</v>
      </c>
      <c r="G1424" t="s">
        <v>225</v>
      </c>
      <c r="H1424">
        <v>366</v>
      </c>
      <c r="I1424" t="s">
        <v>225</v>
      </c>
      <c r="J1424">
        <v>8295</v>
      </c>
      <c r="K1424" t="s">
        <v>5257</v>
      </c>
      <c r="L1424" t="s">
        <v>191</v>
      </c>
      <c r="M1424" t="s">
        <v>6214</v>
      </c>
      <c r="N1424" t="s">
        <v>4912</v>
      </c>
      <c r="Q1424" t="s">
        <v>6490</v>
      </c>
      <c r="R1424">
        <f>1</f>
        <v>1</v>
      </c>
      <c r="S1424">
        <f>23</f>
        <v>23</v>
      </c>
      <c r="T1424">
        <f>8.1</f>
        <v>8.1</v>
      </c>
      <c r="U1424">
        <f>231</f>
        <v>231</v>
      </c>
      <c r="X1424">
        <f>1</f>
        <v>1</v>
      </c>
      <c r="Y1424">
        <f>0.1</f>
        <v>0.1</v>
      </c>
      <c r="Z1424">
        <f>0</f>
        <v>0</v>
      </c>
      <c r="AA1424">
        <f>0</f>
        <v>0</v>
      </c>
      <c r="AB1424">
        <f>0</f>
        <v>0</v>
      </c>
      <c r="AC1424">
        <f>0</f>
        <v>0</v>
      </c>
      <c r="AD1424">
        <f>0</f>
        <v>0</v>
      </c>
      <c r="AE1424">
        <f>0</f>
        <v>0</v>
      </c>
      <c r="AH1424" t="s">
        <v>166</v>
      </c>
    </row>
    <row r="1425" spans="1:149" x14ac:dyDescent="0.25">
      <c r="A1425" t="s">
        <v>3938</v>
      </c>
      <c r="B1425" t="s">
        <v>148</v>
      </c>
      <c r="C1425" s="1">
        <v>45769</v>
      </c>
      <c r="D1425" t="s">
        <v>222</v>
      </c>
      <c r="E1425" t="s">
        <v>223</v>
      </c>
      <c r="F1425" t="s">
        <v>4938</v>
      </c>
      <c r="G1425" t="s">
        <v>234</v>
      </c>
      <c r="H1425">
        <v>377</v>
      </c>
      <c r="I1425" t="s">
        <v>234</v>
      </c>
      <c r="J1425">
        <v>6423</v>
      </c>
      <c r="K1425" t="s">
        <v>5257</v>
      </c>
      <c r="L1425" t="s">
        <v>4939</v>
      </c>
      <c r="M1425" t="s">
        <v>5259</v>
      </c>
      <c r="N1425" t="s">
        <v>235</v>
      </c>
      <c r="O1425" t="s">
        <v>236</v>
      </c>
      <c r="Q1425" t="s">
        <v>6298</v>
      </c>
      <c r="R1425">
        <f>1</f>
        <v>1</v>
      </c>
      <c r="S1425">
        <f>14</f>
        <v>14</v>
      </c>
      <c r="T1425">
        <f>7.9</f>
        <v>7.9</v>
      </c>
      <c r="U1425">
        <f>281</f>
        <v>281</v>
      </c>
      <c r="X1425">
        <f>1</f>
        <v>1</v>
      </c>
      <c r="Y1425">
        <f>0.09</f>
        <v>0.09</v>
      </c>
      <c r="Z1425">
        <f>0</f>
        <v>0</v>
      </c>
      <c r="AA1425">
        <f>1</f>
        <v>1</v>
      </c>
      <c r="AB1425">
        <f>1</f>
        <v>1</v>
      </c>
      <c r="AC1425">
        <f>0</f>
        <v>0</v>
      </c>
      <c r="AD1425">
        <f>0</f>
        <v>0</v>
      </c>
      <c r="AE1425">
        <f>0</f>
        <v>0</v>
      </c>
      <c r="AH1425" t="s">
        <v>166</v>
      </c>
      <c r="AI1425">
        <f>0.51</f>
        <v>0.51</v>
      </c>
      <c r="AL1425" t="s">
        <v>168</v>
      </c>
      <c r="AM1425" t="s">
        <v>164</v>
      </c>
      <c r="AN1425">
        <f>5</f>
        <v>5</v>
      </c>
      <c r="AO1425">
        <f>0.1</f>
        <v>0.1</v>
      </c>
      <c r="AP1425">
        <f>3.1</f>
        <v>3.1</v>
      </c>
      <c r="AQ1425">
        <f>3.3</f>
        <v>3.3</v>
      </c>
      <c r="AR1425" t="s">
        <v>167</v>
      </c>
      <c r="AS1425">
        <f>2.6</f>
        <v>2.6</v>
      </c>
      <c r="AY1425">
        <f>0.18</f>
        <v>0.18</v>
      </c>
      <c r="AZ1425" t="s">
        <v>208</v>
      </c>
      <c r="BA1425">
        <f>0.0027</f>
        <v>2.7000000000000001E-3</v>
      </c>
      <c r="BB1425">
        <f>28</f>
        <v>28</v>
      </c>
      <c r="BC1425">
        <f>0.052</f>
        <v>5.1999999999999998E-2</v>
      </c>
      <c r="BD1425" t="s">
        <v>157</v>
      </c>
      <c r="BE1425">
        <f>0.0037</f>
        <v>3.7000000000000002E-3</v>
      </c>
      <c r="BF1425" t="s">
        <v>168</v>
      </c>
      <c r="BG1425" t="s">
        <v>237</v>
      </c>
      <c r="BH1425">
        <f>0.13</f>
        <v>0.13</v>
      </c>
      <c r="BK1425">
        <f>0.26</f>
        <v>0.26</v>
      </c>
      <c r="EL1425">
        <f>6.7</f>
        <v>6.7</v>
      </c>
      <c r="EM1425" t="s">
        <v>238</v>
      </c>
      <c r="EN1425">
        <f>1.7</f>
        <v>1.7</v>
      </c>
      <c r="EO1425">
        <f>0.5</f>
        <v>0.5</v>
      </c>
      <c r="ER1425">
        <f>8.9</f>
        <v>8.9</v>
      </c>
    </row>
    <row r="1426" spans="1:149" x14ac:dyDescent="0.25">
      <c r="A1426" t="s">
        <v>3939</v>
      </c>
      <c r="B1426" t="s">
        <v>148</v>
      </c>
      <c r="C1426" s="1">
        <v>45846</v>
      </c>
      <c r="D1426" t="s">
        <v>242</v>
      </c>
      <c r="E1426" t="s">
        <v>243</v>
      </c>
      <c r="F1426" t="s">
        <v>253</v>
      </c>
      <c r="G1426" t="s">
        <v>5774</v>
      </c>
      <c r="H1426">
        <v>209</v>
      </c>
      <c r="I1426" t="s">
        <v>254</v>
      </c>
      <c r="J1426">
        <v>17550</v>
      </c>
      <c r="K1426" t="s">
        <v>5257</v>
      </c>
      <c r="L1426" t="s">
        <v>255</v>
      </c>
      <c r="M1426" t="s">
        <v>6527</v>
      </c>
      <c r="N1426" t="s">
        <v>256</v>
      </c>
      <c r="O1426" t="s">
        <v>257</v>
      </c>
      <c r="R1426">
        <f>1</f>
        <v>1</v>
      </c>
      <c r="S1426">
        <f>21.1</f>
        <v>21.1</v>
      </c>
      <c r="T1426">
        <f>7.4</f>
        <v>7.4</v>
      </c>
      <c r="U1426">
        <f>441</f>
        <v>441</v>
      </c>
      <c r="V1426">
        <f>0.04</f>
        <v>0.04</v>
      </c>
      <c r="X1426">
        <f>0</f>
        <v>0</v>
      </c>
      <c r="Y1426" t="s">
        <v>157</v>
      </c>
      <c r="Z1426">
        <f>0</f>
        <v>0</v>
      </c>
      <c r="AA1426" t="s">
        <v>158</v>
      </c>
      <c r="AB1426" t="s">
        <v>158</v>
      </c>
      <c r="AC1426">
        <f>0</f>
        <v>0</v>
      </c>
      <c r="AD1426">
        <f>0</f>
        <v>0</v>
      </c>
      <c r="AE1426">
        <f>0</f>
        <v>0</v>
      </c>
      <c r="AH1426" t="s">
        <v>157</v>
      </c>
    </row>
    <row r="1427" spans="1:149" x14ac:dyDescent="0.25">
      <c r="A1427" t="s">
        <v>3940</v>
      </c>
      <c r="B1427" t="s">
        <v>148</v>
      </c>
      <c r="C1427" s="1">
        <v>45846</v>
      </c>
      <c r="D1427" t="s">
        <v>242</v>
      </c>
      <c r="E1427" t="s">
        <v>243</v>
      </c>
      <c r="F1427" t="s">
        <v>253</v>
      </c>
      <c r="G1427" t="s">
        <v>5774</v>
      </c>
      <c r="H1427">
        <v>209</v>
      </c>
      <c r="I1427" t="s">
        <v>254</v>
      </c>
      <c r="J1427">
        <v>17550</v>
      </c>
      <c r="K1427" t="s">
        <v>5257</v>
      </c>
      <c r="L1427" t="s">
        <v>255</v>
      </c>
      <c r="M1427" t="s">
        <v>3276</v>
      </c>
      <c r="N1427" t="s">
        <v>6179</v>
      </c>
      <c r="O1427" t="s">
        <v>3277</v>
      </c>
      <c r="R1427">
        <f>1</f>
        <v>1</v>
      </c>
      <c r="S1427">
        <f>17.8</f>
        <v>17.8</v>
      </c>
      <c r="T1427">
        <f>7.4</f>
        <v>7.4</v>
      </c>
      <c r="U1427">
        <f>445</f>
        <v>445</v>
      </c>
      <c r="X1427">
        <f>0</f>
        <v>0</v>
      </c>
      <c r="Y1427" t="s">
        <v>157</v>
      </c>
      <c r="Z1427">
        <f>0</f>
        <v>0</v>
      </c>
      <c r="AA1427" t="s">
        <v>158</v>
      </c>
      <c r="AB1427" t="s">
        <v>158</v>
      </c>
      <c r="AC1427">
        <f>0</f>
        <v>0</v>
      </c>
      <c r="AD1427">
        <f>0</f>
        <v>0</v>
      </c>
      <c r="AE1427">
        <f>0</f>
        <v>0</v>
      </c>
      <c r="AH1427" t="s">
        <v>157</v>
      </c>
    </row>
    <row r="1428" spans="1:149" x14ac:dyDescent="0.25">
      <c r="A1428" t="s">
        <v>3941</v>
      </c>
      <c r="B1428" t="s">
        <v>148</v>
      </c>
      <c r="C1428" s="1">
        <v>45845</v>
      </c>
      <c r="D1428" t="s">
        <v>269</v>
      </c>
      <c r="E1428" t="s">
        <v>270</v>
      </c>
      <c r="F1428" t="s">
        <v>271</v>
      </c>
      <c r="G1428" t="s">
        <v>272</v>
      </c>
      <c r="H1428">
        <v>132</v>
      </c>
      <c r="I1428" t="s">
        <v>272</v>
      </c>
      <c r="J1428">
        <v>22721</v>
      </c>
      <c r="K1428" t="s">
        <v>5257</v>
      </c>
      <c r="L1428" t="s">
        <v>154</v>
      </c>
      <c r="M1428" t="s">
        <v>3286</v>
      </c>
      <c r="N1428" t="s">
        <v>3287</v>
      </c>
      <c r="O1428" t="s">
        <v>3288</v>
      </c>
      <c r="Q1428" t="s">
        <v>6491</v>
      </c>
      <c r="R1428">
        <f>1</f>
        <v>1</v>
      </c>
      <c r="S1428">
        <f>26.1</f>
        <v>26.1</v>
      </c>
      <c r="T1428">
        <f>7.6</f>
        <v>7.6</v>
      </c>
      <c r="U1428">
        <f>478</f>
        <v>478</v>
      </c>
      <c r="V1428">
        <f>0.08</f>
        <v>0.08</v>
      </c>
      <c r="X1428">
        <f>0</f>
        <v>0</v>
      </c>
      <c r="Y1428">
        <f>0.33</f>
        <v>0.33</v>
      </c>
      <c r="Z1428">
        <f>0</f>
        <v>0</v>
      </c>
      <c r="AA1428" t="s">
        <v>158</v>
      </c>
      <c r="AB1428">
        <f>26</f>
        <v>26</v>
      </c>
      <c r="AC1428">
        <f>0</f>
        <v>0</v>
      </c>
      <c r="AD1428">
        <f>0</f>
        <v>0</v>
      </c>
      <c r="AE1428">
        <f>0</f>
        <v>0</v>
      </c>
      <c r="AH1428" t="s">
        <v>166</v>
      </c>
    </row>
    <row r="1429" spans="1:149" x14ac:dyDescent="0.25">
      <c r="A1429" t="s">
        <v>3942</v>
      </c>
      <c r="B1429" t="s">
        <v>148</v>
      </c>
      <c r="C1429" s="1">
        <v>45824</v>
      </c>
      <c r="D1429" t="s">
        <v>269</v>
      </c>
      <c r="E1429" t="s">
        <v>270</v>
      </c>
      <c r="F1429" t="s">
        <v>271</v>
      </c>
      <c r="G1429" t="s">
        <v>272</v>
      </c>
      <c r="H1429">
        <v>132</v>
      </c>
      <c r="I1429" t="s">
        <v>272</v>
      </c>
      <c r="J1429">
        <v>22721</v>
      </c>
      <c r="K1429" t="s">
        <v>5257</v>
      </c>
      <c r="L1429" t="s">
        <v>154</v>
      </c>
      <c r="M1429" t="s">
        <v>4941</v>
      </c>
      <c r="N1429" t="s">
        <v>4942</v>
      </c>
      <c r="O1429" t="s">
        <v>282</v>
      </c>
      <c r="Q1429" t="s">
        <v>6492</v>
      </c>
      <c r="R1429">
        <f>1</f>
        <v>1</v>
      </c>
      <c r="S1429">
        <f>20.1</f>
        <v>20.100000000000001</v>
      </c>
      <c r="T1429">
        <f>7.7</f>
        <v>7.7</v>
      </c>
      <c r="U1429">
        <f>456</f>
        <v>456</v>
      </c>
      <c r="V1429">
        <f>0.22</f>
        <v>0.22</v>
      </c>
      <c r="X1429">
        <f>0</f>
        <v>0</v>
      </c>
      <c r="Y1429">
        <f>0.32</f>
        <v>0.32</v>
      </c>
      <c r="Z1429">
        <f>0</f>
        <v>0</v>
      </c>
      <c r="AA1429" t="s">
        <v>158</v>
      </c>
      <c r="AB1429" t="s">
        <v>158</v>
      </c>
      <c r="AC1429">
        <f>0</f>
        <v>0</v>
      </c>
      <c r="AD1429">
        <f>0</f>
        <v>0</v>
      </c>
      <c r="AE1429">
        <f>0</f>
        <v>0</v>
      </c>
      <c r="AH1429" t="s">
        <v>166</v>
      </c>
      <c r="AI1429">
        <f>0.36</f>
        <v>0.36</v>
      </c>
      <c r="AL1429" t="s">
        <v>216</v>
      </c>
      <c r="AM1429" t="s">
        <v>266</v>
      </c>
      <c r="AN1429">
        <f>3.57</f>
        <v>3.57</v>
      </c>
      <c r="AO1429">
        <f>0.071</f>
        <v>7.0999999999999994E-2</v>
      </c>
      <c r="AP1429">
        <f>9.41</f>
        <v>9.41</v>
      </c>
      <c r="AQ1429">
        <f>2.52</f>
        <v>2.52</v>
      </c>
      <c r="AR1429">
        <f>0.096</f>
        <v>9.6000000000000002E-2</v>
      </c>
      <c r="AS1429">
        <f>2.2</f>
        <v>2.2000000000000002</v>
      </c>
      <c r="AY1429" t="s">
        <v>157</v>
      </c>
      <c r="AZ1429" t="s">
        <v>208</v>
      </c>
      <c r="BA1429">
        <f>0.0044</f>
        <v>4.4000000000000003E-3</v>
      </c>
      <c r="BB1429">
        <f>5.5</f>
        <v>5.5</v>
      </c>
      <c r="BC1429" t="s">
        <v>209</v>
      </c>
      <c r="BD1429">
        <f>0.47</f>
        <v>0.47</v>
      </c>
      <c r="BE1429">
        <f>0.0026</f>
        <v>2.5999999999999999E-3</v>
      </c>
      <c r="BF1429" t="s">
        <v>168</v>
      </c>
      <c r="BG1429">
        <f>0.53</f>
        <v>0.53</v>
      </c>
      <c r="BH1429">
        <f>0.13</f>
        <v>0.13</v>
      </c>
      <c r="BK1429">
        <f>0.49</f>
        <v>0.49</v>
      </c>
      <c r="EL1429">
        <f>1</f>
        <v>1</v>
      </c>
      <c r="EM1429" t="s">
        <v>238</v>
      </c>
      <c r="EN1429">
        <f>1.1</f>
        <v>1.1000000000000001</v>
      </c>
      <c r="EO1429">
        <f>1</f>
        <v>1</v>
      </c>
      <c r="ER1429">
        <f>3.1</f>
        <v>3.1</v>
      </c>
    </row>
    <row r="1430" spans="1:149" x14ac:dyDescent="0.25">
      <c r="A1430" t="s">
        <v>3943</v>
      </c>
      <c r="B1430" t="s">
        <v>148</v>
      </c>
      <c r="C1430" s="1">
        <v>45896</v>
      </c>
      <c r="D1430" t="s">
        <v>189</v>
      </c>
      <c r="E1430" t="s">
        <v>284</v>
      </c>
      <c r="F1430" t="s">
        <v>285</v>
      </c>
      <c r="G1430" t="s">
        <v>286</v>
      </c>
      <c r="H1430">
        <v>197</v>
      </c>
      <c r="I1430" t="s">
        <v>287</v>
      </c>
      <c r="J1430">
        <v>19851</v>
      </c>
      <c r="K1430" t="s">
        <v>5257</v>
      </c>
      <c r="L1430" t="s">
        <v>4943</v>
      </c>
      <c r="M1430" t="s">
        <v>291</v>
      </c>
      <c r="N1430" t="s">
        <v>292</v>
      </c>
      <c r="O1430" t="s">
        <v>293</v>
      </c>
      <c r="R1430">
        <f>1</f>
        <v>1</v>
      </c>
      <c r="S1430">
        <f>21</f>
        <v>21</v>
      </c>
      <c r="T1430">
        <f>7.7</f>
        <v>7.7</v>
      </c>
      <c r="U1430">
        <f>324</f>
        <v>324</v>
      </c>
      <c r="V1430">
        <f>0.18</f>
        <v>0.18</v>
      </c>
      <c r="X1430">
        <f>0</f>
        <v>0</v>
      </c>
      <c r="Y1430">
        <f>0.22</f>
        <v>0.22</v>
      </c>
      <c r="Z1430">
        <f>0</f>
        <v>0</v>
      </c>
      <c r="AA1430">
        <f>0</f>
        <v>0</v>
      </c>
      <c r="AB1430">
        <f>0</f>
        <v>0</v>
      </c>
      <c r="AC1430">
        <f>0</f>
        <v>0</v>
      </c>
      <c r="AD1430">
        <f>0</f>
        <v>0</v>
      </c>
      <c r="AE1430">
        <f>0</f>
        <v>0</v>
      </c>
      <c r="AG1430" t="s">
        <v>249</v>
      </c>
      <c r="AH1430" t="s">
        <v>157</v>
      </c>
      <c r="AI1430">
        <f>0.71</f>
        <v>0.71</v>
      </c>
      <c r="AL1430" t="s">
        <v>216</v>
      </c>
      <c r="AM1430" t="s">
        <v>266</v>
      </c>
      <c r="AN1430">
        <f>4.22</f>
        <v>4.22</v>
      </c>
      <c r="AO1430">
        <f>0.084</f>
        <v>8.4000000000000005E-2</v>
      </c>
      <c r="AP1430">
        <f>3.18</f>
        <v>3.18</v>
      </c>
      <c r="AQ1430">
        <f>2.82</f>
        <v>2.82</v>
      </c>
      <c r="AR1430" t="s">
        <v>209</v>
      </c>
      <c r="AS1430">
        <f>1.7</f>
        <v>1.7</v>
      </c>
      <c r="AT1430" t="s">
        <v>250</v>
      </c>
      <c r="AY1430" t="s">
        <v>158</v>
      </c>
      <c r="AZ1430">
        <f>26</f>
        <v>26</v>
      </c>
      <c r="BA1430" t="s">
        <v>216</v>
      </c>
      <c r="BB1430">
        <f>13</f>
        <v>13</v>
      </c>
      <c r="BC1430" t="s">
        <v>167</v>
      </c>
      <c r="BD1430" t="s">
        <v>167</v>
      </c>
      <c r="BE1430" t="s">
        <v>216</v>
      </c>
      <c r="BF1430" t="s">
        <v>167</v>
      </c>
      <c r="BG1430" t="s">
        <v>158</v>
      </c>
      <c r="BH1430" t="s">
        <v>167</v>
      </c>
      <c r="BK1430" t="s">
        <v>158</v>
      </c>
      <c r="EL1430">
        <f>11</f>
        <v>11</v>
      </c>
      <c r="EM1430" t="s">
        <v>238</v>
      </c>
      <c r="EN1430">
        <f>2.9</f>
        <v>2.9</v>
      </c>
      <c r="EO1430">
        <f>0.54</f>
        <v>0.54</v>
      </c>
      <c r="ER1430">
        <f>14</f>
        <v>14</v>
      </c>
    </row>
    <row r="1431" spans="1:149" x14ac:dyDescent="0.25">
      <c r="A1431" t="s">
        <v>3944</v>
      </c>
      <c r="B1431" t="s">
        <v>148</v>
      </c>
      <c r="C1431" s="1">
        <v>45707</v>
      </c>
      <c r="D1431" t="s">
        <v>317</v>
      </c>
      <c r="E1431" t="s">
        <v>318</v>
      </c>
      <c r="F1431" t="s">
        <v>325</v>
      </c>
      <c r="G1431" t="s">
        <v>326</v>
      </c>
      <c r="H1431">
        <v>76</v>
      </c>
      <c r="I1431" t="s">
        <v>326</v>
      </c>
      <c r="J1431">
        <v>11982</v>
      </c>
      <c r="K1431" t="s">
        <v>5254</v>
      </c>
      <c r="L1431" t="s">
        <v>4947</v>
      </c>
      <c r="M1431" t="s">
        <v>5693</v>
      </c>
      <c r="N1431" t="s">
        <v>5694</v>
      </c>
      <c r="O1431" t="s">
        <v>3297</v>
      </c>
      <c r="Q1431" t="s">
        <v>329</v>
      </c>
      <c r="R1431">
        <f>1</f>
        <v>1</v>
      </c>
      <c r="S1431">
        <f>8.8</f>
        <v>8.8000000000000007</v>
      </c>
      <c r="T1431">
        <f>7.9</f>
        <v>7.9</v>
      </c>
      <c r="U1431">
        <f>311</f>
        <v>311</v>
      </c>
      <c r="V1431">
        <f>0.07</f>
        <v>7.0000000000000007E-2</v>
      </c>
      <c r="X1431">
        <f>0</f>
        <v>0</v>
      </c>
      <c r="Y1431" t="s">
        <v>157</v>
      </c>
      <c r="Z1431">
        <f>0</f>
        <v>0</v>
      </c>
      <c r="AA1431">
        <f>0</f>
        <v>0</v>
      </c>
      <c r="AB1431">
        <f>0</f>
        <v>0</v>
      </c>
      <c r="AD1431">
        <f>0</f>
        <v>0</v>
      </c>
      <c r="AE1431">
        <f>0</f>
        <v>0</v>
      </c>
      <c r="AH1431" t="s">
        <v>157</v>
      </c>
    </row>
    <row r="1432" spans="1:149" x14ac:dyDescent="0.25">
      <c r="A1432" t="s">
        <v>3945</v>
      </c>
      <c r="B1432" t="s">
        <v>148</v>
      </c>
      <c r="C1432" s="1">
        <v>45852</v>
      </c>
      <c r="D1432" t="s">
        <v>317</v>
      </c>
      <c r="E1432" t="s">
        <v>318</v>
      </c>
      <c r="F1432" t="s">
        <v>319</v>
      </c>
      <c r="G1432" t="s">
        <v>320</v>
      </c>
      <c r="H1432">
        <v>821</v>
      </c>
      <c r="I1432" t="s">
        <v>321</v>
      </c>
      <c r="J1432">
        <v>9564</v>
      </c>
      <c r="K1432" t="s">
        <v>5254</v>
      </c>
      <c r="L1432" t="s">
        <v>180</v>
      </c>
      <c r="M1432" t="s">
        <v>322</v>
      </c>
      <c r="N1432" t="s">
        <v>5265</v>
      </c>
      <c r="O1432" t="s">
        <v>323</v>
      </c>
      <c r="Q1432" t="s">
        <v>6301</v>
      </c>
      <c r="R1432">
        <f>1</f>
        <v>1</v>
      </c>
      <c r="S1432">
        <f>14.3</f>
        <v>14.3</v>
      </c>
      <c r="T1432">
        <f>7.9</f>
        <v>7.9</v>
      </c>
      <c r="U1432">
        <f>233</f>
        <v>233</v>
      </c>
      <c r="X1432">
        <f>0</f>
        <v>0</v>
      </c>
      <c r="Y1432" t="s">
        <v>157</v>
      </c>
      <c r="Z1432">
        <f>0</f>
        <v>0</v>
      </c>
      <c r="AA1432">
        <f>0</f>
        <v>0</v>
      </c>
      <c r="AB1432">
        <f>0</f>
        <v>0</v>
      </c>
      <c r="AD1432">
        <f>0</f>
        <v>0</v>
      </c>
      <c r="AE1432">
        <f>0</f>
        <v>0</v>
      </c>
      <c r="AH1432" t="s">
        <v>157</v>
      </c>
    </row>
    <row r="1433" spans="1:149" x14ac:dyDescent="0.25">
      <c r="A1433" t="s">
        <v>3946</v>
      </c>
      <c r="B1433" t="s">
        <v>148</v>
      </c>
      <c r="C1433" s="1">
        <v>45755</v>
      </c>
      <c r="D1433" t="s">
        <v>317</v>
      </c>
      <c r="E1433" t="s">
        <v>318</v>
      </c>
      <c r="F1433" t="s">
        <v>360</v>
      </c>
      <c r="G1433" t="s">
        <v>361</v>
      </c>
      <c r="H1433">
        <v>104</v>
      </c>
      <c r="I1433" t="s">
        <v>361</v>
      </c>
      <c r="J1433">
        <v>61876</v>
      </c>
      <c r="K1433" t="s">
        <v>5257</v>
      </c>
      <c r="L1433" t="s">
        <v>4949</v>
      </c>
      <c r="M1433" t="s">
        <v>5699</v>
      </c>
      <c r="N1433" t="s">
        <v>6181</v>
      </c>
      <c r="O1433" t="s">
        <v>3312</v>
      </c>
      <c r="Q1433" t="s">
        <v>329</v>
      </c>
      <c r="R1433">
        <f>1</f>
        <v>1</v>
      </c>
      <c r="S1433">
        <f>10.8</f>
        <v>10.8</v>
      </c>
      <c r="T1433">
        <f>8</f>
        <v>8</v>
      </c>
      <c r="U1433">
        <f>215</f>
        <v>215</v>
      </c>
      <c r="X1433">
        <f>0</f>
        <v>0</v>
      </c>
      <c r="Y1433" t="s">
        <v>157</v>
      </c>
      <c r="Z1433">
        <f>0</f>
        <v>0</v>
      </c>
      <c r="AA1433">
        <f>0</f>
        <v>0</v>
      </c>
      <c r="AB1433">
        <f>0</f>
        <v>0</v>
      </c>
      <c r="AC1433">
        <f>0</f>
        <v>0</v>
      </c>
      <c r="AD1433">
        <f>0</f>
        <v>0</v>
      </c>
      <c r="AE1433">
        <f>0</f>
        <v>0</v>
      </c>
      <c r="AH1433" t="s">
        <v>157</v>
      </c>
    </row>
    <row r="1434" spans="1:149" x14ac:dyDescent="0.25">
      <c r="A1434" t="s">
        <v>3947</v>
      </c>
      <c r="B1434" t="s">
        <v>148</v>
      </c>
      <c r="C1434" s="1">
        <v>45853</v>
      </c>
      <c r="D1434" t="s">
        <v>175</v>
      </c>
      <c r="E1434" t="s">
        <v>176</v>
      </c>
      <c r="F1434" t="s">
        <v>370</v>
      </c>
      <c r="G1434" t="s">
        <v>5792</v>
      </c>
      <c r="H1434">
        <v>334</v>
      </c>
      <c r="I1434" t="s">
        <v>5793</v>
      </c>
      <c r="J1434">
        <v>36614</v>
      </c>
      <c r="K1434" t="s">
        <v>5254</v>
      </c>
      <c r="L1434" t="s">
        <v>4697</v>
      </c>
      <c r="M1434" t="s">
        <v>4950</v>
      </c>
      <c r="N1434" t="s">
        <v>4951</v>
      </c>
      <c r="O1434" t="s">
        <v>373</v>
      </c>
      <c r="Q1434" t="s">
        <v>6479</v>
      </c>
      <c r="R1434">
        <f>1</f>
        <v>1</v>
      </c>
      <c r="S1434">
        <f>19.2</f>
        <v>19.2</v>
      </c>
      <c r="T1434">
        <f>7.4</f>
        <v>7.4</v>
      </c>
      <c r="U1434">
        <f>580</f>
        <v>580</v>
      </c>
      <c r="X1434">
        <f>0</f>
        <v>0</v>
      </c>
      <c r="Y1434" t="s">
        <v>157</v>
      </c>
      <c r="Z1434">
        <f>0</f>
        <v>0</v>
      </c>
      <c r="AA1434">
        <f>0</f>
        <v>0</v>
      </c>
      <c r="AB1434">
        <f>0</f>
        <v>0</v>
      </c>
      <c r="AD1434">
        <f>0</f>
        <v>0</v>
      </c>
      <c r="AE1434">
        <f>0</f>
        <v>0</v>
      </c>
      <c r="AG1434" t="s">
        <v>249</v>
      </c>
      <c r="AH1434" t="s">
        <v>157</v>
      </c>
      <c r="AT1434" t="s">
        <v>250</v>
      </c>
      <c r="EP1434" t="s">
        <v>251</v>
      </c>
      <c r="EQ1434" t="s">
        <v>251</v>
      </c>
      <c r="ES1434" t="s">
        <v>251</v>
      </c>
    </row>
    <row r="1435" spans="1:149" x14ac:dyDescent="0.25">
      <c r="A1435" t="s">
        <v>3948</v>
      </c>
      <c r="B1435" t="s">
        <v>148</v>
      </c>
      <c r="C1435" s="1">
        <v>45847</v>
      </c>
      <c r="D1435" t="s">
        <v>317</v>
      </c>
      <c r="E1435" t="s">
        <v>318</v>
      </c>
      <c r="F1435" t="s">
        <v>5796</v>
      </c>
      <c r="G1435" t="s">
        <v>5280</v>
      </c>
      <c r="H1435">
        <v>68</v>
      </c>
      <c r="I1435" t="s">
        <v>5797</v>
      </c>
      <c r="J1435">
        <v>19626</v>
      </c>
      <c r="K1435" t="s">
        <v>5254</v>
      </c>
      <c r="L1435" t="s">
        <v>4953</v>
      </c>
      <c r="M1435" t="s">
        <v>4698</v>
      </c>
      <c r="N1435" t="s">
        <v>5798</v>
      </c>
      <c r="O1435" t="s">
        <v>380</v>
      </c>
      <c r="Q1435" t="s">
        <v>6493</v>
      </c>
      <c r="R1435">
        <f>1</f>
        <v>1</v>
      </c>
      <c r="S1435">
        <f>21</f>
        <v>21</v>
      </c>
      <c r="T1435">
        <f>7.7</f>
        <v>7.7</v>
      </c>
      <c r="U1435">
        <f>344</f>
        <v>344</v>
      </c>
      <c r="X1435">
        <f>0</f>
        <v>0</v>
      </c>
      <c r="Y1435">
        <f>0.49</f>
        <v>0.49</v>
      </c>
      <c r="Z1435">
        <f>0</f>
        <v>0</v>
      </c>
      <c r="AA1435">
        <f>0</f>
        <v>0</v>
      </c>
      <c r="AB1435">
        <f>0</f>
        <v>0</v>
      </c>
      <c r="AD1435">
        <f>0</f>
        <v>0</v>
      </c>
      <c r="AE1435">
        <f>0</f>
        <v>0</v>
      </c>
      <c r="AH1435" t="s">
        <v>157</v>
      </c>
    </row>
    <row r="1436" spans="1:149" x14ac:dyDescent="0.25">
      <c r="A1436" t="s">
        <v>3949</v>
      </c>
      <c r="B1436" t="s">
        <v>148</v>
      </c>
      <c r="C1436" s="1">
        <v>45868</v>
      </c>
      <c r="D1436" t="s">
        <v>242</v>
      </c>
      <c r="E1436" t="s">
        <v>243</v>
      </c>
      <c r="F1436" t="s">
        <v>244</v>
      </c>
      <c r="G1436" t="s">
        <v>245</v>
      </c>
      <c r="H1436">
        <v>154</v>
      </c>
      <c r="I1436" t="s">
        <v>4695</v>
      </c>
      <c r="J1436">
        <v>54400</v>
      </c>
      <c r="K1436" t="s">
        <v>5257</v>
      </c>
      <c r="L1436" t="s">
        <v>246</v>
      </c>
      <c r="M1436" t="s">
        <v>6813</v>
      </c>
      <c r="N1436" t="s">
        <v>3337</v>
      </c>
      <c r="O1436" t="s">
        <v>3338</v>
      </c>
      <c r="R1436">
        <f>1</f>
        <v>1</v>
      </c>
      <c r="S1436">
        <f>15.3</f>
        <v>15.3</v>
      </c>
      <c r="T1436">
        <f>7.4</f>
        <v>7.4</v>
      </c>
      <c r="U1436">
        <f>553</f>
        <v>553</v>
      </c>
      <c r="X1436">
        <f>0</f>
        <v>0</v>
      </c>
      <c r="Y1436" t="s">
        <v>157</v>
      </c>
      <c r="Z1436">
        <f>0</f>
        <v>0</v>
      </c>
      <c r="AA1436" t="s">
        <v>158</v>
      </c>
      <c r="AB1436" t="s">
        <v>158</v>
      </c>
      <c r="AC1436">
        <f>0</f>
        <v>0</v>
      </c>
      <c r="AD1436">
        <f>0</f>
        <v>0</v>
      </c>
      <c r="AE1436">
        <f>0</f>
        <v>0</v>
      </c>
      <c r="AH1436" t="s">
        <v>157</v>
      </c>
    </row>
    <row r="1437" spans="1:149" x14ac:dyDescent="0.25">
      <c r="A1437" t="s">
        <v>3950</v>
      </c>
      <c r="B1437" t="s">
        <v>148</v>
      </c>
      <c r="C1437" s="1">
        <v>45842</v>
      </c>
      <c r="D1437" t="s">
        <v>242</v>
      </c>
      <c r="E1437" t="s">
        <v>243</v>
      </c>
      <c r="F1437" t="s">
        <v>244</v>
      </c>
      <c r="G1437" t="s">
        <v>245</v>
      </c>
      <c r="H1437">
        <v>154</v>
      </c>
      <c r="I1437" t="s">
        <v>4695</v>
      </c>
      <c r="J1437">
        <v>54400</v>
      </c>
      <c r="K1437" t="s">
        <v>5257</v>
      </c>
      <c r="L1437" t="s">
        <v>246</v>
      </c>
      <c r="M1437" t="s">
        <v>414</v>
      </c>
      <c r="N1437" t="s">
        <v>415</v>
      </c>
      <c r="O1437" t="s">
        <v>416</v>
      </c>
      <c r="R1437">
        <f>1</f>
        <v>1</v>
      </c>
      <c r="S1437">
        <f>18.7</f>
        <v>18.7</v>
      </c>
      <c r="T1437">
        <f>7.3</f>
        <v>7.3</v>
      </c>
      <c r="U1437">
        <f>548</f>
        <v>548</v>
      </c>
      <c r="X1437">
        <f>0</f>
        <v>0</v>
      </c>
      <c r="Y1437" t="s">
        <v>157</v>
      </c>
      <c r="Z1437">
        <f>0</f>
        <v>0</v>
      </c>
      <c r="AA1437">
        <f>12</f>
        <v>12</v>
      </c>
      <c r="AB1437">
        <f>18</f>
        <v>18</v>
      </c>
      <c r="AC1437">
        <f>0</f>
        <v>0</v>
      </c>
      <c r="AD1437">
        <f>0</f>
        <v>0</v>
      </c>
      <c r="AE1437">
        <f>0</f>
        <v>0</v>
      </c>
      <c r="AH1437" t="s">
        <v>157</v>
      </c>
    </row>
    <row r="1438" spans="1:149" x14ac:dyDescent="0.25">
      <c r="A1438" t="s">
        <v>3951</v>
      </c>
      <c r="B1438" t="s">
        <v>148</v>
      </c>
      <c r="C1438" s="1">
        <v>45881</v>
      </c>
      <c r="D1438" t="s">
        <v>311</v>
      </c>
      <c r="E1438" t="s">
        <v>312</v>
      </c>
      <c r="F1438" t="s">
        <v>418</v>
      </c>
      <c r="G1438" t="s">
        <v>419</v>
      </c>
      <c r="H1438">
        <v>782</v>
      </c>
      <c r="I1438" t="s">
        <v>420</v>
      </c>
      <c r="J1438">
        <v>28100</v>
      </c>
      <c r="K1438" t="s">
        <v>5254</v>
      </c>
      <c r="L1438" t="s">
        <v>180</v>
      </c>
      <c r="M1438" t="s">
        <v>421</v>
      </c>
      <c r="N1438" t="s">
        <v>6544</v>
      </c>
      <c r="O1438" t="s">
        <v>422</v>
      </c>
      <c r="R1438">
        <f>1</f>
        <v>1</v>
      </c>
      <c r="S1438">
        <f>19.8</f>
        <v>19.8</v>
      </c>
      <c r="T1438">
        <f>7.4</f>
        <v>7.4</v>
      </c>
      <c r="U1438">
        <f>437</f>
        <v>437</v>
      </c>
      <c r="X1438">
        <f>0</f>
        <v>0</v>
      </c>
      <c r="Y1438" t="s">
        <v>157</v>
      </c>
      <c r="Z1438">
        <f>0</f>
        <v>0</v>
      </c>
      <c r="AA1438" t="s">
        <v>158</v>
      </c>
      <c r="AB1438" t="s">
        <v>158</v>
      </c>
      <c r="AD1438">
        <f>0</f>
        <v>0</v>
      </c>
      <c r="AE1438">
        <f>0</f>
        <v>0</v>
      </c>
      <c r="AH1438" t="s">
        <v>157</v>
      </c>
    </row>
    <row r="1439" spans="1:149" x14ac:dyDescent="0.25">
      <c r="A1439" t="s">
        <v>3952</v>
      </c>
      <c r="B1439" t="s">
        <v>148</v>
      </c>
      <c r="C1439" s="1">
        <v>45853</v>
      </c>
      <c r="D1439" t="s">
        <v>311</v>
      </c>
      <c r="E1439" t="s">
        <v>312</v>
      </c>
      <c r="F1439" t="s">
        <v>424</v>
      </c>
      <c r="G1439" t="s">
        <v>425</v>
      </c>
      <c r="H1439">
        <v>799</v>
      </c>
      <c r="I1439" t="s">
        <v>4700</v>
      </c>
      <c r="J1439">
        <v>84503</v>
      </c>
      <c r="K1439" t="s">
        <v>5254</v>
      </c>
      <c r="L1439" t="s">
        <v>180</v>
      </c>
      <c r="M1439" t="s">
        <v>426</v>
      </c>
      <c r="N1439" t="s">
        <v>5812</v>
      </c>
      <c r="O1439" t="s">
        <v>427</v>
      </c>
      <c r="R1439">
        <f>1</f>
        <v>1</v>
      </c>
      <c r="S1439">
        <f>22.4</f>
        <v>22.4</v>
      </c>
      <c r="T1439">
        <f>7.3</f>
        <v>7.3</v>
      </c>
      <c r="U1439">
        <f>454</f>
        <v>454</v>
      </c>
      <c r="X1439">
        <f>0</f>
        <v>0</v>
      </c>
      <c r="Y1439" t="s">
        <v>157</v>
      </c>
      <c r="Z1439">
        <f>0</f>
        <v>0</v>
      </c>
      <c r="AA1439" t="s">
        <v>158</v>
      </c>
      <c r="AB1439" t="s">
        <v>158</v>
      </c>
      <c r="AD1439">
        <f>0</f>
        <v>0</v>
      </c>
      <c r="AE1439">
        <f>0</f>
        <v>0</v>
      </c>
      <c r="AH1439" t="s">
        <v>157</v>
      </c>
    </row>
    <row r="1440" spans="1:149" x14ac:dyDescent="0.25">
      <c r="A1440" t="s">
        <v>3953</v>
      </c>
      <c r="B1440" t="s">
        <v>148</v>
      </c>
      <c r="C1440" s="1">
        <v>45882</v>
      </c>
      <c r="D1440" t="s">
        <v>311</v>
      </c>
      <c r="E1440" t="s">
        <v>312</v>
      </c>
      <c r="F1440" t="s">
        <v>424</v>
      </c>
      <c r="G1440" t="s">
        <v>425</v>
      </c>
      <c r="H1440">
        <v>799</v>
      </c>
      <c r="I1440" t="s">
        <v>4700</v>
      </c>
      <c r="J1440">
        <v>84503</v>
      </c>
      <c r="K1440" t="s">
        <v>5254</v>
      </c>
      <c r="L1440" t="s">
        <v>180</v>
      </c>
      <c r="M1440" t="s">
        <v>6549</v>
      </c>
      <c r="N1440" t="s">
        <v>442</v>
      </c>
      <c r="O1440" t="s">
        <v>443</v>
      </c>
      <c r="R1440">
        <f>1</f>
        <v>1</v>
      </c>
      <c r="S1440">
        <f>21.7</f>
        <v>21.7</v>
      </c>
      <c r="T1440">
        <f>7</f>
        <v>7</v>
      </c>
      <c r="U1440">
        <f>457</f>
        <v>457</v>
      </c>
      <c r="X1440">
        <f>0</f>
        <v>0</v>
      </c>
      <c r="Y1440" t="s">
        <v>157</v>
      </c>
      <c r="Z1440">
        <f>0</f>
        <v>0</v>
      </c>
      <c r="AA1440" t="s">
        <v>158</v>
      </c>
      <c r="AB1440" t="s">
        <v>158</v>
      </c>
      <c r="AD1440">
        <f>0</f>
        <v>0</v>
      </c>
      <c r="AE1440">
        <f>0</f>
        <v>0</v>
      </c>
      <c r="AH1440" t="s">
        <v>157</v>
      </c>
    </row>
    <row r="1441" spans="1:54" x14ac:dyDescent="0.25">
      <c r="A1441" t="s">
        <v>3954</v>
      </c>
      <c r="B1441" t="s">
        <v>148</v>
      </c>
      <c r="C1441" s="1">
        <v>45847</v>
      </c>
      <c r="D1441" t="s">
        <v>311</v>
      </c>
      <c r="E1441" t="s">
        <v>312</v>
      </c>
      <c r="F1441" t="s">
        <v>424</v>
      </c>
      <c r="G1441" t="s">
        <v>425</v>
      </c>
      <c r="H1441">
        <v>799</v>
      </c>
      <c r="I1441" t="s">
        <v>4700</v>
      </c>
      <c r="J1441">
        <v>84503</v>
      </c>
      <c r="K1441" t="s">
        <v>5254</v>
      </c>
      <c r="L1441" t="s">
        <v>180</v>
      </c>
      <c r="M1441" t="s">
        <v>5102</v>
      </c>
      <c r="N1441" t="s">
        <v>445</v>
      </c>
      <c r="O1441" t="s">
        <v>446</v>
      </c>
      <c r="R1441">
        <f>1</f>
        <v>1</v>
      </c>
      <c r="S1441">
        <f>23.6</f>
        <v>23.6</v>
      </c>
      <c r="T1441">
        <f>7.4</f>
        <v>7.4</v>
      </c>
      <c r="U1441">
        <f>465</f>
        <v>465</v>
      </c>
      <c r="X1441">
        <f>0</f>
        <v>0</v>
      </c>
      <c r="Y1441" t="s">
        <v>157</v>
      </c>
      <c r="Z1441">
        <f>0</f>
        <v>0</v>
      </c>
      <c r="AA1441" t="s">
        <v>158</v>
      </c>
      <c r="AB1441" t="s">
        <v>158</v>
      </c>
      <c r="AD1441">
        <f>0</f>
        <v>0</v>
      </c>
      <c r="AE1441">
        <f>0</f>
        <v>0</v>
      </c>
      <c r="AH1441" t="s">
        <v>157</v>
      </c>
    </row>
    <row r="1442" spans="1:54" x14ac:dyDescent="0.25">
      <c r="A1442" t="s">
        <v>3955</v>
      </c>
      <c r="B1442" t="s">
        <v>148</v>
      </c>
      <c r="C1442" s="1">
        <v>45847</v>
      </c>
      <c r="D1442" t="s">
        <v>311</v>
      </c>
      <c r="E1442" t="s">
        <v>312</v>
      </c>
      <c r="F1442" t="s">
        <v>424</v>
      </c>
      <c r="G1442" t="s">
        <v>425</v>
      </c>
      <c r="H1442">
        <v>799</v>
      </c>
      <c r="I1442" t="s">
        <v>4700</v>
      </c>
      <c r="J1442">
        <v>84503</v>
      </c>
      <c r="K1442" t="s">
        <v>5254</v>
      </c>
      <c r="L1442" t="s">
        <v>180</v>
      </c>
      <c r="M1442" t="s">
        <v>5814</v>
      </c>
      <c r="N1442" t="s">
        <v>5815</v>
      </c>
      <c r="O1442" t="s">
        <v>452</v>
      </c>
      <c r="R1442">
        <f>1</f>
        <v>1</v>
      </c>
      <c r="S1442">
        <f>25.2</f>
        <v>25.2</v>
      </c>
      <c r="T1442">
        <f>7.3</f>
        <v>7.3</v>
      </c>
      <c r="U1442">
        <f>442</f>
        <v>442</v>
      </c>
      <c r="X1442">
        <f>0</f>
        <v>0</v>
      </c>
      <c r="Y1442" t="s">
        <v>157</v>
      </c>
      <c r="Z1442">
        <f>0</f>
        <v>0</v>
      </c>
      <c r="AA1442" t="s">
        <v>158</v>
      </c>
      <c r="AB1442" t="s">
        <v>158</v>
      </c>
      <c r="AD1442">
        <f>0</f>
        <v>0</v>
      </c>
      <c r="AE1442">
        <f>0</f>
        <v>0</v>
      </c>
      <c r="AH1442" t="s">
        <v>157</v>
      </c>
    </row>
    <row r="1443" spans="1:54" x14ac:dyDescent="0.25">
      <c r="A1443" t="s">
        <v>3956</v>
      </c>
      <c r="B1443" t="s">
        <v>148</v>
      </c>
      <c r="C1443" s="1">
        <v>45852</v>
      </c>
      <c r="D1443" t="s">
        <v>311</v>
      </c>
      <c r="E1443" t="s">
        <v>312</v>
      </c>
      <c r="F1443" t="s">
        <v>424</v>
      </c>
      <c r="G1443" t="s">
        <v>425</v>
      </c>
      <c r="H1443">
        <v>803</v>
      </c>
      <c r="I1443" t="s">
        <v>4702</v>
      </c>
      <c r="J1443">
        <v>31048</v>
      </c>
      <c r="K1443" t="s">
        <v>5254</v>
      </c>
      <c r="L1443" t="s">
        <v>387</v>
      </c>
      <c r="M1443" t="s">
        <v>465</v>
      </c>
      <c r="N1443" t="s">
        <v>466</v>
      </c>
      <c r="O1443" t="s">
        <v>467</v>
      </c>
      <c r="R1443">
        <f>1</f>
        <v>1</v>
      </c>
      <c r="S1443">
        <f>20.6</f>
        <v>20.6</v>
      </c>
      <c r="T1443">
        <f>7.3</f>
        <v>7.3</v>
      </c>
      <c r="U1443">
        <f>470</f>
        <v>470</v>
      </c>
      <c r="X1443">
        <f>0</f>
        <v>0</v>
      </c>
      <c r="Y1443" t="s">
        <v>157</v>
      </c>
      <c r="Z1443">
        <f>0</f>
        <v>0</v>
      </c>
      <c r="AA1443" t="s">
        <v>158</v>
      </c>
      <c r="AB1443" t="s">
        <v>158</v>
      </c>
      <c r="AD1443">
        <f>0</f>
        <v>0</v>
      </c>
      <c r="AE1443">
        <f>0</f>
        <v>0</v>
      </c>
      <c r="AH1443" t="s">
        <v>157</v>
      </c>
    </row>
    <row r="1444" spans="1:54" x14ac:dyDescent="0.25">
      <c r="A1444" t="s">
        <v>3957</v>
      </c>
      <c r="B1444" t="s">
        <v>148</v>
      </c>
      <c r="C1444" s="1">
        <v>45888</v>
      </c>
      <c r="D1444" t="s">
        <v>222</v>
      </c>
      <c r="E1444" t="s">
        <v>223</v>
      </c>
      <c r="F1444" t="s">
        <v>469</v>
      </c>
      <c r="G1444" t="s">
        <v>6551</v>
      </c>
      <c r="H1444">
        <v>242</v>
      </c>
      <c r="I1444" t="s">
        <v>6551</v>
      </c>
      <c r="J1444">
        <v>5429</v>
      </c>
      <c r="K1444" t="s">
        <v>5257</v>
      </c>
      <c r="L1444" t="s">
        <v>393</v>
      </c>
      <c r="M1444" t="s">
        <v>470</v>
      </c>
      <c r="N1444" t="s">
        <v>471</v>
      </c>
      <c r="O1444" t="s">
        <v>472</v>
      </c>
      <c r="R1444">
        <f>1</f>
        <v>1</v>
      </c>
      <c r="S1444">
        <f>12.9</f>
        <v>12.9</v>
      </c>
      <c r="T1444">
        <f>8.2</f>
        <v>8.1999999999999993</v>
      </c>
      <c r="U1444">
        <f>177</f>
        <v>177</v>
      </c>
      <c r="X1444">
        <f>1</f>
        <v>1</v>
      </c>
      <c r="Y1444">
        <f>0.09</f>
        <v>0.09</v>
      </c>
      <c r="Z1444">
        <f>0</f>
        <v>0</v>
      </c>
      <c r="AA1444">
        <f>0</f>
        <v>0</v>
      </c>
      <c r="AB1444">
        <f>0</f>
        <v>0</v>
      </c>
      <c r="AC1444">
        <f>0</f>
        <v>0</v>
      </c>
      <c r="AD1444">
        <f>0</f>
        <v>0</v>
      </c>
      <c r="AE1444">
        <f>0</f>
        <v>0</v>
      </c>
      <c r="AH1444" t="s">
        <v>166</v>
      </c>
    </row>
    <row r="1445" spans="1:54" x14ac:dyDescent="0.25">
      <c r="A1445" t="s">
        <v>3958</v>
      </c>
      <c r="B1445" t="s">
        <v>148</v>
      </c>
      <c r="C1445" s="1">
        <v>45819</v>
      </c>
      <c r="D1445" t="s">
        <v>311</v>
      </c>
      <c r="E1445" t="s">
        <v>312</v>
      </c>
      <c r="F1445" t="s">
        <v>424</v>
      </c>
      <c r="G1445" t="s">
        <v>425</v>
      </c>
      <c r="H1445">
        <v>799</v>
      </c>
      <c r="I1445" t="s">
        <v>4700</v>
      </c>
      <c r="J1445">
        <v>84503</v>
      </c>
      <c r="K1445" t="s">
        <v>5254</v>
      </c>
      <c r="L1445" t="s">
        <v>180</v>
      </c>
      <c r="M1445" t="s">
        <v>479</v>
      </c>
      <c r="N1445" t="s">
        <v>5295</v>
      </c>
      <c r="O1445" t="s">
        <v>480</v>
      </c>
      <c r="R1445">
        <f>1</f>
        <v>1</v>
      </c>
      <c r="S1445">
        <f>22.1</f>
        <v>22.1</v>
      </c>
      <c r="T1445">
        <f>7.5</f>
        <v>7.5</v>
      </c>
      <c r="U1445">
        <f>493</f>
        <v>493</v>
      </c>
      <c r="X1445">
        <f>0</f>
        <v>0</v>
      </c>
      <c r="Y1445" t="s">
        <v>157</v>
      </c>
      <c r="Z1445">
        <f>0</f>
        <v>0</v>
      </c>
      <c r="AA1445" t="s">
        <v>158</v>
      </c>
      <c r="AB1445" t="s">
        <v>158</v>
      </c>
      <c r="AD1445">
        <f>0</f>
        <v>0</v>
      </c>
      <c r="AE1445">
        <f>0</f>
        <v>0</v>
      </c>
      <c r="AH1445" t="s">
        <v>157</v>
      </c>
    </row>
    <row r="1446" spans="1:54" x14ac:dyDescent="0.25">
      <c r="A1446" t="s">
        <v>3959</v>
      </c>
      <c r="B1446" t="s">
        <v>148</v>
      </c>
      <c r="C1446" s="1">
        <v>45866</v>
      </c>
      <c r="D1446" t="s">
        <v>222</v>
      </c>
      <c r="E1446" t="s">
        <v>223</v>
      </c>
      <c r="F1446" t="s">
        <v>224</v>
      </c>
      <c r="G1446" t="s">
        <v>229</v>
      </c>
      <c r="H1446">
        <v>367</v>
      </c>
      <c r="I1446" t="s">
        <v>495</v>
      </c>
      <c r="J1446">
        <v>29670</v>
      </c>
      <c r="K1446" t="s">
        <v>5257</v>
      </c>
      <c r="L1446" t="s">
        <v>4956</v>
      </c>
      <c r="M1446" t="s">
        <v>6189</v>
      </c>
      <c r="N1446" t="s">
        <v>4906</v>
      </c>
      <c r="Q1446" t="s">
        <v>6298</v>
      </c>
      <c r="R1446">
        <f>1</f>
        <v>1</v>
      </c>
      <c r="S1446">
        <f>15.2</f>
        <v>15.2</v>
      </c>
      <c r="T1446">
        <f>7.9</f>
        <v>7.9</v>
      </c>
      <c r="U1446">
        <f>236</f>
        <v>236</v>
      </c>
      <c r="X1446">
        <f>1</f>
        <v>1</v>
      </c>
      <c r="Y1446">
        <f>0.19</f>
        <v>0.19</v>
      </c>
      <c r="Z1446">
        <f>0</f>
        <v>0</v>
      </c>
      <c r="AA1446">
        <f>0</f>
        <v>0</v>
      </c>
      <c r="AB1446">
        <f>3</f>
        <v>3</v>
      </c>
      <c r="AC1446">
        <f>0</f>
        <v>0</v>
      </c>
      <c r="AD1446">
        <f>0</f>
        <v>0</v>
      </c>
      <c r="AE1446">
        <f>0</f>
        <v>0</v>
      </c>
      <c r="AH1446" t="s">
        <v>166</v>
      </c>
      <c r="BB1446">
        <f>17</f>
        <v>17</v>
      </c>
    </row>
    <row r="1447" spans="1:54" x14ac:dyDescent="0.25">
      <c r="A1447" t="s">
        <v>3960</v>
      </c>
      <c r="B1447" t="s">
        <v>148</v>
      </c>
      <c r="C1447" s="1">
        <v>45719</v>
      </c>
      <c r="D1447" t="s">
        <v>222</v>
      </c>
      <c r="E1447" t="s">
        <v>223</v>
      </c>
      <c r="F1447" t="s">
        <v>224</v>
      </c>
      <c r="G1447" t="s">
        <v>229</v>
      </c>
      <c r="H1447">
        <v>243</v>
      </c>
      <c r="I1447" t="s">
        <v>230</v>
      </c>
      <c r="J1447">
        <v>5553</v>
      </c>
      <c r="K1447" t="s">
        <v>5257</v>
      </c>
      <c r="L1447" t="s">
        <v>4937</v>
      </c>
      <c r="M1447" t="s">
        <v>5820</v>
      </c>
      <c r="N1447" t="s">
        <v>5296</v>
      </c>
      <c r="O1447" t="s">
        <v>502</v>
      </c>
      <c r="Q1447" t="s">
        <v>6303</v>
      </c>
      <c r="R1447">
        <f>1</f>
        <v>1</v>
      </c>
      <c r="S1447">
        <f>10.5</f>
        <v>10.5</v>
      </c>
      <c r="T1447">
        <f>8.1</f>
        <v>8.1</v>
      </c>
      <c r="U1447">
        <f>239</f>
        <v>239</v>
      </c>
      <c r="V1447">
        <f>0.15</f>
        <v>0.15</v>
      </c>
      <c r="X1447">
        <f>1</f>
        <v>1</v>
      </c>
      <c r="Y1447">
        <f>0.08</f>
        <v>0.08</v>
      </c>
      <c r="Z1447">
        <f>0</f>
        <v>0</v>
      </c>
      <c r="AA1447">
        <f>1</f>
        <v>1</v>
      </c>
      <c r="AB1447">
        <f>0</f>
        <v>0</v>
      </c>
      <c r="AC1447">
        <f>0</f>
        <v>0</v>
      </c>
      <c r="AD1447">
        <f>0</f>
        <v>0</v>
      </c>
      <c r="AE1447">
        <f>0</f>
        <v>0</v>
      </c>
      <c r="AH1447" t="s">
        <v>166</v>
      </c>
      <c r="BB1447">
        <f>46</f>
        <v>46</v>
      </c>
    </row>
    <row r="1448" spans="1:54" x14ac:dyDescent="0.25">
      <c r="A1448" t="s">
        <v>3961</v>
      </c>
      <c r="B1448" t="s">
        <v>148</v>
      </c>
      <c r="C1448" s="1">
        <v>45856</v>
      </c>
      <c r="D1448" t="s">
        <v>222</v>
      </c>
      <c r="E1448" t="s">
        <v>223</v>
      </c>
      <c r="F1448" t="s">
        <v>224</v>
      </c>
      <c r="G1448" t="s">
        <v>229</v>
      </c>
      <c r="H1448">
        <v>367</v>
      </c>
      <c r="I1448" t="s">
        <v>495</v>
      </c>
      <c r="J1448">
        <v>29670</v>
      </c>
      <c r="K1448" t="s">
        <v>5257</v>
      </c>
      <c r="L1448" t="s">
        <v>4956</v>
      </c>
      <c r="M1448" t="s">
        <v>4907</v>
      </c>
      <c r="N1448" t="s">
        <v>3378</v>
      </c>
      <c r="Q1448" t="s">
        <v>3379</v>
      </c>
      <c r="R1448">
        <f>1</f>
        <v>1</v>
      </c>
      <c r="S1448">
        <f>23.5</f>
        <v>23.5</v>
      </c>
      <c r="T1448">
        <f>8</f>
        <v>8</v>
      </c>
      <c r="U1448">
        <f>242</f>
        <v>242</v>
      </c>
      <c r="V1448">
        <f>0.05</f>
        <v>0.05</v>
      </c>
      <c r="X1448">
        <f>1</f>
        <v>1</v>
      </c>
      <c r="Y1448">
        <f>0.05</f>
        <v>0.05</v>
      </c>
      <c r="Z1448">
        <f>0</f>
        <v>0</v>
      </c>
      <c r="AA1448">
        <f>0</f>
        <v>0</v>
      </c>
      <c r="AB1448">
        <f>0</f>
        <v>0</v>
      </c>
      <c r="AC1448">
        <f>0</f>
        <v>0</v>
      </c>
      <c r="AD1448">
        <f>0</f>
        <v>0</v>
      </c>
      <c r="AE1448">
        <f>0</f>
        <v>0</v>
      </c>
      <c r="AH1448" t="s">
        <v>166</v>
      </c>
      <c r="BB1448">
        <f>26</f>
        <v>26</v>
      </c>
    </row>
    <row r="1449" spans="1:54" x14ac:dyDescent="0.25">
      <c r="A1449" t="s">
        <v>3962</v>
      </c>
      <c r="B1449" t="s">
        <v>148</v>
      </c>
      <c r="C1449" s="1">
        <v>45825</v>
      </c>
      <c r="D1449" t="s">
        <v>317</v>
      </c>
      <c r="E1449" t="s">
        <v>318</v>
      </c>
      <c r="F1449" t="s">
        <v>5796</v>
      </c>
      <c r="G1449" t="s">
        <v>5280</v>
      </c>
      <c r="H1449">
        <v>68</v>
      </c>
      <c r="I1449" t="s">
        <v>5797</v>
      </c>
      <c r="J1449">
        <v>19626</v>
      </c>
      <c r="K1449" t="s">
        <v>5254</v>
      </c>
      <c r="L1449" t="s">
        <v>4953</v>
      </c>
      <c r="M1449" t="s">
        <v>5822</v>
      </c>
      <c r="N1449" t="s">
        <v>5823</v>
      </c>
      <c r="O1449" t="s">
        <v>507</v>
      </c>
      <c r="Q1449" t="s">
        <v>6307</v>
      </c>
      <c r="R1449">
        <f>1</f>
        <v>1</v>
      </c>
      <c r="S1449">
        <f>12.9</f>
        <v>12.9</v>
      </c>
      <c r="T1449">
        <f>7.9</f>
        <v>7.9</v>
      </c>
      <c r="U1449">
        <f>271</f>
        <v>271</v>
      </c>
      <c r="V1449">
        <f>0.13</f>
        <v>0.13</v>
      </c>
      <c r="X1449">
        <f>0</f>
        <v>0</v>
      </c>
      <c r="Y1449">
        <f>0.44</f>
        <v>0.44</v>
      </c>
      <c r="Z1449">
        <f>0</f>
        <v>0</v>
      </c>
      <c r="AA1449">
        <f>1</f>
        <v>1</v>
      </c>
      <c r="AB1449">
        <f>0</f>
        <v>0</v>
      </c>
      <c r="AD1449">
        <f>0</f>
        <v>0</v>
      </c>
      <c r="AE1449">
        <f>0</f>
        <v>0</v>
      </c>
      <c r="AH1449" t="s">
        <v>157</v>
      </c>
    </row>
    <row r="1450" spans="1:54" x14ac:dyDescent="0.25">
      <c r="A1450" t="s">
        <v>3963</v>
      </c>
      <c r="B1450" t="s">
        <v>148</v>
      </c>
      <c r="C1450" s="1">
        <v>45882</v>
      </c>
      <c r="D1450" t="s">
        <v>317</v>
      </c>
      <c r="E1450" t="s">
        <v>318</v>
      </c>
      <c r="F1450" t="s">
        <v>319</v>
      </c>
      <c r="G1450" t="s">
        <v>320</v>
      </c>
      <c r="H1450">
        <v>821</v>
      </c>
      <c r="I1450" t="s">
        <v>321</v>
      </c>
      <c r="J1450">
        <v>9564</v>
      </c>
      <c r="K1450" t="s">
        <v>5254</v>
      </c>
      <c r="L1450" t="s">
        <v>180</v>
      </c>
      <c r="M1450" t="s">
        <v>515</v>
      </c>
      <c r="N1450" t="s">
        <v>516</v>
      </c>
      <c r="O1450" t="s">
        <v>517</v>
      </c>
      <c r="Q1450" t="s">
        <v>6301</v>
      </c>
      <c r="R1450">
        <f>1</f>
        <v>1</v>
      </c>
      <c r="S1450">
        <f>17.9</f>
        <v>17.899999999999999</v>
      </c>
      <c r="T1450">
        <f>7.9</f>
        <v>7.9</v>
      </c>
      <c r="U1450">
        <f>232</f>
        <v>232</v>
      </c>
      <c r="X1450">
        <f>0</f>
        <v>0</v>
      </c>
      <c r="Y1450" t="s">
        <v>157</v>
      </c>
      <c r="Z1450">
        <f>0</f>
        <v>0</v>
      </c>
      <c r="AA1450">
        <f>0</f>
        <v>0</v>
      </c>
      <c r="AB1450">
        <f>0</f>
        <v>0</v>
      </c>
      <c r="AD1450">
        <f>0</f>
        <v>0</v>
      </c>
      <c r="AE1450">
        <f>0</f>
        <v>0</v>
      </c>
      <c r="AH1450" t="s">
        <v>157</v>
      </c>
    </row>
    <row r="1451" spans="1:54" x14ac:dyDescent="0.25">
      <c r="A1451" t="s">
        <v>3964</v>
      </c>
      <c r="B1451" t="s">
        <v>148</v>
      </c>
      <c r="C1451" s="1">
        <v>45873</v>
      </c>
      <c r="D1451" t="s">
        <v>222</v>
      </c>
      <c r="E1451" t="s">
        <v>223</v>
      </c>
      <c r="F1451" t="s">
        <v>429</v>
      </c>
      <c r="G1451" t="s">
        <v>430</v>
      </c>
      <c r="H1451">
        <v>1281</v>
      </c>
      <c r="I1451" t="s">
        <v>430</v>
      </c>
      <c r="J1451">
        <v>5254</v>
      </c>
      <c r="K1451" t="s">
        <v>5254</v>
      </c>
      <c r="L1451" t="s">
        <v>431</v>
      </c>
      <c r="M1451" t="s">
        <v>3479</v>
      </c>
      <c r="N1451" t="s">
        <v>3480</v>
      </c>
      <c r="O1451" t="s">
        <v>3481</v>
      </c>
      <c r="Q1451" t="s">
        <v>6298</v>
      </c>
      <c r="R1451">
        <f>1</f>
        <v>1</v>
      </c>
      <c r="S1451">
        <f>21.1</f>
        <v>21.1</v>
      </c>
      <c r="T1451">
        <f>8</f>
        <v>8</v>
      </c>
      <c r="U1451">
        <f>332</f>
        <v>332</v>
      </c>
      <c r="X1451">
        <f>1</f>
        <v>1</v>
      </c>
      <c r="Y1451">
        <f>0.1</f>
        <v>0.1</v>
      </c>
      <c r="Z1451">
        <f>0</f>
        <v>0</v>
      </c>
      <c r="AA1451">
        <f>0</f>
        <v>0</v>
      </c>
      <c r="AB1451">
        <f>18</f>
        <v>18</v>
      </c>
      <c r="AD1451">
        <f>0</f>
        <v>0</v>
      </c>
      <c r="AE1451">
        <f>0</f>
        <v>0</v>
      </c>
      <c r="AH1451" t="s">
        <v>166</v>
      </c>
    </row>
    <row r="1452" spans="1:54" x14ac:dyDescent="0.25">
      <c r="A1452" t="s">
        <v>3965</v>
      </c>
      <c r="B1452" t="s">
        <v>148</v>
      </c>
      <c r="C1452" s="1">
        <v>45832</v>
      </c>
      <c r="D1452" t="s">
        <v>222</v>
      </c>
      <c r="E1452" t="s">
        <v>223</v>
      </c>
      <c r="F1452" t="s">
        <v>469</v>
      </c>
      <c r="G1452" t="s">
        <v>6551</v>
      </c>
      <c r="H1452">
        <v>242</v>
      </c>
      <c r="I1452" t="s">
        <v>6551</v>
      </c>
      <c r="J1452">
        <v>5429</v>
      </c>
      <c r="K1452" t="s">
        <v>5257</v>
      </c>
      <c r="L1452" t="s">
        <v>393</v>
      </c>
      <c r="M1452" t="s">
        <v>4706</v>
      </c>
      <c r="N1452" t="s">
        <v>4707</v>
      </c>
      <c r="O1452" t="s">
        <v>519</v>
      </c>
      <c r="Q1452" t="s">
        <v>5297</v>
      </c>
      <c r="R1452">
        <f>1</f>
        <v>1</v>
      </c>
      <c r="S1452">
        <f>20</f>
        <v>20</v>
      </c>
      <c r="T1452">
        <f>8.1</f>
        <v>8.1</v>
      </c>
      <c r="U1452">
        <f>172</f>
        <v>172</v>
      </c>
      <c r="V1452">
        <f>0.09</f>
        <v>0.09</v>
      </c>
      <c r="X1452">
        <f>1</f>
        <v>1</v>
      </c>
      <c r="Y1452">
        <f>0.05</f>
        <v>0.05</v>
      </c>
      <c r="Z1452">
        <f>0</f>
        <v>0</v>
      </c>
      <c r="AA1452">
        <f>0</f>
        <v>0</v>
      </c>
      <c r="AB1452">
        <f>0</f>
        <v>0</v>
      </c>
      <c r="AC1452">
        <f>0</f>
        <v>0</v>
      </c>
      <c r="AD1452">
        <f>0</f>
        <v>0</v>
      </c>
      <c r="AE1452">
        <f>0</f>
        <v>0</v>
      </c>
      <c r="AH1452" t="s">
        <v>166</v>
      </c>
    </row>
    <row r="1453" spans="1:54" x14ac:dyDescent="0.25">
      <c r="A1453" t="s">
        <v>3966</v>
      </c>
      <c r="B1453" t="s">
        <v>148</v>
      </c>
      <c r="C1453" s="1">
        <v>45868</v>
      </c>
      <c r="D1453" t="s">
        <v>175</v>
      </c>
      <c r="E1453" t="s">
        <v>270</v>
      </c>
      <c r="F1453" t="s">
        <v>354</v>
      </c>
      <c r="G1453" t="s">
        <v>6540</v>
      </c>
      <c r="H1453">
        <v>691</v>
      </c>
      <c r="I1453" t="s">
        <v>6541</v>
      </c>
      <c r="J1453">
        <v>20462</v>
      </c>
      <c r="K1453" t="s">
        <v>5257</v>
      </c>
      <c r="L1453" t="s">
        <v>355</v>
      </c>
      <c r="M1453" t="s">
        <v>5300</v>
      </c>
      <c r="N1453" t="s">
        <v>526</v>
      </c>
      <c r="O1453" t="s">
        <v>527</v>
      </c>
      <c r="R1453">
        <f>1</f>
        <v>1</v>
      </c>
      <c r="S1453">
        <f>20.5</f>
        <v>20.5</v>
      </c>
      <c r="T1453">
        <f>7.7</f>
        <v>7.7</v>
      </c>
      <c r="U1453">
        <f>313</f>
        <v>313</v>
      </c>
      <c r="X1453">
        <f>0</f>
        <v>0</v>
      </c>
      <c r="Y1453">
        <f>0.17</f>
        <v>0.17</v>
      </c>
      <c r="Z1453">
        <f>0</f>
        <v>0</v>
      </c>
      <c r="AA1453" t="s">
        <v>158</v>
      </c>
      <c r="AB1453" t="s">
        <v>158</v>
      </c>
      <c r="AC1453">
        <f>0</f>
        <v>0</v>
      </c>
      <c r="AD1453">
        <f>0</f>
        <v>0</v>
      </c>
      <c r="AE1453">
        <f>0</f>
        <v>0</v>
      </c>
      <c r="AH1453" t="s">
        <v>166</v>
      </c>
    </row>
    <row r="1454" spans="1:54" x14ac:dyDescent="0.25">
      <c r="A1454" t="s">
        <v>3967</v>
      </c>
      <c r="B1454" t="s">
        <v>148</v>
      </c>
      <c r="C1454" s="1">
        <v>45870</v>
      </c>
      <c r="D1454" t="s">
        <v>269</v>
      </c>
      <c r="E1454" t="s">
        <v>270</v>
      </c>
      <c r="F1454" t="s">
        <v>271</v>
      </c>
      <c r="G1454" t="s">
        <v>6529</v>
      </c>
      <c r="H1454">
        <v>592</v>
      </c>
      <c r="I1454" t="s">
        <v>6529</v>
      </c>
      <c r="J1454">
        <v>13513</v>
      </c>
      <c r="K1454" t="s">
        <v>5257</v>
      </c>
      <c r="L1454" t="s">
        <v>4940</v>
      </c>
      <c r="M1454" t="s">
        <v>529</v>
      </c>
      <c r="N1454" t="s">
        <v>530</v>
      </c>
      <c r="O1454" t="s">
        <v>531</v>
      </c>
      <c r="R1454">
        <f>1</f>
        <v>1</v>
      </c>
      <c r="S1454">
        <f>19.5</f>
        <v>19.5</v>
      </c>
      <c r="T1454">
        <f>7.7</f>
        <v>7.7</v>
      </c>
      <c r="U1454">
        <f>383</f>
        <v>383</v>
      </c>
      <c r="X1454">
        <f>0</f>
        <v>0</v>
      </c>
      <c r="Y1454" t="s">
        <v>207</v>
      </c>
      <c r="Z1454">
        <f>0</f>
        <v>0</v>
      </c>
      <c r="AA1454" t="s">
        <v>158</v>
      </c>
      <c r="AB1454" t="s">
        <v>158</v>
      </c>
      <c r="AC1454">
        <f>0</f>
        <v>0</v>
      </c>
      <c r="AD1454">
        <f>0</f>
        <v>0</v>
      </c>
      <c r="AE1454">
        <f>0</f>
        <v>0</v>
      </c>
      <c r="AG1454" t="s">
        <v>249</v>
      </c>
      <c r="AH1454" t="s">
        <v>166</v>
      </c>
      <c r="AT1454" t="s">
        <v>250</v>
      </c>
    </row>
    <row r="1455" spans="1:54" x14ac:dyDescent="0.25">
      <c r="A1455" t="s">
        <v>3968</v>
      </c>
      <c r="B1455" t="s">
        <v>148</v>
      </c>
      <c r="C1455" s="1">
        <v>45812</v>
      </c>
      <c r="D1455" t="s">
        <v>317</v>
      </c>
      <c r="E1455" t="s">
        <v>318</v>
      </c>
      <c r="F1455" t="s">
        <v>360</v>
      </c>
      <c r="G1455" t="s">
        <v>361</v>
      </c>
      <c r="H1455">
        <v>104</v>
      </c>
      <c r="I1455" t="s">
        <v>361</v>
      </c>
      <c r="J1455">
        <v>61876</v>
      </c>
      <c r="K1455" t="s">
        <v>5257</v>
      </c>
      <c r="L1455" t="s">
        <v>4949</v>
      </c>
      <c r="M1455" t="s">
        <v>4708</v>
      </c>
      <c r="N1455" t="s">
        <v>542</v>
      </c>
      <c r="O1455" t="s">
        <v>543</v>
      </c>
      <c r="Q1455" t="s">
        <v>329</v>
      </c>
      <c r="R1455">
        <f>1</f>
        <v>1</v>
      </c>
      <c r="S1455">
        <f>13.4</f>
        <v>13.4</v>
      </c>
      <c r="T1455">
        <f>7.9</f>
        <v>7.9</v>
      </c>
      <c r="U1455">
        <f>284</f>
        <v>284</v>
      </c>
      <c r="X1455">
        <f>0</f>
        <v>0</v>
      </c>
      <c r="Y1455" t="s">
        <v>157</v>
      </c>
      <c r="Z1455">
        <f>0</f>
        <v>0</v>
      </c>
      <c r="AA1455">
        <f>0</f>
        <v>0</v>
      </c>
      <c r="AB1455">
        <f>0</f>
        <v>0</v>
      </c>
      <c r="AC1455">
        <f>0</f>
        <v>0</v>
      </c>
      <c r="AD1455">
        <f>0</f>
        <v>0</v>
      </c>
      <c r="AE1455">
        <f>0</f>
        <v>0</v>
      </c>
      <c r="AH1455" t="s">
        <v>157</v>
      </c>
    </row>
    <row r="1456" spans="1:54" x14ac:dyDescent="0.25">
      <c r="A1456" t="s">
        <v>3969</v>
      </c>
      <c r="B1456" t="s">
        <v>148</v>
      </c>
      <c r="C1456" s="1">
        <v>45840</v>
      </c>
      <c r="D1456" t="s">
        <v>269</v>
      </c>
      <c r="E1456" t="s">
        <v>295</v>
      </c>
      <c r="F1456" t="s">
        <v>331</v>
      </c>
      <c r="G1456" t="s">
        <v>5784</v>
      </c>
      <c r="H1456">
        <v>145</v>
      </c>
      <c r="I1456" t="s">
        <v>5784</v>
      </c>
      <c r="J1456">
        <v>14477</v>
      </c>
      <c r="K1456" t="s">
        <v>5254</v>
      </c>
      <c r="L1456" t="s">
        <v>332</v>
      </c>
      <c r="M1456" t="s">
        <v>5302</v>
      </c>
      <c r="N1456" t="s">
        <v>5303</v>
      </c>
      <c r="O1456" t="s">
        <v>545</v>
      </c>
      <c r="Q1456" t="s">
        <v>3970</v>
      </c>
      <c r="R1456">
        <f>1</f>
        <v>1</v>
      </c>
      <c r="S1456">
        <f>23.6</f>
        <v>23.6</v>
      </c>
      <c r="T1456">
        <f>7.4</f>
        <v>7.4</v>
      </c>
      <c r="U1456">
        <f>418</f>
        <v>418</v>
      </c>
      <c r="V1456">
        <f>0.05</f>
        <v>0.05</v>
      </c>
      <c r="X1456">
        <f>0</f>
        <v>0</v>
      </c>
      <c r="Y1456">
        <f>0.13</f>
        <v>0.13</v>
      </c>
      <c r="Z1456">
        <f>0</f>
        <v>0</v>
      </c>
      <c r="AA1456" t="s">
        <v>158</v>
      </c>
      <c r="AB1456" t="s">
        <v>158</v>
      </c>
      <c r="AD1456">
        <f>0</f>
        <v>0</v>
      </c>
      <c r="AE1456">
        <f>0</f>
        <v>0</v>
      </c>
      <c r="AH1456" t="s">
        <v>166</v>
      </c>
    </row>
    <row r="1457" spans="1:34" x14ac:dyDescent="0.25">
      <c r="A1457" t="s">
        <v>3971</v>
      </c>
      <c r="B1457" t="s">
        <v>148</v>
      </c>
      <c r="C1457" s="1">
        <v>45842</v>
      </c>
      <c r="D1457" t="s">
        <v>242</v>
      </c>
      <c r="E1457" t="s">
        <v>243</v>
      </c>
      <c r="F1457" t="s">
        <v>244</v>
      </c>
      <c r="G1457" t="s">
        <v>245</v>
      </c>
      <c r="H1457">
        <v>154</v>
      </c>
      <c r="I1457" t="s">
        <v>4695</v>
      </c>
      <c r="J1457">
        <v>54400</v>
      </c>
      <c r="K1457" t="s">
        <v>5257</v>
      </c>
      <c r="L1457" t="s">
        <v>246</v>
      </c>
      <c r="M1457" t="s">
        <v>547</v>
      </c>
      <c r="N1457" t="s">
        <v>5305</v>
      </c>
      <c r="O1457" t="s">
        <v>548</v>
      </c>
      <c r="R1457">
        <f>1</f>
        <v>1</v>
      </c>
      <c r="S1457">
        <f>21.5</f>
        <v>21.5</v>
      </c>
      <c r="T1457">
        <f>7.6</f>
        <v>7.6</v>
      </c>
      <c r="U1457">
        <f>389</f>
        <v>389</v>
      </c>
      <c r="V1457">
        <f>0.19</f>
        <v>0.19</v>
      </c>
      <c r="X1457">
        <f>0</f>
        <v>0</v>
      </c>
      <c r="Y1457" t="s">
        <v>157</v>
      </c>
      <c r="Z1457">
        <f>0</f>
        <v>0</v>
      </c>
      <c r="AA1457" t="s">
        <v>158</v>
      </c>
      <c r="AB1457" t="s">
        <v>158</v>
      </c>
      <c r="AC1457">
        <f>0</f>
        <v>0</v>
      </c>
      <c r="AD1457">
        <f>0</f>
        <v>0</v>
      </c>
      <c r="AE1457">
        <f>0</f>
        <v>0</v>
      </c>
      <c r="AH1457" t="s">
        <v>157</v>
      </c>
    </row>
    <row r="1458" spans="1:34" x14ac:dyDescent="0.25">
      <c r="A1458" t="s">
        <v>3972</v>
      </c>
      <c r="B1458" t="s">
        <v>148</v>
      </c>
      <c r="C1458" s="1">
        <v>45733</v>
      </c>
      <c r="D1458" t="s">
        <v>222</v>
      </c>
      <c r="E1458" t="s">
        <v>223</v>
      </c>
      <c r="F1458" t="s">
        <v>469</v>
      </c>
      <c r="G1458" t="s">
        <v>6814</v>
      </c>
      <c r="H1458">
        <v>368</v>
      </c>
      <c r="I1458" t="s">
        <v>6814</v>
      </c>
      <c r="J1458">
        <v>1929</v>
      </c>
      <c r="K1458" t="s">
        <v>5257</v>
      </c>
      <c r="L1458" t="s">
        <v>393</v>
      </c>
      <c r="M1458" t="s">
        <v>3483</v>
      </c>
      <c r="N1458" t="s">
        <v>3484</v>
      </c>
      <c r="O1458" t="s">
        <v>3485</v>
      </c>
      <c r="Q1458" t="s">
        <v>6298</v>
      </c>
      <c r="R1458">
        <f>1</f>
        <v>1</v>
      </c>
      <c r="S1458">
        <f>10.9</f>
        <v>10.9</v>
      </c>
      <c r="T1458">
        <f>8</f>
        <v>8</v>
      </c>
      <c r="U1458">
        <f>228</f>
        <v>228</v>
      </c>
      <c r="V1458">
        <f>0.08</f>
        <v>0.08</v>
      </c>
      <c r="X1458">
        <f>1</f>
        <v>1</v>
      </c>
      <c r="Y1458">
        <f>0.19</f>
        <v>0.19</v>
      </c>
      <c r="Z1458">
        <f>0</f>
        <v>0</v>
      </c>
      <c r="AA1458">
        <f>1</f>
        <v>1</v>
      </c>
      <c r="AB1458">
        <f>0</f>
        <v>0</v>
      </c>
      <c r="AC1458">
        <f>0</f>
        <v>0</v>
      </c>
      <c r="AD1458">
        <f>0</f>
        <v>0</v>
      </c>
      <c r="AE1458">
        <f>0</f>
        <v>0</v>
      </c>
      <c r="AH1458" t="s">
        <v>166</v>
      </c>
    </row>
    <row r="1459" spans="1:34" x14ac:dyDescent="0.25">
      <c r="A1459" t="s">
        <v>3973</v>
      </c>
      <c r="B1459" t="s">
        <v>148</v>
      </c>
      <c r="C1459" s="1">
        <v>45818</v>
      </c>
      <c r="D1459" t="s">
        <v>175</v>
      </c>
      <c r="E1459" t="s">
        <v>176</v>
      </c>
      <c r="F1459" t="s">
        <v>556</v>
      </c>
      <c r="G1459" t="s">
        <v>557</v>
      </c>
      <c r="H1459">
        <v>1701</v>
      </c>
      <c r="I1459" t="s">
        <v>6554</v>
      </c>
      <c r="J1459">
        <v>138695</v>
      </c>
      <c r="K1459" t="s">
        <v>5254</v>
      </c>
      <c r="L1459" t="s">
        <v>180</v>
      </c>
      <c r="M1459" t="s">
        <v>558</v>
      </c>
      <c r="N1459" t="s">
        <v>559</v>
      </c>
      <c r="O1459" t="s">
        <v>560</v>
      </c>
      <c r="Q1459" t="s">
        <v>1097</v>
      </c>
      <c r="R1459">
        <f>1</f>
        <v>1</v>
      </c>
      <c r="S1459">
        <f>16</f>
        <v>16</v>
      </c>
      <c r="T1459">
        <f>7.4</f>
        <v>7.4</v>
      </c>
      <c r="U1459">
        <f>451</f>
        <v>451</v>
      </c>
      <c r="X1459">
        <f>0</f>
        <v>0</v>
      </c>
      <c r="Y1459" t="s">
        <v>157</v>
      </c>
      <c r="Z1459">
        <f>0</f>
        <v>0</v>
      </c>
      <c r="AA1459" t="s">
        <v>158</v>
      </c>
      <c r="AB1459" t="s">
        <v>158</v>
      </c>
      <c r="AD1459">
        <f>0</f>
        <v>0</v>
      </c>
      <c r="AE1459">
        <f>0</f>
        <v>0</v>
      </c>
      <c r="AH1459" t="s">
        <v>157</v>
      </c>
    </row>
    <row r="1460" spans="1:34" x14ac:dyDescent="0.25">
      <c r="A1460" t="s">
        <v>3974</v>
      </c>
      <c r="B1460" t="s">
        <v>148</v>
      </c>
      <c r="C1460" s="1">
        <v>45810</v>
      </c>
      <c r="D1460" t="s">
        <v>175</v>
      </c>
      <c r="E1460" t="s">
        <v>176</v>
      </c>
      <c r="F1460" t="s">
        <v>556</v>
      </c>
      <c r="G1460" t="s">
        <v>557</v>
      </c>
      <c r="H1460">
        <v>1701</v>
      </c>
      <c r="I1460" t="s">
        <v>6554</v>
      </c>
      <c r="J1460">
        <v>138695</v>
      </c>
      <c r="K1460" t="s">
        <v>5254</v>
      </c>
      <c r="L1460" t="s">
        <v>180</v>
      </c>
      <c r="M1460" t="s">
        <v>569</v>
      </c>
      <c r="N1460" t="s">
        <v>4958</v>
      </c>
      <c r="O1460" t="s">
        <v>570</v>
      </c>
      <c r="Q1460" t="s">
        <v>6311</v>
      </c>
      <c r="R1460">
        <f>1</f>
        <v>1</v>
      </c>
      <c r="S1460">
        <f>14.9</f>
        <v>14.9</v>
      </c>
      <c r="T1460">
        <f>7.4</f>
        <v>7.4</v>
      </c>
      <c r="U1460">
        <f>432</f>
        <v>432</v>
      </c>
      <c r="X1460">
        <f>0</f>
        <v>0</v>
      </c>
      <c r="Y1460" t="s">
        <v>157</v>
      </c>
      <c r="Z1460">
        <f>0</f>
        <v>0</v>
      </c>
      <c r="AA1460" t="s">
        <v>158</v>
      </c>
      <c r="AB1460" t="s">
        <v>158</v>
      </c>
      <c r="AD1460">
        <f>0</f>
        <v>0</v>
      </c>
      <c r="AE1460">
        <f>0</f>
        <v>0</v>
      </c>
      <c r="AH1460" t="s">
        <v>157</v>
      </c>
    </row>
    <row r="1461" spans="1:34" x14ac:dyDescent="0.25">
      <c r="A1461" t="s">
        <v>3975</v>
      </c>
      <c r="B1461" t="s">
        <v>148</v>
      </c>
      <c r="C1461" s="1">
        <v>45818</v>
      </c>
      <c r="D1461" t="s">
        <v>175</v>
      </c>
      <c r="E1461" t="s">
        <v>176</v>
      </c>
      <c r="F1461" t="s">
        <v>556</v>
      </c>
      <c r="G1461" t="s">
        <v>557</v>
      </c>
      <c r="H1461">
        <v>1701</v>
      </c>
      <c r="I1461" t="s">
        <v>6554</v>
      </c>
      <c r="J1461">
        <v>138695</v>
      </c>
      <c r="K1461" t="s">
        <v>5254</v>
      </c>
      <c r="L1461" t="s">
        <v>180</v>
      </c>
      <c r="M1461" t="s">
        <v>577</v>
      </c>
      <c r="N1461" t="s">
        <v>578</v>
      </c>
      <c r="O1461" t="s">
        <v>579</v>
      </c>
      <c r="Q1461" t="s">
        <v>6311</v>
      </c>
      <c r="R1461">
        <f>1</f>
        <v>1</v>
      </c>
      <c r="S1461">
        <f>17.1</f>
        <v>17.100000000000001</v>
      </c>
      <c r="T1461">
        <f>7.4</f>
        <v>7.4</v>
      </c>
      <c r="U1461">
        <f>445</f>
        <v>445</v>
      </c>
      <c r="X1461">
        <f>0</f>
        <v>0</v>
      </c>
      <c r="Y1461" t="s">
        <v>157</v>
      </c>
      <c r="Z1461">
        <f>0</f>
        <v>0</v>
      </c>
      <c r="AA1461" t="s">
        <v>158</v>
      </c>
      <c r="AB1461" t="s">
        <v>158</v>
      </c>
      <c r="AD1461">
        <f>0</f>
        <v>0</v>
      </c>
      <c r="AE1461">
        <f>0</f>
        <v>0</v>
      </c>
      <c r="AH1461" t="s">
        <v>157</v>
      </c>
    </row>
    <row r="1462" spans="1:34" x14ac:dyDescent="0.25">
      <c r="A1462" t="s">
        <v>3976</v>
      </c>
      <c r="B1462" t="s">
        <v>148</v>
      </c>
      <c r="C1462" s="1">
        <v>45824</v>
      </c>
      <c r="D1462" t="s">
        <v>175</v>
      </c>
      <c r="E1462" t="s">
        <v>176</v>
      </c>
      <c r="F1462" t="s">
        <v>556</v>
      </c>
      <c r="G1462" t="s">
        <v>557</v>
      </c>
      <c r="H1462">
        <v>1701</v>
      </c>
      <c r="I1462" t="s">
        <v>6554</v>
      </c>
      <c r="J1462">
        <v>138695</v>
      </c>
      <c r="K1462" t="s">
        <v>5254</v>
      </c>
      <c r="L1462" t="s">
        <v>180</v>
      </c>
      <c r="M1462" t="s">
        <v>4710</v>
      </c>
      <c r="N1462" t="s">
        <v>4959</v>
      </c>
      <c r="O1462" t="s">
        <v>581</v>
      </c>
      <c r="Q1462" t="s">
        <v>6311</v>
      </c>
      <c r="R1462">
        <f>1</f>
        <v>1</v>
      </c>
      <c r="S1462">
        <f>15.3</f>
        <v>15.3</v>
      </c>
      <c r="T1462">
        <f>7.5</f>
        <v>7.5</v>
      </c>
      <c r="U1462">
        <f>423</f>
        <v>423</v>
      </c>
      <c r="X1462">
        <f>0</f>
        <v>0</v>
      </c>
      <c r="Y1462" t="s">
        <v>157</v>
      </c>
      <c r="Z1462">
        <f>0</f>
        <v>0</v>
      </c>
      <c r="AA1462" t="s">
        <v>158</v>
      </c>
      <c r="AB1462" t="s">
        <v>158</v>
      </c>
      <c r="AD1462">
        <f>0</f>
        <v>0</v>
      </c>
      <c r="AE1462">
        <f>0</f>
        <v>0</v>
      </c>
      <c r="AH1462" t="s">
        <v>157</v>
      </c>
    </row>
    <row r="1463" spans="1:34" x14ac:dyDescent="0.25">
      <c r="A1463" t="s">
        <v>3977</v>
      </c>
      <c r="B1463" t="s">
        <v>148</v>
      </c>
      <c r="C1463" s="1">
        <v>45845</v>
      </c>
      <c r="D1463" t="s">
        <v>175</v>
      </c>
      <c r="E1463" t="s">
        <v>176</v>
      </c>
      <c r="F1463" t="s">
        <v>556</v>
      </c>
      <c r="G1463" t="s">
        <v>557</v>
      </c>
      <c r="H1463">
        <v>1702</v>
      </c>
      <c r="I1463" t="s">
        <v>5831</v>
      </c>
      <c r="J1463">
        <v>37633</v>
      </c>
      <c r="K1463" t="s">
        <v>5254</v>
      </c>
      <c r="L1463" t="s">
        <v>180</v>
      </c>
      <c r="M1463" t="s">
        <v>590</v>
      </c>
      <c r="N1463" t="s">
        <v>591</v>
      </c>
      <c r="O1463" t="s">
        <v>592</v>
      </c>
      <c r="Q1463" t="s">
        <v>6314</v>
      </c>
      <c r="R1463">
        <f>1</f>
        <v>1</v>
      </c>
      <c r="S1463">
        <f>19.8</f>
        <v>19.8</v>
      </c>
      <c r="T1463">
        <f>7.4</f>
        <v>7.4</v>
      </c>
      <c r="U1463">
        <f>491</f>
        <v>491</v>
      </c>
      <c r="X1463">
        <f>0</f>
        <v>0</v>
      </c>
      <c r="Y1463" t="s">
        <v>157</v>
      </c>
      <c r="Z1463">
        <f>0</f>
        <v>0</v>
      </c>
      <c r="AA1463" t="s">
        <v>158</v>
      </c>
      <c r="AB1463" t="s">
        <v>158</v>
      </c>
      <c r="AD1463">
        <f>0</f>
        <v>0</v>
      </c>
      <c r="AE1463">
        <f>0</f>
        <v>0</v>
      </c>
      <c r="AH1463" t="s">
        <v>157</v>
      </c>
    </row>
    <row r="1464" spans="1:34" x14ac:dyDescent="0.25">
      <c r="A1464" t="s">
        <v>3978</v>
      </c>
      <c r="B1464" t="s">
        <v>148</v>
      </c>
      <c r="C1464" s="1">
        <v>45852</v>
      </c>
      <c r="D1464" t="s">
        <v>175</v>
      </c>
      <c r="E1464" t="s">
        <v>176</v>
      </c>
      <c r="F1464" t="s">
        <v>556</v>
      </c>
      <c r="G1464" t="s">
        <v>557</v>
      </c>
      <c r="H1464">
        <v>1702</v>
      </c>
      <c r="I1464" t="s">
        <v>5831</v>
      </c>
      <c r="J1464">
        <v>37633</v>
      </c>
      <c r="K1464" t="s">
        <v>5254</v>
      </c>
      <c r="L1464" t="s">
        <v>180</v>
      </c>
      <c r="M1464" t="s">
        <v>5308</v>
      </c>
      <c r="N1464" t="s">
        <v>5832</v>
      </c>
      <c r="O1464" t="s">
        <v>594</v>
      </c>
      <c r="R1464">
        <f>1</f>
        <v>1</v>
      </c>
      <c r="S1464">
        <f>20.8</f>
        <v>20.8</v>
      </c>
      <c r="T1464">
        <f>7.4</f>
        <v>7.4</v>
      </c>
      <c r="U1464">
        <f>469</f>
        <v>469</v>
      </c>
      <c r="X1464">
        <f>0</f>
        <v>0</v>
      </c>
      <c r="Y1464" t="s">
        <v>157</v>
      </c>
      <c r="Z1464">
        <f>0</f>
        <v>0</v>
      </c>
      <c r="AA1464" t="s">
        <v>158</v>
      </c>
      <c r="AB1464" t="s">
        <v>158</v>
      </c>
      <c r="AD1464">
        <f>0</f>
        <v>0</v>
      </c>
      <c r="AE1464">
        <f>0</f>
        <v>0</v>
      </c>
      <c r="AH1464" t="s">
        <v>157</v>
      </c>
    </row>
    <row r="1465" spans="1:34" x14ac:dyDescent="0.25">
      <c r="A1465" t="s">
        <v>3979</v>
      </c>
      <c r="B1465" t="s">
        <v>148</v>
      </c>
      <c r="C1465" s="1">
        <v>45845</v>
      </c>
      <c r="D1465" t="s">
        <v>175</v>
      </c>
      <c r="E1465" t="s">
        <v>176</v>
      </c>
      <c r="F1465" t="s">
        <v>556</v>
      </c>
      <c r="G1465" t="s">
        <v>557</v>
      </c>
      <c r="H1465">
        <v>1702</v>
      </c>
      <c r="I1465" t="s">
        <v>5831</v>
      </c>
      <c r="J1465">
        <v>37633</v>
      </c>
      <c r="K1465" t="s">
        <v>5254</v>
      </c>
      <c r="L1465" t="s">
        <v>180</v>
      </c>
      <c r="M1465" t="s">
        <v>3405</v>
      </c>
      <c r="N1465" t="s">
        <v>3406</v>
      </c>
      <c r="O1465" t="s">
        <v>3407</v>
      </c>
      <c r="Q1465" t="s">
        <v>6484</v>
      </c>
      <c r="R1465">
        <f>1</f>
        <v>1</v>
      </c>
      <c r="S1465">
        <f>19.7</f>
        <v>19.7</v>
      </c>
      <c r="T1465">
        <f>7.4</f>
        <v>7.4</v>
      </c>
      <c r="U1465">
        <f>488</f>
        <v>488</v>
      </c>
      <c r="X1465">
        <f>0</f>
        <v>0</v>
      </c>
      <c r="Y1465" t="s">
        <v>157</v>
      </c>
      <c r="Z1465">
        <f>0</f>
        <v>0</v>
      </c>
      <c r="AA1465" t="s">
        <v>158</v>
      </c>
      <c r="AB1465" t="s">
        <v>158</v>
      </c>
      <c r="AD1465">
        <f>0</f>
        <v>0</v>
      </c>
      <c r="AE1465">
        <f>0</f>
        <v>0</v>
      </c>
      <c r="AH1465" t="s">
        <v>157</v>
      </c>
    </row>
    <row r="1466" spans="1:34" x14ac:dyDescent="0.25">
      <c r="A1466" t="s">
        <v>3980</v>
      </c>
      <c r="B1466" t="s">
        <v>148</v>
      </c>
      <c r="C1466" s="1">
        <v>45814</v>
      </c>
      <c r="D1466" t="s">
        <v>175</v>
      </c>
      <c r="E1466" t="s">
        <v>176</v>
      </c>
      <c r="F1466" t="s">
        <v>556</v>
      </c>
      <c r="G1466" t="s">
        <v>557</v>
      </c>
      <c r="H1466">
        <v>1705</v>
      </c>
      <c r="I1466" t="s">
        <v>601</v>
      </c>
      <c r="J1466">
        <v>28423</v>
      </c>
      <c r="K1466" t="s">
        <v>5254</v>
      </c>
      <c r="L1466" t="s">
        <v>4940</v>
      </c>
      <c r="M1466" t="s">
        <v>6191</v>
      </c>
      <c r="N1466" t="s">
        <v>6192</v>
      </c>
      <c r="O1466" t="s">
        <v>3409</v>
      </c>
      <c r="R1466">
        <f>1</f>
        <v>1</v>
      </c>
      <c r="S1466">
        <f>18.4</f>
        <v>18.399999999999999</v>
      </c>
      <c r="T1466">
        <f>7.3</f>
        <v>7.3</v>
      </c>
      <c r="U1466">
        <f>483</f>
        <v>483</v>
      </c>
      <c r="X1466">
        <f>0</f>
        <v>0</v>
      </c>
      <c r="Y1466" t="s">
        <v>157</v>
      </c>
      <c r="Z1466">
        <f>0</f>
        <v>0</v>
      </c>
      <c r="AA1466" t="s">
        <v>158</v>
      </c>
      <c r="AB1466" t="s">
        <v>158</v>
      </c>
      <c r="AD1466">
        <f>0</f>
        <v>0</v>
      </c>
      <c r="AE1466">
        <f>0</f>
        <v>0</v>
      </c>
      <c r="AH1466" t="s">
        <v>157</v>
      </c>
    </row>
    <row r="1467" spans="1:34" x14ac:dyDescent="0.25">
      <c r="A1467" t="s">
        <v>3981</v>
      </c>
      <c r="B1467" t="s">
        <v>148</v>
      </c>
      <c r="C1467" s="1">
        <v>45897</v>
      </c>
      <c r="D1467" t="s">
        <v>149</v>
      </c>
      <c r="E1467" t="s">
        <v>150</v>
      </c>
      <c r="F1467" t="s">
        <v>613</v>
      </c>
      <c r="G1467" t="s">
        <v>614</v>
      </c>
      <c r="H1467">
        <v>1826</v>
      </c>
      <c r="I1467" t="s">
        <v>5238</v>
      </c>
      <c r="J1467">
        <v>789</v>
      </c>
      <c r="K1467" t="s">
        <v>5254</v>
      </c>
      <c r="M1467" t="s">
        <v>3891</v>
      </c>
      <c r="N1467" t="s">
        <v>6216</v>
      </c>
      <c r="R1467">
        <f>1</f>
        <v>1</v>
      </c>
      <c r="S1467">
        <f>16.6</f>
        <v>16.600000000000001</v>
      </c>
      <c r="T1467">
        <f>7.6</f>
        <v>7.6</v>
      </c>
      <c r="U1467">
        <f>523</f>
        <v>523</v>
      </c>
      <c r="X1467">
        <f>0</f>
        <v>0</v>
      </c>
      <c r="Y1467">
        <f>0.1</f>
        <v>0.1</v>
      </c>
      <c r="Z1467">
        <f>0</f>
        <v>0</v>
      </c>
      <c r="AA1467" t="s">
        <v>158</v>
      </c>
      <c r="AB1467" t="s">
        <v>158</v>
      </c>
      <c r="AC1467">
        <f>0</f>
        <v>0</v>
      </c>
      <c r="AD1467">
        <f>0</f>
        <v>0</v>
      </c>
      <c r="AE1467">
        <f>0</f>
        <v>0</v>
      </c>
      <c r="AH1467" t="s">
        <v>157</v>
      </c>
    </row>
    <row r="1468" spans="1:34" x14ac:dyDescent="0.25">
      <c r="A1468" t="s">
        <v>3982</v>
      </c>
      <c r="B1468" t="s">
        <v>148</v>
      </c>
      <c r="C1468" s="1">
        <v>45873</v>
      </c>
      <c r="D1468" t="s">
        <v>175</v>
      </c>
      <c r="E1468" t="s">
        <v>176</v>
      </c>
      <c r="F1468" t="s">
        <v>630</v>
      </c>
      <c r="G1468" t="s">
        <v>631</v>
      </c>
      <c r="H1468">
        <v>1175</v>
      </c>
      <c r="I1468" t="s">
        <v>631</v>
      </c>
      <c r="J1468">
        <v>14500</v>
      </c>
      <c r="K1468" t="s">
        <v>5254</v>
      </c>
      <c r="L1468" t="s">
        <v>154</v>
      </c>
      <c r="M1468" t="s">
        <v>630</v>
      </c>
      <c r="N1468" t="s">
        <v>632</v>
      </c>
      <c r="O1468" t="s">
        <v>633</v>
      </c>
      <c r="Q1468" t="s">
        <v>6461</v>
      </c>
      <c r="R1468">
        <f>1</f>
        <v>1</v>
      </c>
      <c r="S1468">
        <f>21.6</f>
        <v>21.6</v>
      </c>
      <c r="T1468">
        <f>7.5</f>
        <v>7.5</v>
      </c>
      <c r="U1468">
        <f>496</f>
        <v>496</v>
      </c>
      <c r="V1468">
        <f>0.19</f>
        <v>0.19</v>
      </c>
      <c r="X1468">
        <f>0</f>
        <v>0</v>
      </c>
      <c r="Y1468" t="s">
        <v>157</v>
      </c>
      <c r="Z1468">
        <f>0</f>
        <v>0</v>
      </c>
      <c r="AA1468" t="s">
        <v>158</v>
      </c>
      <c r="AB1468">
        <f>10</f>
        <v>10</v>
      </c>
      <c r="AD1468">
        <f>0</f>
        <v>0</v>
      </c>
      <c r="AE1468">
        <f>0</f>
        <v>0</v>
      </c>
      <c r="AH1468" t="s">
        <v>157</v>
      </c>
    </row>
    <row r="1469" spans="1:34" x14ac:dyDescent="0.25">
      <c r="A1469" t="s">
        <v>3983</v>
      </c>
      <c r="B1469" t="s">
        <v>148</v>
      </c>
      <c r="C1469" s="1">
        <v>45882</v>
      </c>
      <c r="D1469" t="s">
        <v>618</v>
      </c>
      <c r="E1469" t="s">
        <v>619</v>
      </c>
      <c r="F1469" t="s">
        <v>5317</v>
      </c>
      <c r="G1469" t="s">
        <v>639</v>
      </c>
      <c r="H1469">
        <v>25</v>
      </c>
      <c r="I1469" t="s">
        <v>640</v>
      </c>
      <c r="J1469">
        <v>4319</v>
      </c>
      <c r="K1469" t="s">
        <v>5254</v>
      </c>
      <c r="L1469" t="s">
        <v>387</v>
      </c>
      <c r="M1469" t="s">
        <v>641</v>
      </c>
      <c r="N1469" t="s">
        <v>642</v>
      </c>
      <c r="O1469" t="s">
        <v>643</v>
      </c>
      <c r="R1469">
        <f>1</f>
        <v>1</v>
      </c>
      <c r="S1469">
        <f>17.6</f>
        <v>17.600000000000001</v>
      </c>
      <c r="T1469">
        <f>7.9</f>
        <v>7.9</v>
      </c>
      <c r="U1469">
        <f>349</f>
        <v>349</v>
      </c>
      <c r="V1469">
        <f>0.06</f>
        <v>0.06</v>
      </c>
      <c r="X1469">
        <f>0</f>
        <v>0</v>
      </c>
      <c r="Y1469" t="s">
        <v>157</v>
      </c>
      <c r="Z1469">
        <f>0</f>
        <v>0</v>
      </c>
      <c r="AA1469" t="s">
        <v>158</v>
      </c>
      <c r="AB1469" t="s">
        <v>158</v>
      </c>
      <c r="AD1469">
        <f>0</f>
        <v>0</v>
      </c>
      <c r="AE1469">
        <f>0</f>
        <v>0</v>
      </c>
      <c r="AH1469" t="s">
        <v>157</v>
      </c>
    </row>
    <row r="1470" spans="1:34" x14ac:dyDescent="0.25">
      <c r="A1470" t="s">
        <v>3984</v>
      </c>
      <c r="B1470" t="s">
        <v>148</v>
      </c>
      <c r="C1470" s="1">
        <v>45817</v>
      </c>
      <c r="D1470" t="s">
        <v>175</v>
      </c>
      <c r="E1470" t="s">
        <v>176</v>
      </c>
      <c r="F1470" t="s">
        <v>630</v>
      </c>
      <c r="G1470" t="s">
        <v>6557</v>
      </c>
      <c r="H1470">
        <v>24</v>
      </c>
      <c r="I1470" t="s">
        <v>6557</v>
      </c>
      <c r="J1470">
        <v>13150</v>
      </c>
      <c r="K1470" t="s">
        <v>5254</v>
      </c>
      <c r="L1470" t="s">
        <v>154</v>
      </c>
      <c r="M1470" t="s">
        <v>5836</v>
      </c>
      <c r="N1470" t="s">
        <v>4716</v>
      </c>
      <c r="O1470" t="s">
        <v>645</v>
      </c>
      <c r="Q1470" t="s">
        <v>6311</v>
      </c>
      <c r="R1470">
        <f>1</f>
        <v>1</v>
      </c>
      <c r="S1470">
        <f>14.6</f>
        <v>14.6</v>
      </c>
      <c r="T1470">
        <f>7.4</f>
        <v>7.4</v>
      </c>
      <c r="U1470">
        <f>485</f>
        <v>485</v>
      </c>
      <c r="V1470">
        <f>0.25</f>
        <v>0.25</v>
      </c>
      <c r="X1470">
        <f>0</f>
        <v>0</v>
      </c>
      <c r="Y1470" t="s">
        <v>157</v>
      </c>
      <c r="Z1470">
        <f>0</f>
        <v>0</v>
      </c>
      <c r="AA1470" t="s">
        <v>158</v>
      </c>
      <c r="AB1470" t="s">
        <v>158</v>
      </c>
      <c r="AD1470">
        <f>0</f>
        <v>0</v>
      </c>
      <c r="AE1470">
        <f>0</f>
        <v>0</v>
      </c>
      <c r="AH1470" t="s">
        <v>157</v>
      </c>
    </row>
    <row r="1471" spans="1:34" x14ac:dyDescent="0.25">
      <c r="A1471" t="s">
        <v>3985</v>
      </c>
      <c r="B1471" t="s">
        <v>148</v>
      </c>
      <c r="C1471" s="1">
        <v>45869</v>
      </c>
      <c r="D1471" t="s">
        <v>175</v>
      </c>
      <c r="E1471" t="s">
        <v>649</v>
      </c>
      <c r="F1471" t="s">
        <v>650</v>
      </c>
      <c r="G1471" t="s">
        <v>5838</v>
      </c>
      <c r="H1471">
        <v>35</v>
      </c>
      <c r="I1471" t="s">
        <v>5838</v>
      </c>
      <c r="J1471">
        <v>7224</v>
      </c>
      <c r="K1471" t="s">
        <v>5257</v>
      </c>
      <c r="L1471" t="s">
        <v>154</v>
      </c>
      <c r="M1471" t="s">
        <v>1161</v>
      </c>
      <c r="N1471" t="s">
        <v>1162</v>
      </c>
      <c r="O1471" t="s">
        <v>1163</v>
      </c>
      <c r="R1471">
        <f>1</f>
        <v>1</v>
      </c>
      <c r="S1471">
        <f>17.9</f>
        <v>17.899999999999999</v>
      </c>
      <c r="T1471">
        <f>7.5</f>
        <v>7.5</v>
      </c>
      <c r="U1471">
        <f>442</f>
        <v>442</v>
      </c>
      <c r="X1471">
        <f>1</f>
        <v>1</v>
      </c>
      <c r="Y1471">
        <f>0.12</f>
        <v>0.12</v>
      </c>
      <c r="Z1471">
        <f>0</f>
        <v>0</v>
      </c>
      <c r="AA1471" t="s">
        <v>158</v>
      </c>
      <c r="AB1471" t="s">
        <v>158</v>
      </c>
      <c r="AC1471">
        <f>0</f>
        <v>0</v>
      </c>
      <c r="AD1471">
        <f>0</f>
        <v>0</v>
      </c>
      <c r="AE1471">
        <f>0</f>
        <v>0</v>
      </c>
      <c r="AH1471" t="s">
        <v>157</v>
      </c>
    </row>
    <row r="1472" spans="1:34" x14ac:dyDescent="0.25">
      <c r="A1472" t="s">
        <v>3986</v>
      </c>
      <c r="B1472" t="s">
        <v>148</v>
      </c>
      <c r="C1472" s="1">
        <v>45721</v>
      </c>
      <c r="D1472" t="s">
        <v>189</v>
      </c>
      <c r="E1472" t="s">
        <v>284</v>
      </c>
      <c r="F1472" t="s">
        <v>665</v>
      </c>
      <c r="G1472" t="s">
        <v>666</v>
      </c>
      <c r="H1472">
        <v>193</v>
      </c>
      <c r="I1472" t="s">
        <v>666</v>
      </c>
      <c r="J1472">
        <v>10226</v>
      </c>
      <c r="K1472" t="s">
        <v>5257</v>
      </c>
      <c r="L1472" t="s">
        <v>387</v>
      </c>
      <c r="M1472" t="s">
        <v>3898</v>
      </c>
      <c r="N1472" t="s">
        <v>3899</v>
      </c>
      <c r="O1472" t="s">
        <v>3900</v>
      </c>
      <c r="Q1472" t="s">
        <v>6494</v>
      </c>
      <c r="R1472">
        <f>1</f>
        <v>1</v>
      </c>
      <c r="S1472">
        <f>10.1</f>
        <v>10.1</v>
      </c>
      <c r="T1472">
        <f>7.7</f>
        <v>7.7</v>
      </c>
      <c r="U1472">
        <f>371</f>
        <v>371</v>
      </c>
      <c r="V1472">
        <f>0.25</f>
        <v>0.25</v>
      </c>
      <c r="X1472">
        <f>0</f>
        <v>0</v>
      </c>
      <c r="Y1472">
        <f>0.02</f>
        <v>0.02</v>
      </c>
      <c r="Z1472">
        <f>0</f>
        <v>0</v>
      </c>
      <c r="AA1472">
        <f>4</f>
        <v>4</v>
      </c>
      <c r="AB1472">
        <f>2</f>
        <v>2</v>
      </c>
      <c r="AC1472">
        <f>0</f>
        <v>0</v>
      </c>
      <c r="AD1472">
        <f>0</f>
        <v>0</v>
      </c>
      <c r="AE1472">
        <f>0</f>
        <v>0</v>
      </c>
      <c r="AH1472" t="s">
        <v>157</v>
      </c>
    </row>
    <row r="1473" spans="1:54" x14ac:dyDescent="0.25">
      <c r="A1473" t="s">
        <v>3987</v>
      </c>
      <c r="B1473" t="s">
        <v>148</v>
      </c>
      <c r="C1473" s="1">
        <v>45898</v>
      </c>
      <c r="D1473" t="s">
        <v>189</v>
      </c>
      <c r="E1473" t="s">
        <v>284</v>
      </c>
      <c r="F1473" t="s">
        <v>665</v>
      </c>
      <c r="G1473" t="s">
        <v>666</v>
      </c>
      <c r="H1473">
        <v>193</v>
      </c>
      <c r="I1473" t="s">
        <v>666</v>
      </c>
      <c r="J1473">
        <v>10226</v>
      </c>
      <c r="K1473" t="s">
        <v>5257</v>
      </c>
      <c r="L1473" t="s">
        <v>387</v>
      </c>
      <c r="M1473" t="s">
        <v>5904</v>
      </c>
      <c r="N1473" t="s">
        <v>5905</v>
      </c>
      <c r="O1473" t="s">
        <v>1182</v>
      </c>
      <c r="R1473">
        <f>1</f>
        <v>1</v>
      </c>
      <c r="S1473">
        <f>22.3</f>
        <v>22.3</v>
      </c>
      <c r="T1473">
        <f>8</f>
        <v>8</v>
      </c>
      <c r="U1473">
        <f>327</f>
        <v>327</v>
      </c>
      <c r="X1473">
        <f>0</f>
        <v>0</v>
      </c>
      <c r="Y1473">
        <f>0.03</f>
        <v>0.03</v>
      </c>
      <c r="Z1473">
        <f>0</f>
        <v>0</v>
      </c>
      <c r="AA1473">
        <f>3</f>
        <v>3</v>
      </c>
      <c r="AB1473">
        <f>1</f>
        <v>1</v>
      </c>
      <c r="AC1473">
        <f>0</f>
        <v>0</v>
      </c>
      <c r="AD1473">
        <f>0</f>
        <v>0</v>
      </c>
      <c r="AE1473">
        <f>0</f>
        <v>0</v>
      </c>
      <c r="AH1473" t="s">
        <v>157</v>
      </c>
    </row>
    <row r="1474" spans="1:54" x14ac:dyDescent="0.25">
      <c r="A1474" t="s">
        <v>3988</v>
      </c>
      <c r="B1474" t="s">
        <v>148</v>
      </c>
      <c r="C1474" s="1">
        <v>45729</v>
      </c>
      <c r="D1474" t="s">
        <v>189</v>
      </c>
      <c r="E1474" t="s">
        <v>190</v>
      </c>
      <c r="F1474" t="s">
        <v>5849</v>
      </c>
      <c r="G1474" t="s">
        <v>711</v>
      </c>
      <c r="H1474">
        <v>328</v>
      </c>
      <c r="I1474" t="s">
        <v>711</v>
      </c>
      <c r="J1474">
        <v>19000</v>
      </c>
      <c r="K1474" t="s">
        <v>5257</v>
      </c>
      <c r="L1474" t="s">
        <v>712</v>
      </c>
      <c r="M1474" t="s">
        <v>6561</v>
      </c>
      <c r="N1474" t="s">
        <v>4719</v>
      </c>
      <c r="O1474" t="s">
        <v>713</v>
      </c>
      <c r="R1474">
        <f>1</f>
        <v>1</v>
      </c>
      <c r="S1474">
        <f>10.8</f>
        <v>10.8</v>
      </c>
      <c r="T1474">
        <f>7.8</f>
        <v>7.8</v>
      </c>
      <c r="U1474">
        <f>507</f>
        <v>507</v>
      </c>
      <c r="V1474">
        <f>0.18</f>
        <v>0.18</v>
      </c>
      <c r="X1474">
        <f>0</f>
        <v>0</v>
      </c>
      <c r="Y1474">
        <f>0.37</f>
        <v>0.37</v>
      </c>
      <c r="Z1474">
        <f>0</f>
        <v>0</v>
      </c>
      <c r="AA1474">
        <f>3</f>
        <v>3</v>
      </c>
      <c r="AB1474">
        <f>2</f>
        <v>2</v>
      </c>
      <c r="AC1474">
        <f>0</f>
        <v>0</v>
      </c>
      <c r="AD1474">
        <f>0</f>
        <v>0</v>
      </c>
      <c r="AE1474">
        <f>0</f>
        <v>0</v>
      </c>
      <c r="AH1474" t="s">
        <v>157</v>
      </c>
    </row>
    <row r="1475" spans="1:54" x14ac:dyDescent="0.25">
      <c r="A1475" t="s">
        <v>3989</v>
      </c>
      <c r="B1475" t="s">
        <v>148</v>
      </c>
      <c r="C1475" s="1">
        <v>45867</v>
      </c>
      <c r="D1475" t="s">
        <v>189</v>
      </c>
      <c r="E1475" t="s">
        <v>190</v>
      </c>
      <c r="F1475" t="s">
        <v>5849</v>
      </c>
      <c r="G1475" t="s">
        <v>711</v>
      </c>
      <c r="H1475">
        <v>328</v>
      </c>
      <c r="I1475" t="s">
        <v>711</v>
      </c>
      <c r="J1475">
        <v>19000</v>
      </c>
      <c r="K1475" t="s">
        <v>5257</v>
      </c>
      <c r="L1475" t="s">
        <v>712</v>
      </c>
      <c r="M1475" t="s">
        <v>715</v>
      </c>
      <c r="N1475" t="s">
        <v>716</v>
      </c>
      <c r="O1475" t="s">
        <v>717</v>
      </c>
      <c r="R1475">
        <f>1</f>
        <v>1</v>
      </c>
      <c r="S1475">
        <f>23.1</f>
        <v>23.1</v>
      </c>
      <c r="T1475">
        <f>7.7</f>
        <v>7.7</v>
      </c>
      <c r="U1475">
        <f>356</f>
        <v>356</v>
      </c>
      <c r="V1475" t="s">
        <v>1723</v>
      </c>
      <c r="X1475">
        <f>0</f>
        <v>0</v>
      </c>
      <c r="Y1475">
        <f>0.16</f>
        <v>0.16</v>
      </c>
      <c r="Z1475">
        <f>0</f>
        <v>0</v>
      </c>
      <c r="AA1475">
        <f>8</f>
        <v>8</v>
      </c>
      <c r="AB1475">
        <f>64</f>
        <v>64</v>
      </c>
      <c r="AC1475">
        <f>0</f>
        <v>0</v>
      </c>
      <c r="AD1475">
        <f>0</f>
        <v>0</v>
      </c>
      <c r="AE1475">
        <f>0</f>
        <v>0</v>
      </c>
      <c r="AH1475" t="s">
        <v>157</v>
      </c>
    </row>
    <row r="1476" spans="1:54" x14ac:dyDescent="0.25">
      <c r="A1476" t="s">
        <v>3990</v>
      </c>
      <c r="B1476" t="s">
        <v>148</v>
      </c>
      <c r="C1476" s="1">
        <v>45729</v>
      </c>
      <c r="D1476" t="s">
        <v>189</v>
      </c>
      <c r="E1476" t="s">
        <v>190</v>
      </c>
      <c r="F1476" t="s">
        <v>5849</v>
      </c>
      <c r="G1476" t="s">
        <v>711</v>
      </c>
      <c r="H1476">
        <v>328</v>
      </c>
      <c r="I1476" t="s">
        <v>711</v>
      </c>
      <c r="J1476">
        <v>19000</v>
      </c>
      <c r="K1476" t="s">
        <v>5257</v>
      </c>
      <c r="L1476" t="s">
        <v>712</v>
      </c>
      <c r="M1476" t="s">
        <v>719</v>
      </c>
      <c r="N1476" t="s">
        <v>6562</v>
      </c>
      <c r="O1476" t="s">
        <v>720</v>
      </c>
      <c r="R1476">
        <f>1</f>
        <v>1</v>
      </c>
      <c r="S1476">
        <f>12.1</f>
        <v>12.1</v>
      </c>
      <c r="T1476">
        <f>7.7</f>
        <v>7.7</v>
      </c>
      <c r="U1476">
        <f>515</f>
        <v>515</v>
      </c>
      <c r="X1476">
        <f>0</f>
        <v>0</v>
      </c>
      <c r="Y1476">
        <f>0.34</f>
        <v>0.34</v>
      </c>
      <c r="Z1476">
        <f>0</f>
        <v>0</v>
      </c>
      <c r="AA1476">
        <f>0</f>
        <v>0</v>
      </c>
      <c r="AB1476">
        <f>0</f>
        <v>0</v>
      </c>
      <c r="AC1476">
        <f>0</f>
        <v>0</v>
      </c>
      <c r="AD1476">
        <f>0</f>
        <v>0</v>
      </c>
      <c r="AE1476">
        <f>0</f>
        <v>0</v>
      </c>
      <c r="AH1476" t="s">
        <v>157</v>
      </c>
    </row>
    <row r="1477" spans="1:54" x14ac:dyDescent="0.25">
      <c r="A1477" t="s">
        <v>3991</v>
      </c>
      <c r="B1477" t="s">
        <v>148</v>
      </c>
      <c r="C1477" s="1">
        <v>45824</v>
      </c>
      <c r="D1477" t="s">
        <v>317</v>
      </c>
      <c r="E1477" t="s">
        <v>318</v>
      </c>
      <c r="F1477" t="s">
        <v>325</v>
      </c>
      <c r="G1477" t="s">
        <v>725</v>
      </c>
      <c r="H1477">
        <v>79</v>
      </c>
      <c r="I1477" t="s">
        <v>725</v>
      </c>
      <c r="J1477">
        <v>2522</v>
      </c>
      <c r="K1477" t="s">
        <v>5257</v>
      </c>
      <c r="L1477" t="s">
        <v>726</v>
      </c>
      <c r="M1477" t="s">
        <v>5320</v>
      </c>
      <c r="N1477" t="s">
        <v>727</v>
      </c>
      <c r="O1477" t="s">
        <v>728</v>
      </c>
      <c r="Q1477" t="s">
        <v>329</v>
      </c>
      <c r="R1477">
        <f>1</f>
        <v>1</v>
      </c>
      <c r="S1477">
        <f>11.3</f>
        <v>11.3</v>
      </c>
      <c r="T1477">
        <f>7.9</f>
        <v>7.9</v>
      </c>
      <c r="U1477">
        <f>243</f>
        <v>243</v>
      </c>
      <c r="X1477">
        <f>0</f>
        <v>0</v>
      </c>
      <c r="Y1477" t="s">
        <v>157</v>
      </c>
      <c r="Z1477">
        <f>0</f>
        <v>0</v>
      </c>
      <c r="AA1477">
        <f>0</f>
        <v>0</v>
      </c>
      <c r="AB1477">
        <f>0</f>
        <v>0</v>
      </c>
      <c r="AC1477">
        <f>0</f>
        <v>0</v>
      </c>
      <c r="AD1477">
        <f>0</f>
        <v>0</v>
      </c>
      <c r="AE1477">
        <f>0</f>
        <v>0</v>
      </c>
      <c r="AH1477" t="s">
        <v>157</v>
      </c>
    </row>
    <row r="1478" spans="1:54" x14ac:dyDescent="0.25">
      <c r="A1478" t="s">
        <v>3992</v>
      </c>
      <c r="B1478" t="s">
        <v>148</v>
      </c>
      <c r="C1478" s="1">
        <v>45845</v>
      </c>
      <c r="D1478" t="s">
        <v>618</v>
      </c>
      <c r="E1478" t="s">
        <v>619</v>
      </c>
      <c r="F1478" t="s">
        <v>730</v>
      </c>
      <c r="G1478" t="s">
        <v>731</v>
      </c>
      <c r="H1478">
        <v>817</v>
      </c>
      <c r="I1478" t="s">
        <v>5920</v>
      </c>
      <c r="J1478">
        <v>2000</v>
      </c>
      <c r="K1478" t="s">
        <v>5254</v>
      </c>
      <c r="L1478" t="s">
        <v>387</v>
      </c>
      <c r="M1478" t="s">
        <v>5921</v>
      </c>
      <c r="N1478" t="s">
        <v>5922</v>
      </c>
      <c r="O1478" t="s">
        <v>1245</v>
      </c>
      <c r="R1478">
        <f>1</f>
        <v>1</v>
      </c>
      <c r="S1478">
        <f>19.1</f>
        <v>19.100000000000001</v>
      </c>
      <c r="T1478">
        <f>7.6</f>
        <v>7.6</v>
      </c>
      <c r="U1478">
        <f>356</f>
        <v>356</v>
      </c>
      <c r="X1478">
        <f>0</f>
        <v>0</v>
      </c>
      <c r="Y1478">
        <f>0.1</f>
        <v>0.1</v>
      </c>
      <c r="Z1478">
        <f>0</f>
        <v>0</v>
      </c>
      <c r="AA1478" t="s">
        <v>158</v>
      </c>
      <c r="AB1478" t="s">
        <v>158</v>
      </c>
      <c r="AD1478">
        <f>0</f>
        <v>0</v>
      </c>
      <c r="AE1478">
        <f>0</f>
        <v>0</v>
      </c>
      <c r="AH1478" t="s">
        <v>157</v>
      </c>
    </row>
    <row r="1479" spans="1:54" x14ac:dyDescent="0.25">
      <c r="A1479" t="s">
        <v>3993</v>
      </c>
      <c r="B1479" t="s">
        <v>148</v>
      </c>
      <c r="C1479" s="1">
        <v>45845</v>
      </c>
      <c r="D1479" t="s">
        <v>618</v>
      </c>
      <c r="E1479" t="s">
        <v>619</v>
      </c>
      <c r="F1479" t="s">
        <v>730</v>
      </c>
      <c r="G1479" t="s">
        <v>731</v>
      </c>
      <c r="H1479">
        <v>818</v>
      </c>
      <c r="I1479" t="s">
        <v>731</v>
      </c>
      <c r="J1479">
        <v>7500</v>
      </c>
      <c r="K1479" t="s">
        <v>5254</v>
      </c>
      <c r="L1479" t="s">
        <v>387</v>
      </c>
      <c r="M1479" t="s">
        <v>5852</v>
      </c>
      <c r="N1479" t="s">
        <v>732</v>
      </c>
      <c r="O1479" t="s">
        <v>733</v>
      </c>
      <c r="R1479">
        <f>1</f>
        <v>1</v>
      </c>
      <c r="S1479">
        <f>19.8</f>
        <v>19.8</v>
      </c>
      <c r="T1479">
        <f>7.3</f>
        <v>7.3</v>
      </c>
      <c r="U1479">
        <f>354</f>
        <v>354</v>
      </c>
      <c r="X1479">
        <f>0</f>
        <v>0</v>
      </c>
      <c r="Y1479">
        <f>0.1</f>
        <v>0.1</v>
      </c>
      <c r="Z1479">
        <f>0</f>
        <v>0</v>
      </c>
      <c r="AA1479" t="s">
        <v>158</v>
      </c>
      <c r="AB1479" t="s">
        <v>158</v>
      </c>
      <c r="AD1479">
        <f>0</f>
        <v>0</v>
      </c>
      <c r="AE1479">
        <f>0</f>
        <v>0</v>
      </c>
      <c r="AH1479" t="s">
        <v>157</v>
      </c>
    </row>
    <row r="1480" spans="1:54" x14ac:dyDescent="0.25">
      <c r="A1480" t="s">
        <v>3994</v>
      </c>
      <c r="B1480" t="s">
        <v>148</v>
      </c>
      <c r="C1480" s="1">
        <v>45894</v>
      </c>
      <c r="D1480" t="s">
        <v>317</v>
      </c>
      <c r="E1480" t="s">
        <v>318</v>
      </c>
      <c r="F1480" t="s">
        <v>6564</v>
      </c>
      <c r="G1480" t="s">
        <v>6565</v>
      </c>
      <c r="H1480">
        <v>83</v>
      </c>
      <c r="I1480" t="s">
        <v>6565</v>
      </c>
      <c r="J1480">
        <v>1333</v>
      </c>
      <c r="K1480" t="s">
        <v>5254</v>
      </c>
      <c r="L1480" t="s">
        <v>180</v>
      </c>
      <c r="M1480" t="s">
        <v>735</v>
      </c>
      <c r="N1480" t="s">
        <v>4721</v>
      </c>
      <c r="O1480" t="s">
        <v>736</v>
      </c>
      <c r="Q1480" t="s">
        <v>6301</v>
      </c>
      <c r="R1480">
        <f>1</f>
        <v>1</v>
      </c>
      <c r="S1480">
        <f>12.8</f>
        <v>12.8</v>
      </c>
      <c r="T1480">
        <f>7.9</f>
        <v>7.9</v>
      </c>
      <c r="U1480">
        <f>209</f>
        <v>209</v>
      </c>
      <c r="X1480">
        <f>0</f>
        <v>0</v>
      </c>
      <c r="Y1480" t="s">
        <v>157</v>
      </c>
      <c r="Z1480">
        <f>0</f>
        <v>0</v>
      </c>
      <c r="AA1480">
        <f>1</f>
        <v>1</v>
      </c>
      <c r="AB1480">
        <f>0</f>
        <v>0</v>
      </c>
      <c r="AD1480">
        <f>0</f>
        <v>0</v>
      </c>
      <c r="AE1480">
        <f>0</f>
        <v>0</v>
      </c>
      <c r="AH1480" t="s">
        <v>157</v>
      </c>
    </row>
    <row r="1481" spans="1:54" x14ac:dyDescent="0.25">
      <c r="A1481" t="s">
        <v>3995</v>
      </c>
      <c r="B1481" t="s">
        <v>148</v>
      </c>
      <c r="C1481" s="1">
        <v>45882</v>
      </c>
      <c r="D1481" t="s">
        <v>269</v>
      </c>
      <c r="E1481" t="s">
        <v>295</v>
      </c>
      <c r="F1481" t="s">
        <v>331</v>
      </c>
      <c r="G1481" t="s">
        <v>742</v>
      </c>
      <c r="H1481">
        <v>225</v>
      </c>
      <c r="I1481" t="s">
        <v>743</v>
      </c>
      <c r="J1481">
        <v>2476</v>
      </c>
      <c r="K1481" t="s">
        <v>5254</v>
      </c>
      <c r="L1481" t="s">
        <v>154</v>
      </c>
      <c r="M1481" t="s">
        <v>5104</v>
      </c>
      <c r="N1481" t="s">
        <v>5321</v>
      </c>
      <c r="O1481" t="s">
        <v>744</v>
      </c>
      <c r="R1481">
        <f>1</f>
        <v>1</v>
      </c>
      <c r="S1481">
        <f>23.3</f>
        <v>23.3</v>
      </c>
      <c r="T1481">
        <f>7.7</f>
        <v>7.7</v>
      </c>
      <c r="U1481">
        <f>386</f>
        <v>386</v>
      </c>
      <c r="V1481">
        <f>0.08</f>
        <v>0.08</v>
      </c>
      <c r="X1481">
        <f>0</f>
        <v>0</v>
      </c>
      <c r="Y1481">
        <f>0.63</f>
        <v>0.63</v>
      </c>
      <c r="Z1481">
        <f>0</f>
        <v>0</v>
      </c>
      <c r="AA1481">
        <f>31</f>
        <v>31</v>
      </c>
      <c r="AB1481">
        <f>29</f>
        <v>29</v>
      </c>
      <c r="AD1481">
        <f>0</f>
        <v>0</v>
      </c>
      <c r="AE1481">
        <f>0</f>
        <v>0</v>
      </c>
      <c r="AH1481" t="s">
        <v>166</v>
      </c>
    </row>
    <row r="1482" spans="1:54" x14ac:dyDescent="0.25">
      <c r="A1482" t="s">
        <v>3996</v>
      </c>
      <c r="B1482" t="s">
        <v>148</v>
      </c>
      <c r="C1482" s="1">
        <v>45770</v>
      </c>
      <c r="D1482" t="s">
        <v>311</v>
      </c>
      <c r="E1482" t="s">
        <v>312</v>
      </c>
      <c r="F1482" t="s">
        <v>424</v>
      </c>
      <c r="G1482" t="s">
        <v>425</v>
      </c>
      <c r="H1482">
        <v>802</v>
      </c>
      <c r="I1482" t="s">
        <v>4733</v>
      </c>
      <c r="J1482">
        <v>7796</v>
      </c>
      <c r="K1482" t="s">
        <v>5254</v>
      </c>
      <c r="L1482" t="s">
        <v>439</v>
      </c>
      <c r="M1482" t="s">
        <v>6217</v>
      </c>
      <c r="N1482" t="s">
        <v>3997</v>
      </c>
      <c r="O1482" t="s">
        <v>3998</v>
      </c>
      <c r="R1482">
        <f>1</f>
        <v>1</v>
      </c>
      <c r="S1482">
        <f>14.5</f>
        <v>14.5</v>
      </c>
      <c r="T1482">
        <f>7.3</f>
        <v>7.3</v>
      </c>
      <c r="U1482">
        <f>520</f>
        <v>520</v>
      </c>
      <c r="V1482" t="s">
        <v>209</v>
      </c>
      <c r="X1482">
        <f>0</f>
        <v>0</v>
      </c>
      <c r="Y1482" t="s">
        <v>157</v>
      </c>
      <c r="Z1482">
        <f>0</f>
        <v>0</v>
      </c>
      <c r="AA1482" t="s">
        <v>158</v>
      </c>
      <c r="AB1482" t="s">
        <v>158</v>
      </c>
      <c r="AD1482">
        <f>0</f>
        <v>0</v>
      </c>
      <c r="AE1482">
        <f>0</f>
        <v>0</v>
      </c>
      <c r="AH1482" t="s">
        <v>157</v>
      </c>
    </row>
    <row r="1483" spans="1:54" x14ac:dyDescent="0.25">
      <c r="A1483" t="s">
        <v>3999</v>
      </c>
      <c r="B1483" t="s">
        <v>148</v>
      </c>
      <c r="C1483" s="1">
        <v>45894</v>
      </c>
      <c r="D1483" t="s">
        <v>269</v>
      </c>
      <c r="E1483" t="s">
        <v>270</v>
      </c>
      <c r="F1483" t="s">
        <v>754</v>
      </c>
      <c r="G1483" t="s">
        <v>755</v>
      </c>
      <c r="H1483">
        <v>135</v>
      </c>
      <c r="I1483" t="s">
        <v>755</v>
      </c>
      <c r="J1483">
        <v>10755</v>
      </c>
      <c r="K1483" t="s">
        <v>5254</v>
      </c>
      <c r="L1483" t="s">
        <v>154</v>
      </c>
      <c r="M1483" t="s">
        <v>6194</v>
      </c>
      <c r="N1483" t="s">
        <v>4908</v>
      </c>
      <c r="O1483" t="s">
        <v>3428</v>
      </c>
      <c r="R1483">
        <f>1</f>
        <v>1</v>
      </c>
      <c r="S1483">
        <f>18.6</f>
        <v>18.600000000000001</v>
      </c>
      <c r="T1483">
        <f>7.1</f>
        <v>7.1</v>
      </c>
      <c r="U1483">
        <f>621</f>
        <v>621</v>
      </c>
      <c r="X1483">
        <f>0</f>
        <v>0</v>
      </c>
      <c r="Y1483">
        <f>0.11</f>
        <v>0.11</v>
      </c>
      <c r="Z1483">
        <f>0</f>
        <v>0</v>
      </c>
      <c r="AA1483" t="s">
        <v>158</v>
      </c>
      <c r="AB1483" t="s">
        <v>158</v>
      </c>
      <c r="AD1483">
        <f>0</f>
        <v>0</v>
      </c>
      <c r="AE1483">
        <f>0</f>
        <v>0</v>
      </c>
      <c r="AH1483" t="s">
        <v>166</v>
      </c>
    </row>
    <row r="1484" spans="1:54" x14ac:dyDescent="0.25">
      <c r="A1484" t="s">
        <v>4000</v>
      </c>
      <c r="B1484" t="s">
        <v>148</v>
      </c>
      <c r="C1484" s="1">
        <v>45764</v>
      </c>
      <c r="D1484" t="s">
        <v>242</v>
      </c>
      <c r="E1484" t="s">
        <v>243</v>
      </c>
      <c r="F1484" t="s">
        <v>884</v>
      </c>
      <c r="G1484" t="s">
        <v>6579</v>
      </c>
      <c r="H1484">
        <v>1810</v>
      </c>
      <c r="I1484" t="s">
        <v>3532</v>
      </c>
      <c r="J1484">
        <v>1263</v>
      </c>
      <c r="K1484" t="s">
        <v>5254</v>
      </c>
      <c r="L1484" t="s">
        <v>393</v>
      </c>
      <c r="M1484" t="s">
        <v>3533</v>
      </c>
      <c r="N1484" t="s">
        <v>3534</v>
      </c>
      <c r="O1484" t="s">
        <v>3535</v>
      </c>
      <c r="R1484">
        <f>1</f>
        <v>1</v>
      </c>
      <c r="S1484">
        <f>13.7</f>
        <v>13.7</v>
      </c>
      <c r="T1484">
        <f>7.9</f>
        <v>7.9</v>
      </c>
      <c r="U1484">
        <f>221</f>
        <v>221</v>
      </c>
      <c r="V1484">
        <f>0.25</f>
        <v>0.25</v>
      </c>
      <c r="X1484">
        <f>0</f>
        <v>0</v>
      </c>
      <c r="Y1484">
        <f>0.3</f>
        <v>0.3</v>
      </c>
      <c r="Z1484">
        <f>0</f>
        <v>0</v>
      </c>
      <c r="AA1484" t="s">
        <v>158</v>
      </c>
      <c r="AB1484" t="s">
        <v>158</v>
      </c>
      <c r="AD1484">
        <f>0</f>
        <v>0</v>
      </c>
      <c r="AE1484">
        <f>0</f>
        <v>0</v>
      </c>
      <c r="AH1484" t="s">
        <v>157</v>
      </c>
    </row>
    <row r="1485" spans="1:54" x14ac:dyDescent="0.25">
      <c r="A1485" t="s">
        <v>4001</v>
      </c>
      <c r="B1485" t="s">
        <v>148</v>
      </c>
      <c r="C1485" s="1">
        <v>45817</v>
      </c>
      <c r="D1485" t="s">
        <v>222</v>
      </c>
      <c r="E1485" t="s">
        <v>223</v>
      </c>
      <c r="F1485" t="s">
        <v>4723</v>
      </c>
      <c r="G1485" t="s">
        <v>769</v>
      </c>
      <c r="H1485">
        <v>245</v>
      </c>
      <c r="I1485" t="s">
        <v>770</v>
      </c>
      <c r="J1485">
        <v>1030</v>
      </c>
      <c r="K1485" t="s">
        <v>5257</v>
      </c>
      <c r="L1485" t="s">
        <v>771</v>
      </c>
      <c r="M1485" t="s">
        <v>5323</v>
      </c>
      <c r="N1485" t="s">
        <v>772</v>
      </c>
      <c r="O1485" t="s">
        <v>773</v>
      </c>
      <c r="Q1485" t="s">
        <v>6298</v>
      </c>
      <c r="R1485">
        <f>1</f>
        <v>1</v>
      </c>
      <c r="S1485">
        <f>17.7</f>
        <v>17.7</v>
      </c>
      <c r="T1485">
        <f>8</f>
        <v>8</v>
      </c>
      <c r="U1485">
        <f>232</f>
        <v>232</v>
      </c>
      <c r="V1485">
        <f>0.11</f>
        <v>0.11</v>
      </c>
      <c r="X1485">
        <f>1</f>
        <v>1</v>
      </c>
      <c r="Y1485">
        <f>0.09</f>
        <v>0.09</v>
      </c>
      <c r="Z1485">
        <f>0</f>
        <v>0</v>
      </c>
      <c r="AA1485">
        <f>0</f>
        <v>0</v>
      </c>
      <c r="AB1485">
        <f>0</f>
        <v>0</v>
      </c>
      <c r="AC1485">
        <f>0</f>
        <v>0</v>
      </c>
      <c r="AD1485">
        <f>0</f>
        <v>0</v>
      </c>
      <c r="AE1485">
        <f>0</f>
        <v>0</v>
      </c>
      <c r="AH1485" t="s">
        <v>166</v>
      </c>
      <c r="BB1485">
        <f>46</f>
        <v>46</v>
      </c>
    </row>
    <row r="1486" spans="1:54" x14ac:dyDescent="0.25">
      <c r="A1486" t="s">
        <v>4002</v>
      </c>
      <c r="B1486" t="s">
        <v>148</v>
      </c>
      <c r="C1486" s="1">
        <v>45811</v>
      </c>
      <c r="D1486" t="s">
        <v>222</v>
      </c>
      <c r="E1486" t="s">
        <v>223</v>
      </c>
      <c r="F1486" t="s">
        <v>469</v>
      </c>
      <c r="G1486" t="s">
        <v>775</v>
      </c>
      <c r="H1486">
        <v>247</v>
      </c>
      <c r="I1486" t="s">
        <v>775</v>
      </c>
      <c r="J1486">
        <v>514</v>
      </c>
      <c r="K1486" t="s">
        <v>5257</v>
      </c>
      <c r="L1486" t="s">
        <v>431</v>
      </c>
      <c r="M1486" t="s">
        <v>5323</v>
      </c>
      <c r="N1486" t="s">
        <v>776</v>
      </c>
      <c r="O1486" t="s">
        <v>777</v>
      </c>
      <c r="Q1486" t="s">
        <v>6321</v>
      </c>
      <c r="R1486">
        <f>1</f>
        <v>1</v>
      </c>
      <c r="S1486">
        <f>17.8</f>
        <v>17.8</v>
      </c>
      <c r="T1486">
        <f>8</f>
        <v>8</v>
      </c>
      <c r="U1486">
        <f>199</f>
        <v>199</v>
      </c>
      <c r="V1486">
        <f>0.09</f>
        <v>0.09</v>
      </c>
      <c r="X1486">
        <f>1</f>
        <v>1</v>
      </c>
      <c r="Y1486">
        <f>0.09</f>
        <v>0.09</v>
      </c>
      <c r="Z1486">
        <f>0</f>
        <v>0</v>
      </c>
      <c r="AA1486">
        <f>0</f>
        <v>0</v>
      </c>
      <c r="AB1486">
        <f>0</f>
        <v>0</v>
      </c>
      <c r="AC1486">
        <f>0</f>
        <v>0</v>
      </c>
      <c r="AD1486">
        <f>0</f>
        <v>0</v>
      </c>
      <c r="AE1486">
        <f>0</f>
        <v>0</v>
      </c>
      <c r="AH1486" t="s">
        <v>166</v>
      </c>
    </row>
    <row r="1487" spans="1:54" x14ac:dyDescent="0.25">
      <c r="A1487" t="s">
        <v>4003</v>
      </c>
      <c r="B1487" t="s">
        <v>148</v>
      </c>
      <c r="C1487" s="1">
        <v>45720</v>
      </c>
      <c r="D1487" t="s">
        <v>618</v>
      </c>
      <c r="E1487" t="s">
        <v>619</v>
      </c>
      <c r="F1487" t="s">
        <v>5317</v>
      </c>
      <c r="G1487" t="s">
        <v>5859</v>
      </c>
      <c r="H1487">
        <v>22</v>
      </c>
      <c r="I1487" t="s">
        <v>3537</v>
      </c>
      <c r="J1487">
        <v>4399</v>
      </c>
      <c r="K1487" t="s">
        <v>5254</v>
      </c>
      <c r="L1487" t="s">
        <v>387</v>
      </c>
      <c r="M1487" t="s">
        <v>6815</v>
      </c>
      <c r="N1487" t="s">
        <v>3538</v>
      </c>
      <c r="O1487" t="s">
        <v>3539</v>
      </c>
      <c r="R1487">
        <f>1</f>
        <v>1</v>
      </c>
      <c r="S1487">
        <f>7.5</f>
        <v>7.5</v>
      </c>
      <c r="T1487">
        <f>7.9</f>
        <v>7.9</v>
      </c>
      <c r="U1487">
        <f>198</f>
        <v>198</v>
      </c>
      <c r="V1487" t="s">
        <v>157</v>
      </c>
      <c r="X1487">
        <f>0</f>
        <v>0</v>
      </c>
      <c r="Y1487">
        <f>0.1</f>
        <v>0.1</v>
      </c>
      <c r="Z1487">
        <f>0</f>
        <v>0</v>
      </c>
      <c r="AA1487" t="s">
        <v>158</v>
      </c>
      <c r="AB1487" t="s">
        <v>158</v>
      </c>
      <c r="AD1487">
        <f>0</f>
        <v>0</v>
      </c>
      <c r="AE1487">
        <f>0</f>
        <v>0</v>
      </c>
      <c r="AH1487" t="s">
        <v>157</v>
      </c>
    </row>
    <row r="1488" spans="1:54" x14ac:dyDescent="0.25">
      <c r="A1488" t="s">
        <v>4004</v>
      </c>
      <c r="B1488" t="s">
        <v>148</v>
      </c>
      <c r="C1488" s="1">
        <v>45813</v>
      </c>
      <c r="D1488" t="s">
        <v>222</v>
      </c>
      <c r="E1488" t="s">
        <v>223</v>
      </c>
      <c r="F1488" t="s">
        <v>469</v>
      </c>
      <c r="G1488" t="s">
        <v>789</v>
      </c>
      <c r="H1488">
        <v>417</v>
      </c>
      <c r="I1488" t="s">
        <v>789</v>
      </c>
      <c r="J1488">
        <v>752</v>
      </c>
      <c r="K1488" t="s">
        <v>5257</v>
      </c>
      <c r="L1488" t="s">
        <v>393</v>
      </c>
      <c r="M1488" t="s">
        <v>790</v>
      </c>
      <c r="N1488" t="s">
        <v>791</v>
      </c>
      <c r="O1488" t="s">
        <v>792</v>
      </c>
      <c r="Q1488" t="s">
        <v>6495</v>
      </c>
      <c r="R1488">
        <f>1</f>
        <v>1</v>
      </c>
      <c r="S1488">
        <f>12.1</f>
        <v>12.1</v>
      </c>
      <c r="T1488">
        <f>8.2</f>
        <v>8.1999999999999993</v>
      </c>
      <c r="U1488">
        <f>199</f>
        <v>199</v>
      </c>
      <c r="X1488">
        <f>1</f>
        <v>1</v>
      </c>
      <c r="Y1488">
        <f>0.13</f>
        <v>0.13</v>
      </c>
      <c r="Z1488">
        <f>0</f>
        <v>0</v>
      </c>
      <c r="AA1488">
        <f>0</f>
        <v>0</v>
      </c>
      <c r="AB1488">
        <f>0</f>
        <v>0</v>
      </c>
      <c r="AC1488">
        <f>0</f>
        <v>0</v>
      </c>
      <c r="AD1488">
        <f>0</f>
        <v>0</v>
      </c>
      <c r="AE1488">
        <f>0</f>
        <v>0</v>
      </c>
      <c r="AH1488" t="s">
        <v>166</v>
      </c>
    </row>
    <row r="1489" spans="1:150" x14ac:dyDescent="0.25">
      <c r="A1489" t="s">
        <v>4005</v>
      </c>
      <c r="B1489" t="s">
        <v>148</v>
      </c>
      <c r="C1489" s="1">
        <v>45868</v>
      </c>
      <c r="D1489" t="s">
        <v>317</v>
      </c>
      <c r="E1489" t="s">
        <v>318</v>
      </c>
      <c r="F1489" t="s">
        <v>360</v>
      </c>
      <c r="G1489" t="s">
        <v>801</v>
      </c>
      <c r="H1489">
        <v>339</v>
      </c>
      <c r="I1489" t="s">
        <v>801</v>
      </c>
      <c r="J1489">
        <v>6803</v>
      </c>
      <c r="K1489" t="s">
        <v>5331</v>
      </c>
      <c r="L1489" t="s">
        <v>350</v>
      </c>
      <c r="M1489" t="s">
        <v>804</v>
      </c>
      <c r="N1489" t="s">
        <v>805</v>
      </c>
      <c r="O1489" t="s">
        <v>806</v>
      </c>
      <c r="Q1489" t="s">
        <v>6496</v>
      </c>
      <c r="R1489">
        <f>1</f>
        <v>1</v>
      </c>
      <c r="S1489">
        <f>14.2</f>
        <v>14.2</v>
      </c>
      <c r="T1489">
        <f>8</f>
        <v>8</v>
      </c>
      <c r="U1489">
        <f>280</f>
        <v>280</v>
      </c>
      <c r="V1489" t="s">
        <v>209</v>
      </c>
      <c r="X1489">
        <f>0</f>
        <v>0</v>
      </c>
      <c r="Y1489" t="s">
        <v>157</v>
      </c>
      <c r="Z1489">
        <f>0</f>
        <v>0</v>
      </c>
      <c r="AA1489">
        <f>2</f>
        <v>2</v>
      </c>
      <c r="AB1489">
        <f>0</f>
        <v>0</v>
      </c>
      <c r="AC1489">
        <f>0</f>
        <v>0</v>
      </c>
      <c r="AD1489">
        <f>0</f>
        <v>0</v>
      </c>
      <c r="AE1489">
        <f>0</f>
        <v>0</v>
      </c>
      <c r="AH1489" t="s">
        <v>157</v>
      </c>
    </row>
    <row r="1490" spans="1:150" x14ac:dyDescent="0.25">
      <c r="A1490" t="s">
        <v>4006</v>
      </c>
      <c r="B1490" t="s">
        <v>148</v>
      </c>
      <c r="C1490" s="1">
        <v>45820</v>
      </c>
      <c r="D1490" t="s">
        <v>175</v>
      </c>
      <c r="E1490" t="s">
        <v>176</v>
      </c>
      <c r="F1490" t="s">
        <v>370</v>
      </c>
      <c r="G1490" t="s">
        <v>6571</v>
      </c>
      <c r="H1490">
        <v>336</v>
      </c>
      <c r="I1490" t="s">
        <v>6572</v>
      </c>
      <c r="J1490">
        <v>7857</v>
      </c>
      <c r="K1490" t="s">
        <v>5254</v>
      </c>
      <c r="L1490" t="s">
        <v>4966</v>
      </c>
      <c r="M1490" t="s">
        <v>5337</v>
      </c>
      <c r="N1490" t="s">
        <v>819</v>
      </c>
      <c r="O1490" t="s">
        <v>820</v>
      </c>
      <c r="Q1490" t="s">
        <v>329</v>
      </c>
      <c r="R1490">
        <f>1</f>
        <v>1</v>
      </c>
      <c r="S1490">
        <f>17.4</f>
        <v>17.399999999999999</v>
      </c>
      <c r="T1490">
        <f>7.4</f>
        <v>7.4</v>
      </c>
      <c r="U1490">
        <f>467</f>
        <v>467</v>
      </c>
      <c r="X1490">
        <f>0</f>
        <v>0</v>
      </c>
      <c r="Y1490" t="s">
        <v>157</v>
      </c>
      <c r="Z1490">
        <f>0</f>
        <v>0</v>
      </c>
      <c r="AA1490">
        <f>1</f>
        <v>1</v>
      </c>
      <c r="AB1490">
        <f>0</f>
        <v>0</v>
      </c>
      <c r="AD1490">
        <f>0</f>
        <v>0</v>
      </c>
      <c r="AE1490">
        <f>0</f>
        <v>0</v>
      </c>
      <c r="AH1490" t="s">
        <v>157</v>
      </c>
    </row>
    <row r="1491" spans="1:150" x14ac:dyDescent="0.25">
      <c r="A1491" t="s">
        <v>4007</v>
      </c>
      <c r="B1491" t="s">
        <v>148</v>
      </c>
      <c r="C1491" s="1">
        <v>45868</v>
      </c>
      <c r="D1491" t="s">
        <v>175</v>
      </c>
      <c r="E1491" t="s">
        <v>176</v>
      </c>
      <c r="F1491" t="s">
        <v>370</v>
      </c>
      <c r="G1491" t="s">
        <v>1318</v>
      </c>
      <c r="H1491">
        <v>935</v>
      </c>
      <c r="I1491" t="s">
        <v>1318</v>
      </c>
      <c r="J1491">
        <v>7014</v>
      </c>
      <c r="K1491" t="s">
        <v>5254</v>
      </c>
      <c r="L1491" t="s">
        <v>4981</v>
      </c>
      <c r="M1491" t="s">
        <v>1319</v>
      </c>
      <c r="N1491" t="s">
        <v>5406</v>
      </c>
      <c r="O1491" t="s">
        <v>1320</v>
      </c>
      <c r="Q1491" t="s">
        <v>6342</v>
      </c>
      <c r="R1491">
        <f>1</f>
        <v>1</v>
      </c>
      <c r="S1491">
        <f>17.3</f>
        <v>17.3</v>
      </c>
      <c r="T1491">
        <f>7.5</f>
        <v>7.5</v>
      </c>
      <c r="U1491">
        <f>383</f>
        <v>383</v>
      </c>
      <c r="X1491">
        <f>0</f>
        <v>0</v>
      </c>
      <c r="Y1491" t="s">
        <v>157</v>
      </c>
      <c r="Z1491">
        <f>0</f>
        <v>0</v>
      </c>
      <c r="AA1491">
        <f>0</f>
        <v>0</v>
      </c>
      <c r="AB1491">
        <f>0</f>
        <v>0</v>
      </c>
      <c r="AD1491">
        <f>0</f>
        <v>0</v>
      </c>
      <c r="AE1491">
        <f>0</f>
        <v>0</v>
      </c>
      <c r="AH1491" t="s">
        <v>157</v>
      </c>
    </row>
    <row r="1492" spans="1:150" x14ac:dyDescent="0.25">
      <c r="A1492" t="s">
        <v>4008</v>
      </c>
      <c r="B1492" t="s">
        <v>148</v>
      </c>
      <c r="C1492" s="1">
        <v>45846</v>
      </c>
      <c r="D1492" t="s">
        <v>618</v>
      </c>
      <c r="E1492" t="s">
        <v>619</v>
      </c>
      <c r="F1492" t="s">
        <v>5317</v>
      </c>
      <c r="G1492" t="s">
        <v>5859</v>
      </c>
      <c r="H1492">
        <v>23</v>
      </c>
      <c r="I1492" t="s">
        <v>824</v>
      </c>
      <c r="J1492">
        <v>4553</v>
      </c>
      <c r="K1492" t="s">
        <v>5254</v>
      </c>
      <c r="L1492" t="s">
        <v>387</v>
      </c>
      <c r="M1492" t="s">
        <v>825</v>
      </c>
      <c r="N1492" t="s">
        <v>5339</v>
      </c>
      <c r="O1492" t="s">
        <v>826</v>
      </c>
      <c r="R1492">
        <f>1</f>
        <v>1</v>
      </c>
      <c r="S1492">
        <f>16.8</f>
        <v>16.8</v>
      </c>
      <c r="T1492">
        <f>7.8</f>
        <v>7.8</v>
      </c>
      <c r="U1492">
        <f>201</f>
        <v>201</v>
      </c>
      <c r="V1492" t="s">
        <v>209</v>
      </c>
      <c r="X1492">
        <f>0</f>
        <v>0</v>
      </c>
      <c r="Y1492">
        <f>0.1</f>
        <v>0.1</v>
      </c>
      <c r="Z1492">
        <f>0</f>
        <v>0</v>
      </c>
      <c r="AA1492">
        <f>51</f>
        <v>51</v>
      </c>
      <c r="AB1492">
        <f>78</f>
        <v>78</v>
      </c>
      <c r="AD1492">
        <f>0</f>
        <v>0</v>
      </c>
      <c r="AE1492">
        <f>0</f>
        <v>0</v>
      </c>
      <c r="AH1492" t="s">
        <v>157</v>
      </c>
      <c r="EF1492" t="s">
        <v>249</v>
      </c>
      <c r="EG1492" t="s">
        <v>249</v>
      </c>
      <c r="EH1492" t="s">
        <v>217</v>
      </c>
      <c r="EI1492" t="s">
        <v>249</v>
      </c>
      <c r="EJ1492" t="s">
        <v>249</v>
      </c>
      <c r="EK1492" t="s">
        <v>249</v>
      </c>
      <c r="ET1492" t="s">
        <v>166</v>
      </c>
    </row>
    <row r="1493" spans="1:150" x14ac:dyDescent="0.25">
      <c r="A1493" t="s">
        <v>4009</v>
      </c>
      <c r="B1493" t="s">
        <v>148</v>
      </c>
      <c r="C1493" s="1">
        <v>45876</v>
      </c>
      <c r="D1493" t="s">
        <v>618</v>
      </c>
      <c r="E1493" t="s">
        <v>619</v>
      </c>
      <c r="F1493" t="s">
        <v>730</v>
      </c>
      <c r="G1493" t="s">
        <v>731</v>
      </c>
      <c r="H1493">
        <v>818</v>
      </c>
      <c r="I1493" t="s">
        <v>731</v>
      </c>
      <c r="J1493">
        <v>7500</v>
      </c>
      <c r="K1493" t="s">
        <v>5254</v>
      </c>
      <c r="L1493" t="s">
        <v>387</v>
      </c>
      <c r="M1493" t="s">
        <v>825</v>
      </c>
      <c r="N1493" t="s">
        <v>828</v>
      </c>
      <c r="O1493" t="s">
        <v>829</v>
      </c>
      <c r="R1493">
        <f>1</f>
        <v>1</v>
      </c>
      <c r="S1493">
        <f>17.2</f>
        <v>17.2</v>
      </c>
      <c r="T1493">
        <f>7.6</f>
        <v>7.6</v>
      </c>
      <c r="U1493">
        <f>354</f>
        <v>354</v>
      </c>
      <c r="V1493">
        <f>0.07</f>
        <v>7.0000000000000007E-2</v>
      </c>
      <c r="X1493">
        <f>0</f>
        <v>0</v>
      </c>
      <c r="Y1493" t="s">
        <v>157</v>
      </c>
      <c r="Z1493">
        <f>0</f>
        <v>0</v>
      </c>
      <c r="AA1493" t="s">
        <v>158</v>
      </c>
      <c r="AB1493" t="s">
        <v>158</v>
      </c>
      <c r="AD1493">
        <f>0</f>
        <v>0</v>
      </c>
      <c r="AE1493">
        <f>0</f>
        <v>0</v>
      </c>
      <c r="AH1493" t="s">
        <v>157</v>
      </c>
    </row>
    <row r="1494" spans="1:150" x14ac:dyDescent="0.25">
      <c r="A1494" t="s">
        <v>4010</v>
      </c>
      <c r="B1494" t="s">
        <v>148</v>
      </c>
      <c r="C1494" s="1">
        <v>45889</v>
      </c>
      <c r="D1494" t="s">
        <v>222</v>
      </c>
      <c r="E1494" t="s">
        <v>223</v>
      </c>
      <c r="F1494" t="s">
        <v>469</v>
      </c>
      <c r="G1494" t="s">
        <v>6575</v>
      </c>
      <c r="H1494">
        <v>437</v>
      </c>
      <c r="I1494" t="s">
        <v>6575</v>
      </c>
      <c r="J1494">
        <v>589</v>
      </c>
      <c r="K1494" t="s">
        <v>5257</v>
      </c>
      <c r="L1494" t="s">
        <v>4724</v>
      </c>
      <c r="M1494" t="s">
        <v>5340</v>
      </c>
      <c r="N1494" t="s">
        <v>4725</v>
      </c>
      <c r="O1494" t="s">
        <v>833</v>
      </c>
      <c r="R1494">
        <f>1</f>
        <v>1</v>
      </c>
      <c r="S1494">
        <f>19.6</f>
        <v>19.600000000000001</v>
      </c>
      <c r="T1494">
        <f>8.1</f>
        <v>8.1</v>
      </c>
      <c r="U1494">
        <f>256</f>
        <v>256</v>
      </c>
      <c r="X1494">
        <f>1</f>
        <v>1</v>
      </c>
      <c r="Y1494">
        <f>0.07</f>
        <v>7.0000000000000007E-2</v>
      </c>
      <c r="Z1494">
        <f>0</f>
        <v>0</v>
      </c>
      <c r="AA1494">
        <f>0</f>
        <v>0</v>
      </c>
      <c r="AB1494">
        <f>0</f>
        <v>0</v>
      </c>
      <c r="AC1494">
        <f>0</f>
        <v>0</v>
      </c>
      <c r="AD1494">
        <f>0</f>
        <v>0</v>
      </c>
      <c r="AE1494">
        <f>0</f>
        <v>0</v>
      </c>
      <c r="AH1494" t="s">
        <v>166</v>
      </c>
    </row>
    <row r="1495" spans="1:150" x14ac:dyDescent="0.25">
      <c r="A1495" t="s">
        <v>4011</v>
      </c>
      <c r="B1495" t="s">
        <v>148</v>
      </c>
      <c r="C1495" s="1">
        <v>45890</v>
      </c>
      <c r="D1495" t="s">
        <v>222</v>
      </c>
      <c r="E1495" t="s">
        <v>223</v>
      </c>
      <c r="F1495" t="s">
        <v>224</v>
      </c>
      <c r="G1495" t="s">
        <v>838</v>
      </c>
      <c r="H1495">
        <v>374</v>
      </c>
      <c r="I1495" t="s">
        <v>838</v>
      </c>
      <c r="J1495">
        <v>899</v>
      </c>
      <c r="K1495" t="s">
        <v>5257</v>
      </c>
      <c r="L1495" t="s">
        <v>387</v>
      </c>
      <c r="M1495" t="s">
        <v>3564</v>
      </c>
      <c r="N1495" t="s">
        <v>3565</v>
      </c>
      <c r="O1495" t="s">
        <v>3566</v>
      </c>
      <c r="Q1495" t="s">
        <v>6298</v>
      </c>
      <c r="R1495">
        <f>1</f>
        <v>1</v>
      </c>
      <c r="S1495">
        <f>25.9</f>
        <v>25.9</v>
      </c>
      <c r="T1495">
        <f>8</f>
        <v>8</v>
      </c>
      <c r="U1495">
        <f>249</f>
        <v>249</v>
      </c>
      <c r="V1495">
        <f>0.1</f>
        <v>0.1</v>
      </c>
      <c r="X1495">
        <f>1</f>
        <v>1</v>
      </c>
      <c r="Y1495">
        <f>0.09</f>
        <v>0.09</v>
      </c>
      <c r="Z1495">
        <f>0</f>
        <v>0</v>
      </c>
      <c r="AA1495">
        <f>0</f>
        <v>0</v>
      </c>
      <c r="AB1495">
        <f>0</f>
        <v>0</v>
      </c>
      <c r="AC1495">
        <f>0</f>
        <v>0</v>
      </c>
      <c r="AD1495">
        <f>0</f>
        <v>0</v>
      </c>
      <c r="AE1495">
        <f>0</f>
        <v>0</v>
      </c>
      <c r="AH1495" t="s">
        <v>166</v>
      </c>
    </row>
    <row r="1496" spans="1:150" x14ac:dyDescent="0.25">
      <c r="A1496" t="s">
        <v>4012</v>
      </c>
      <c r="B1496" t="s">
        <v>148</v>
      </c>
      <c r="C1496" s="1">
        <v>45824</v>
      </c>
      <c r="D1496" t="s">
        <v>317</v>
      </c>
      <c r="E1496" t="s">
        <v>318</v>
      </c>
      <c r="F1496" t="s">
        <v>847</v>
      </c>
      <c r="G1496" t="s">
        <v>848</v>
      </c>
      <c r="H1496">
        <v>988</v>
      </c>
      <c r="I1496" t="s">
        <v>849</v>
      </c>
      <c r="J1496">
        <v>3256</v>
      </c>
      <c r="K1496" t="s">
        <v>5254</v>
      </c>
      <c r="L1496" t="s">
        <v>4967</v>
      </c>
      <c r="M1496" t="s">
        <v>5342</v>
      </c>
      <c r="N1496" t="s">
        <v>5343</v>
      </c>
      <c r="O1496" t="s">
        <v>850</v>
      </c>
      <c r="Q1496" t="s">
        <v>329</v>
      </c>
      <c r="R1496">
        <f>1</f>
        <v>1</v>
      </c>
      <c r="S1496">
        <f>10.2</f>
        <v>10.199999999999999</v>
      </c>
      <c r="T1496">
        <f>7.8</f>
        <v>7.8</v>
      </c>
      <c r="U1496">
        <f>303</f>
        <v>303</v>
      </c>
      <c r="V1496" t="s">
        <v>209</v>
      </c>
      <c r="X1496">
        <f>0</f>
        <v>0</v>
      </c>
      <c r="Y1496" t="s">
        <v>157</v>
      </c>
      <c r="Z1496">
        <f>0</f>
        <v>0</v>
      </c>
      <c r="AA1496">
        <f>0</f>
        <v>0</v>
      </c>
      <c r="AB1496">
        <f>0</f>
        <v>0</v>
      </c>
      <c r="AD1496">
        <f>0</f>
        <v>0</v>
      </c>
      <c r="AE1496">
        <f>0</f>
        <v>0</v>
      </c>
      <c r="AH1496" t="s">
        <v>157</v>
      </c>
    </row>
    <row r="1497" spans="1:150" x14ac:dyDescent="0.25">
      <c r="A1497" t="s">
        <v>4013</v>
      </c>
      <c r="B1497" t="s">
        <v>148</v>
      </c>
      <c r="C1497" s="1">
        <v>45820</v>
      </c>
      <c r="D1497" t="s">
        <v>311</v>
      </c>
      <c r="E1497" t="s">
        <v>312</v>
      </c>
      <c r="F1497" t="s">
        <v>3570</v>
      </c>
      <c r="G1497" t="s">
        <v>3571</v>
      </c>
      <c r="H1497">
        <v>1030</v>
      </c>
      <c r="I1497" t="s">
        <v>3571</v>
      </c>
      <c r="J1497">
        <v>2200</v>
      </c>
      <c r="K1497" t="s">
        <v>5257</v>
      </c>
      <c r="L1497" t="s">
        <v>4758</v>
      </c>
      <c r="M1497" t="s">
        <v>6205</v>
      </c>
      <c r="N1497" t="s">
        <v>6206</v>
      </c>
      <c r="O1497" t="s">
        <v>3572</v>
      </c>
      <c r="R1497">
        <f>1</f>
        <v>1</v>
      </c>
      <c r="S1497">
        <f>19.1</f>
        <v>19.100000000000001</v>
      </c>
      <c r="T1497">
        <f>7.2</f>
        <v>7.2</v>
      </c>
      <c r="U1497">
        <f>65</f>
        <v>65</v>
      </c>
      <c r="X1497">
        <f>0</f>
        <v>0</v>
      </c>
      <c r="Y1497" t="s">
        <v>157</v>
      </c>
      <c r="Z1497">
        <f>0</f>
        <v>0</v>
      </c>
      <c r="AA1497" t="s">
        <v>158</v>
      </c>
      <c r="AB1497" t="s">
        <v>158</v>
      </c>
      <c r="AC1497">
        <f>0</f>
        <v>0</v>
      </c>
      <c r="AD1497">
        <f>0</f>
        <v>0</v>
      </c>
      <c r="AE1497">
        <f>0</f>
        <v>0</v>
      </c>
      <c r="AH1497" t="s">
        <v>157</v>
      </c>
    </row>
    <row r="1498" spans="1:150" x14ac:dyDescent="0.25">
      <c r="A1498" t="s">
        <v>4014</v>
      </c>
      <c r="B1498" t="s">
        <v>148</v>
      </c>
      <c r="C1498" s="1">
        <v>45856</v>
      </c>
      <c r="D1498" t="s">
        <v>242</v>
      </c>
      <c r="E1498" t="s">
        <v>243</v>
      </c>
      <c r="F1498" t="s">
        <v>4727</v>
      </c>
      <c r="G1498" t="s">
        <v>6587</v>
      </c>
      <c r="H1498">
        <v>1122</v>
      </c>
      <c r="I1498" t="s">
        <v>6816</v>
      </c>
      <c r="J1498">
        <v>3600</v>
      </c>
      <c r="K1498" t="s">
        <v>5254</v>
      </c>
      <c r="L1498" t="s">
        <v>3576</v>
      </c>
      <c r="M1498" t="s">
        <v>4910</v>
      </c>
      <c r="N1498" t="s">
        <v>4911</v>
      </c>
      <c r="O1498" t="s">
        <v>3577</v>
      </c>
      <c r="R1498">
        <f>1</f>
        <v>1</v>
      </c>
      <c r="S1498">
        <f>17.5</f>
        <v>17.5</v>
      </c>
      <c r="T1498">
        <f>7.3</f>
        <v>7.3</v>
      </c>
      <c r="U1498">
        <f>509</f>
        <v>509</v>
      </c>
      <c r="V1498">
        <f>0.13</f>
        <v>0.13</v>
      </c>
      <c r="X1498">
        <f>1</f>
        <v>1</v>
      </c>
      <c r="Y1498" t="s">
        <v>157</v>
      </c>
      <c r="Z1498">
        <f>0</f>
        <v>0</v>
      </c>
      <c r="AA1498" t="s">
        <v>158</v>
      </c>
      <c r="AB1498" t="s">
        <v>158</v>
      </c>
      <c r="AD1498">
        <f>0</f>
        <v>0</v>
      </c>
      <c r="AE1498">
        <f>0</f>
        <v>0</v>
      </c>
      <c r="AH1498" t="s">
        <v>157</v>
      </c>
    </row>
    <row r="1499" spans="1:150" x14ac:dyDescent="0.25">
      <c r="A1499" t="s">
        <v>4015</v>
      </c>
      <c r="B1499" t="s">
        <v>148</v>
      </c>
      <c r="C1499" s="1">
        <v>45867</v>
      </c>
      <c r="D1499" t="s">
        <v>242</v>
      </c>
      <c r="E1499" t="s">
        <v>243</v>
      </c>
      <c r="F1499" t="s">
        <v>5098</v>
      </c>
      <c r="G1499" t="s">
        <v>872</v>
      </c>
      <c r="H1499">
        <v>1126</v>
      </c>
      <c r="I1499" t="s">
        <v>872</v>
      </c>
      <c r="J1499">
        <v>9637</v>
      </c>
      <c r="K1499" t="s">
        <v>5257</v>
      </c>
      <c r="L1499" t="s">
        <v>387</v>
      </c>
      <c r="M1499" t="s">
        <v>3582</v>
      </c>
      <c r="N1499" t="s">
        <v>3583</v>
      </c>
      <c r="O1499" t="s">
        <v>3584</v>
      </c>
      <c r="R1499">
        <f>1</f>
        <v>1</v>
      </c>
      <c r="S1499">
        <f>19</f>
        <v>19</v>
      </c>
      <c r="T1499">
        <f>7.8</f>
        <v>7.8</v>
      </c>
      <c r="U1499">
        <f>380</f>
        <v>380</v>
      </c>
      <c r="V1499">
        <f>0.28</f>
        <v>0.28000000000000003</v>
      </c>
      <c r="X1499">
        <f>0</f>
        <v>0</v>
      </c>
      <c r="Y1499" t="s">
        <v>157</v>
      </c>
      <c r="Z1499">
        <f>0</f>
        <v>0</v>
      </c>
      <c r="AA1499" t="s">
        <v>158</v>
      </c>
      <c r="AB1499" t="s">
        <v>158</v>
      </c>
      <c r="AC1499">
        <f>0</f>
        <v>0</v>
      </c>
      <c r="AD1499">
        <f>0</f>
        <v>0</v>
      </c>
      <c r="AE1499">
        <f>0</f>
        <v>0</v>
      </c>
      <c r="AH1499" t="s">
        <v>157</v>
      </c>
    </row>
    <row r="1500" spans="1:150" x14ac:dyDescent="0.25">
      <c r="A1500" t="s">
        <v>4016</v>
      </c>
      <c r="B1500" t="s">
        <v>148</v>
      </c>
      <c r="C1500" s="1">
        <v>45862</v>
      </c>
      <c r="D1500" t="s">
        <v>242</v>
      </c>
      <c r="E1500" t="s">
        <v>243</v>
      </c>
      <c r="F1500" t="s">
        <v>5349</v>
      </c>
      <c r="G1500" t="s">
        <v>5863</v>
      </c>
      <c r="H1500">
        <v>1128</v>
      </c>
      <c r="I1500" t="s">
        <v>5863</v>
      </c>
      <c r="J1500">
        <v>5130</v>
      </c>
      <c r="K1500" t="s">
        <v>5254</v>
      </c>
      <c r="L1500" t="s">
        <v>393</v>
      </c>
      <c r="M1500" t="s">
        <v>5352</v>
      </c>
      <c r="N1500" t="s">
        <v>5353</v>
      </c>
      <c r="O1500" t="s">
        <v>877</v>
      </c>
      <c r="R1500">
        <f>1</f>
        <v>1</v>
      </c>
      <c r="S1500">
        <f>14.7</f>
        <v>14.7</v>
      </c>
      <c r="T1500">
        <f>8</f>
        <v>8</v>
      </c>
      <c r="U1500">
        <f>413</f>
        <v>413</v>
      </c>
      <c r="X1500">
        <f>0</f>
        <v>0</v>
      </c>
      <c r="Y1500" t="s">
        <v>157</v>
      </c>
      <c r="Z1500">
        <f>0</f>
        <v>0</v>
      </c>
      <c r="AA1500" t="s">
        <v>158</v>
      </c>
      <c r="AB1500" t="s">
        <v>158</v>
      </c>
      <c r="AD1500">
        <f>0</f>
        <v>0</v>
      </c>
      <c r="AE1500">
        <f>0</f>
        <v>0</v>
      </c>
      <c r="AH1500" t="s">
        <v>157</v>
      </c>
    </row>
    <row r="1501" spans="1:150" x14ac:dyDescent="0.25">
      <c r="A1501" t="s">
        <v>4017</v>
      </c>
      <c r="B1501" t="s">
        <v>148</v>
      </c>
      <c r="C1501" s="1">
        <v>45726</v>
      </c>
      <c r="D1501" t="s">
        <v>242</v>
      </c>
      <c r="E1501" t="s">
        <v>243</v>
      </c>
      <c r="F1501" t="s">
        <v>884</v>
      </c>
      <c r="G1501" t="s">
        <v>6579</v>
      </c>
      <c r="H1501">
        <v>1808</v>
      </c>
      <c r="I1501" t="s">
        <v>885</v>
      </c>
      <c r="J1501">
        <v>6688</v>
      </c>
      <c r="K1501" t="s">
        <v>5254</v>
      </c>
      <c r="L1501" t="s">
        <v>387</v>
      </c>
      <c r="M1501" t="s">
        <v>3590</v>
      </c>
      <c r="N1501" t="s">
        <v>6207</v>
      </c>
      <c r="O1501" t="s">
        <v>3591</v>
      </c>
      <c r="R1501">
        <f>1</f>
        <v>1</v>
      </c>
      <c r="S1501">
        <f>11.4</f>
        <v>11.4</v>
      </c>
      <c r="T1501">
        <f>7.9</f>
        <v>7.9</v>
      </c>
      <c r="U1501">
        <f>318</f>
        <v>318</v>
      </c>
      <c r="V1501">
        <f>0.17</f>
        <v>0.17</v>
      </c>
      <c r="X1501">
        <f>0</f>
        <v>0</v>
      </c>
      <c r="Y1501" t="s">
        <v>157</v>
      </c>
      <c r="Z1501">
        <f>0</f>
        <v>0</v>
      </c>
      <c r="AA1501" t="s">
        <v>158</v>
      </c>
      <c r="AB1501" t="s">
        <v>158</v>
      </c>
      <c r="AD1501">
        <f>0</f>
        <v>0</v>
      </c>
      <c r="AE1501">
        <f>0</f>
        <v>0</v>
      </c>
      <c r="AH1501" t="s">
        <v>157</v>
      </c>
    </row>
    <row r="1502" spans="1:150" x14ac:dyDescent="0.25">
      <c r="A1502" t="s">
        <v>4018</v>
      </c>
      <c r="B1502" t="s">
        <v>148</v>
      </c>
      <c r="C1502" s="1">
        <v>45862</v>
      </c>
      <c r="D1502" t="s">
        <v>242</v>
      </c>
      <c r="E1502" t="s">
        <v>243</v>
      </c>
      <c r="F1502" t="s">
        <v>5284</v>
      </c>
      <c r="G1502" t="s">
        <v>5113</v>
      </c>
      <c r="H1502">
        <v>1165</v>
      </c>
      <c r="I1502" t="s">
        <v>5113</v>
      </c>
      <c r="J1502">
        <v>2660</v>
      </c>
      <c r="K1502" t="s">
        <v>5257</v>
      </c>
      <c r="L1502" t="s">
        <v>393</v>
      </c>
      <c r="M1502" t="s">
        <v>5356</v>
      </c>
      <c r="N1502" t="s">
        <v>4732</v>
      </c>
      <c r="O1502" t="s">
        <v>907</v>
      </c>
      <c r="R1502">
        <f>1</f>
        <v>1</v>
      </c>
      <c r="S1502">
        <f>19.7</f>
        <v>19.7</v>
      </c>
      <c r="T1502">
        <f>7.8</f>
        <v>7.8</v>
      </c>
      <c r="U1502">
        <f>441</f>
        <v>441</v>
      </c>
      <c r="V1502">
        <f>0.08</f>
        <v>0.08</v>
      </c>
      <c r="X1502">
        <f>0</f>
        <v>0</v>
      </c>
      <c r="Y1502">
        <f>0.24</f>
        <v>0.24</v>
      </c>
      <c r="Z1502">
        <f>0</f>
        <v>0</v>
      </c>
      <c r="AA1502" t="s">
        <v>158</v>
      </c>
      <c r="AB1502" t="s">
        <v>158</v>
      </c>
      <c r="AC1502">
        <f>0</f>
        <v>0</v>
      </c>
      <c r="AD1502">
        <f>0</f>
        <v>0</v>
      </c>
      <c r="AE1502">
        <f>0</f>
        <v>0</v>
      </c>
      <c r="AH1502" t="s">
        <v>157</v>
      </c>
    </row>
    <row r="1503" spans="1:150" x14ac:dyDescent="0.25">
      <c r="A1503" t="s">
        <v>4019</v>
      </c>
      <c r="B1503" t="s">
        <v>148</v>
      </c>
      <c r="C1503" s="1">
        <v>45839</v>
      </c>
      <c r="D1503" t="s">
        <v>175</v>
      </c>
      <c r="E1503" t="s">
        <v>649</v>
      </c>
      <c r="F1503" t="s">
        <v>918</v>
      </c>
      <c r="G1503" t="s">
        <v>919</v>
      </c>
      <c r="H1503">
        <v>44</v>
      </c>
      <c r="I1503" t="s">
        <v>920</v>
      </c>
      <c r="J1503">
        <v>10558</v>
      </c>
      <c r="K1503" t="s">
        <v>5257</v>
      </c>
      <c r="L1503" t="s">
        <v>431</v>
      </c>
      <c r="M1503" t="s">
        <v>5872</v>
      </c>
      <c r="N1503" t="s">
        <v>921</v>
      </c>
      <c r="O1503" t="s">
        <v>922</v>
      </c>
      <c r="R1503">
        <f>1</f>
        <v>1</v>
      </c>
      <c r="S1503">
        <f>21</f>
        <v>21</v>
      </c>
      <c r="T1503">
        <f>7.9</f>
        <v>7.9</v>
      </c>
      <c r="U1503">
        <f>371</f>
        <v>371</v>
      </c>
      <c r="X1503">
        <f>0</f>
        <v>0</v>
      </c>
      <c r="Y1503">
        <f>1.5</f>
        <v>1.5</v>
      </c>
      <c r="Z1503">
        <f>0</f>
        <v>0</v>
      </c>
      <c r="AA1503">
        <f>22</f>
        <v>22</v>
      </c>
      <c r="AB1503">
        <f>57</f>
        <v>57</v>
      </c>
      <c r="AC1503">
        <f>0</f>
        <v>0</v>
      </c>
      <c r="AD1503">
        <f>0</f>
        <v>0</v>
      </c>
      <c r="AE1503">
        <f>0</f>
        <v>0</v>
      </c>
      <c r="AH1503" t="s">
        <v>157</v>
      </c>
    </row>
    <row r="1504" spans="1:150" x14ac:dyDescent="0.25">
      <c r="A1504" t="s">
        <v>4020</v>
      </c>
      <c r="B1504" t="s">
        <v>148</v>
      </c>
      <c r="C1504" s="1">
        <v>45882</v>
      </c>
      <c r="D1504" t="s">
        <v>311</v>
      </c>
      <c r="E1504" t="s">
        <v>312</v>
      </c>
      <c r="F1504" t="s">
        <v>424</v>
      </c>
      <c r="G1504" t="s">
        <v>425</v>
      </c>
      <c r="H1504">
        <v>806</v>
      </c>
      <c r="I1504" t="s">
        <v>4736</v>
      </c>
      <c r="J1504">
        <v>4002</v>
      </c>
      <c r="K1504" t="s">
        <v>5254</v>
      </c>
      <c r="L1504" t="s">
        <v>387</v>
      </c>
      <c r="M1504" t="s">
        <v>3609</v>
      </c>
      <c r="N1504" t="s">
        <v>3610</v>
      </c>
      <c r="O1504" t="s">
        <v>3611</v>
      </c>
      <c r="R1504">
        <f>1</f>
        <v>1</v>
      </c>
      <c r="S1504">
        <f>21.4</f>
        <v>21.4</v>
      </c>
      <c r="T1504">
        <f>7.1</f>
        <v>7.1</v>
      </c>
      <c r="U1504">
        <f>497</f>
        <v>497</v>
      </c>
      <c r="X1504">
        <f>0</f>
        <v>0</v>
      </c>
      <c r="Y1504" t="s">
        <v>157</v>
      </c>
      <c r="Z1504">
        <f>0</f>
        <v>0</v>
      </c>
      <c r="AA1504" t="s">
        <v>158</v>
      </c>
      <c r="AB1504" t="s">
        <v>158</v>
      </c>
      <c r="AD1504">
        <f>0</f>
        <v>0</v>
      </c>
      <c r="AE1504">
        <f>0</f>
        <v>0</v>
      </c>
      <c r="AH1504" t="s">
        <v>157</v>
      </c>
      <c r="AI1504" t="s">
        <v>238</v>
      </c>
      <c r="AL1504" t="s">
        <v>164</v>
      </c>
      <c r="AM1504" t="s">
        <v>165</v>
      </c>
      <c r="AN1504">
        <f>7.1</f>
        <v>7.1</v>
      </c>
      <c r="AO1504">
        <f>0.14</f>
        <v>0.14000000000000001</v>
      </c>
      <c r="AP1504">
        <f>26</f>
        <v>26</v>
      </c>
      <c r="AQ1504">
        <f>19</f>
        <v>19</v>
      </c>
      <c r="AR1504">
        <f>0.11</f>
        <v>0.11</v>
      </c>
      <c r="AS1504">
        <f>14</f>
        <v>14</v>
      </c>
      <c r="AY1504" t="s">
        <v>167</v>
      </c>
      <c r="AZ1504" t="s">
        <v>158</v>
      </c>
      <c r="BA1504">
        <f>0.039</f>
        <v>3.9E-2</v>
      </c>
      <c r="BB1504" t="s">
        <v>158</v>
      </c>
      <c r="BC1504" t="s">
        <v>166</v>
      </c>
      <c r="BD1504" t="s">
        <v>167</v>
      </c>
      <c r="BE1504">
        <f>0.0062</f>
        <v>6.1999999999999998E-3</v>
      </c>
      <c r="BF1504" t="s">
        <v>168</v>
      </c>
      <c r="BG1504" t="s">
        <v>167</v>
      </c>
      <c r="BH1504" t="s">
        <v>167</v>
      </c>
      <c r="BK1504">
        <f>1.2</f>
        <v>1.2</v>
      </c>
      <c r="BL1504" t="s">
        <v>168</v>
      </c>
      <c r="BM1504" t="s">
        <v>168</v>
      </c>
      <c r="BN1504" t="s">
        <v>168</v>
      </c>
      <c r="BO1504" t="s">
        <v>168</v>
      </c>
      <c r="BP1504" t="s">
        <v>168</v>
      </c>
      <c r="BQ1504" t="s">
        <v>168</v>
      </c>
      <c r="BR1504" t="s">
        <v>168</v>
      </c>
      <c r="BS1504" t="s">
        <v>168</v>
      </c>
      <c r="BT1504" t="s">
        <v>216</v>
      </c>
      <c r="BU1504" t="s">
        <v>168</v>
      </c>
      <c r="BV1504" t="s">
        <v>209</v>
      </c>
      <c r="BW1504" t="s">
        <v>209</v>
      </c>
      <c r="BX1504" t="s">
        <v>209</v>
      </c>
      <c r="BY1504" t="s">
        <v>209</v>
      </c>
      <c r="BZ1504" t="s">
        <v>216</v>
      </c>
      <c r="CA1504" t="s">
        <v>216</v>
      </c>
      <c r="CB1504" t="s">
        <v>168</v>
      </c>
      <c r="CC1504" t="s">
        <v>168</v>
      </c>
      <c r="CD1504" t="s">
        <v>216</v>
      </c>
      <c r="CE1504" t="s">
        <v>209</v>
      </c>
      <c r="CF1504" t="s">
        <v>168</v>
      </c>
      <c r="CG1504" t="s">
        <v>168</v>
      </c>
      <c r="CH1504" t="s">
        <v>165</v>
      </c>
      <c r="CI1504" t="s">
        <v>216</v>
      </c>
      <c r="CJ1504" t="s">
        <v>216</v>
      </c>
      <c r="CK1504" t="s">
        <v>216</v>
      </c>
      <c r="CL1504" t="s">
        <v>216</v>
      </c>
      <c r="CM1504" t="s">
        <v>216</v>
      </c>
      <c r="CN1504" t="s">
        <v>216</v>
      </c>
      <c r="CO1504" t="s">
        <v>216</v>
      </c>
      <c r="CP1504" t="s">
        <v>216</v>
      </c>
      <c r="CQ1504" t="s">
        <v>216</v>
      </c>
      <c r="CR1504" t="s">
        <v>216</v>
      </c>
      <c r="CS1504" t="s">
        <v>216</v>
      </c>
      <c r="CT1504" t="s">
        <v>216</v>
      </c>
      <c r="CU1504" t="s">
        <v>216</v>
      </c>
      <c r="CV1504" t="s">
        <v>216</v>
      </c>
      <c r="CW1504" t="s">
        <v>216</v>
      </c>
      <c r="CX1504" t="s">
        <v>216</v>
      </c>
      <c r="CY1504" t="s">
        <v>216</v>
      </c>
      <c r="CZ1504" t="s">
        <v>216</v>
      </c>
      <c r="DA1504" t="s">
        <v>168</v>
      </c>
      <c r="DB1504" t="s">
        <v>216</v>
      </c>
      <c r="DC1504" t="s">
        <v>216</v>
      </c>
      <c r="DD1504" t="s">
        <v>216</v>
      </c>
      <c r="DE1504" t="s">
        <v>168</v>
      </c>
      <c r="DF1504" t="s">
        <v>168</v>
      </c>
      <c r="DG1504" t="s">
        <v>216</v>
      </c>
      <c r="DH1504" t="s">
        <v>216</v>
      </c>
      <c r="DI1504" t="s">
        <v>216</v>
      </c>
      <c r="DJ1504" t="s">
        <v>216</v>
      </c>
      <c r="DK1504" t="s">
        <v>168</v>
      </c>
      <c r="DL1504" t="s">
        <v>216</v>
      </c>
      <c r="DM1504" t="s">
        <v>216</v>
      </c>
      <c r="DN1504" t="s">
        <v>216</v>
      </c>
      <c r="DO1504" t="s">
        <v>216</v>
      </c>
      <c r="DP1504" t="s">
        <v>168</v>
      </c>
      <c r="DQ1504" t="s">
        <v>216</v>
      </c>
      <c r="DR1504" t="s">
        <v>168</v>
      </c>
      <c r="DS1504" t="s">
        <v>168</v>
      </c>
      <c r="DT1504" t="s">
        <v>168</v>
      </c>
      <c r="DU1504" t="s">
        <v>168</v>
      </c>
      <c r="DV1504" t="s">
        <v>168</v>
      </c>
      <c r="DW1504" t="s">
        <v>168</v>
      </c>
      <c r="DX1504" t="s">
        <v>168</v>
      </c>
      <c r="DY1504" t="s">
        <v>168</v>
      </c>
      <c r="DZ1504" t="s">
        <v>209</v>
      </c>
      <c r="EA1504" t="s">
        <v>216</v>
      </c>
      <c r="EB1504" t="s">
        <v>168</v>
      </c>
      <c r="EC1504" t="s">
        <v>168</v>
      </c>
      <c r="ED1504" t="s">
        <v>209</v>
      </c>
      <c r="EE1504" t="s">
        <v>168</v>
      </c>
      <c r="EL1504">
        <f>0.59</f>
        <v>0.59</v>
      </c>
      <c r="EM1504">
        <f>0.39</f>
        <v>0.39</v>
      </c>
      <c r="EN1504">
        <f>0.93</f>
        <v>0.93</v>
      </c>
      <c r="EO1504">
        <f>1</f>
        <v>1</v>
      </c>
      <c r="ER1504">
        <f>2.9</f>
        <v>2.9</v>
      </c>
    </row>
    <row r="1505" spans="1:149" x14ac:dyDescent="0.25">
      <c r="A1505" t="s">
        <v>4021</v>
      </c>
      <c r="B1505" t="s">
        <v>148</v>
      </c>
      <c r="C1505" s="1">
        <v>45855</v>
      </c>
      <c r="D1505" t="s">
        <v>311</v>
      </c>
      <c r="E1505" t="s">
        <v>312</v>
      </c>
      <c r="F1505" t="s">
        <v>424</v>
      </c>
      <c r="G1505" t="s">
        <v>425</v>
      </c>
      <c r="H1505">
        <v>802</v>
      </c>
      <c r="I1505" t="s">
        <v>4733</v>
      </c>
      <c r="J1505">
        <v>7796</v>
      </c>
      <c r="K1505" t="s">
        <v>5254</v>
      </c>
      <c r="L1505" t="s">
        <v>439</v>
      </c>
      <c r="M1505" t="s">
        <v>932</v>
      </c>
      <c r="N1505" t="s">
        <v>933</v>
      </c>
      <c r="O1505" t="s">
        <v>934</v>
      </c>
      <c r="R1505">
        <f>1</f>
        <v>1</v>
      </c>
      <c r="S1505">
        <f>22.5</f>
        <v>22.5</v>
      </c>
      <c r="T1505">
        <f>7.2</f>
        <v>7.2</v>
      </c>
      <c r="U1505">
        <f>541</f>
        <v>541</v>
      </c>
      <c r="V1505" t="s">
        <v>209</v>
      </c>
      <c r="X1505">
        <f>0</f>
        <v>0</v>
      </c>
      <c r="Y1505" t="s">
        <v>157</v>
      </c>
      <c r="Z1505">
        <f>0</f>
        <v>0</v>
      </c>
      <c r="AA1505" t="s">
        <v>158</v>
      </c>
      <c r="AB1505" t="s">
        <v>158</v>
      </c>
      <c r="AD1505">
        <f>0</f>
        <v>0</v>
      </c>
      <c r="AE1505">
        <f>0</f>
        <v>0</v>
      </c>
      <c r="AH1505" t="s">
        <v>157</v>
      </c>
    </row>
    <row r="1506" spans="1:149" x14ac:dyDescent="0.25">
      <c r="A1506" t="s">
        <v>4022</v>
      </c>
      <c r="B1506" t="s">
        <v>148</v>
      </c>
      <c r="C1506" s="1">
        <v>45811</v>
      </c>
      <c r="D1506" t="s">
        <v>222</v>
      </c>
      <c r="E1506" t="s">
        <v>223</v>
      </c>
      <c r="F1506" t="s">
        <v>469</v>
      </c>
      <c r="G1506" t="s">
        <v>936</v>
      </c>
      <c r="H1506">
        <v>252</v>
      </c>
      <c r="I1506" t="s">
        <v>936</v>
      </c>
      <c r="J1506">
        <v>800</v>
      </c>
      <c r="K1506" t="s">
        <v>5257</v>
      </c>
      <c r="L1506" t="s">
        <v>393</v>
      </c>
      <c r="M1506" t="s">
        <v>937</v>
      </c>
      <c r="N1506" t="s">
        <v>938</v>
      </c>
      <c r="O1506" t="s">
        <v>939</v>
      </c>
      <c r="R1506">
        <f>1</f>
        <v>1</v>
      </c>
      <c r="S1506">
        <f>15.9</f>
        <v>15.9</v>
      </c>
      <c r="T1506">
        <f>8</f>
        <v>8</v>
      </c>
      <c r="U1506">
        <f>268</f>
        <v>268</v>
      </c>
      <c r="V1506">
        <f>0.09</f>
        <v>0.09</v>
      </c>
      <c r="X1506">
        <f>1</f>
        <v>1</v>
      </c>
      <c r="Y1506">
        <f>0.14</f>
        <v>0.14000000000000001</v>
      </c>
      <c r="Z1506">
        <f>0</f>
        <v>0</v>
      </c>
      <c r="AA1506">
        <f>0</f>
        <v>0</v>
      </c>
      <c r="AB1506">
        <f>0</f>
        <v>0</v>
      </c>
      <c r="AC1506">
        <f>0</f>
        <v>0</v>
      </c>
      <c r="AD1506">
        <f>0</f>
        <v>0</v>
      </c>
      <c r="AE1506">
        <f>0</f>
        <v>0</v>
      </c>
      <c r="AH1506" t="s">
        <v>166</v>
      </c>
    </row>
    <row r="1507" spans="1:149" x14ac:dyDescent="0.25">
      <c r="A1507" t="s">
        <v>4023</v>
      </c>
      <c r="B1507" t="s">
        <v>148</v>
      </c>
      <c r="C1507" s="1">
        <v>45847</v>
      </c>
      <c r="D1507" t="s">
        <v>222</v>
      </c>
      <c r="E1507" t="s">
        <v>223</v>
      </c>
      <c r="F1507" t="s">
        <v>429</v>
      </c>
      <c r="G1507" t="s">
        <v>6584</v>
      </c>
      <c r="H1507">
        <v>1351</v>
      </c>
      <c r="I1507" t="s">
        <v>6584</v>
      </c>
      <c r="J1507">
        <v>648</v>
      </c>
      <c r="K1507" t="s">
        <v>5254</v>
      </c>
      <c r="L1507" t="s">
        <v>431</v>
      </c>
      <c r="M1507" t="s">
        <v>4734</v>
      </c>
      <c r="N1507" t="s">
        <v>4735</v>
      </c>
      <c r="O1507" t="s">
        <v>941</v>
      </c>
      <c r="Q1507" t="s">
        <v>6332</v>
      </c>
      <c r="R1507">
        <f>1</f>
        <v>1</v>
      </c>
      <c r="S1507">
        <f>21.2</f>
        <v>21.2</v>
      </c>
      <c r="T1507">
        <f>8</f>
        <v>8</v>
      </c>
      <c r="U1507">
        <f>321</f>
        <v>321</v>
      </c>
      <c r="X1507">
        <f>0</f>
        <v>0</v>
      </c>
      <c r="Y1507">
        <f>0.01</f>
        <v>0.01</v>
      </c>
      <c r="Z1507">
        <f>0</f>
        <v>0</v>
      </c>
      <c r="AA1507">
        <f>1</f>
        <v>1</v>
      </c>
      <c r="AB1507">
        <f>0</f>
        <v>0</v>
      </c>
      <c r="AD1507">
        <f>0</f>
        <v>0</v>
      </c>
      <c r="AE1507">
        <f>0</f>
        <v>0</v>
      </c>
      <c r="AH1507" t="s">
        <v>166</v>
      </c>
      <c r="BJ1507" t="s">
        <v>216</v>
      </c>
    </row>
    <row r="1508" spans="1:149" x14ac:dyDescent="0.25">
      <c r="A1508" t="s">
        <v>4024</v>
      </c>
      <c r="B1508" t="s">
        <v>148</v>
      </c>
      <c r="C1508" s="1">
        <v>45874</v>
      </c>
      <c r="D1508" t="s">
        <v>222</v>
      </c>
      <c r="E1508" t="s">
        <v>223</v>
      </c>
      <c r="F1508" t="s">
        <v>4723</v>
      </c>
      <c r="G1508" t="s">
        <v>949</v>
      </c>
      <c r="H1508">
        <v>241</v>
      </c>
      <c r="I1508" t="s">
        <v>949</v>
      </c>
      <c r="J1508">
        <v>1832</v>
      </c>
      <c r="K1508" t="s">
        <v>5257</v>
      </c>
      <c r="L1508" t="s">
        <v>4968</v>
      </c>
      <c r="M1508" t="s">
        <v>950</v>
      </c>
      <c r="N1508" t="s">
        <v>951</v>
      </c>
      <c r="O1508" t="s">
        <v>952</v>
      </c>
      <c r="Q1508" t="s">
        <v>4025</v>
      </c>
      <c r="R1508">
        <f>1</f>
        <v>1</v>
      </c>
      <c r="S1508">
        <f>16.3</f>
        <v>16.3</v>
      </c>
      <c r="T1508">
        <f>8.1</f>
        <v>8.1</v>
      </c>
      <c r="U1508">
        <f>306</f>
        <v>306</v>
      </c>
      <c r="V1508" t="s">
        <v>209</v>
      </c>
      <c r="X1508">
        <f>1</f>
        <v>1</v>
      </c>
      <c r="Y1508">
        <f>0.05</f>
        <v>0.05</v>
      </c>
      <c r="Z1508">
        <f>0</f>
        <v>0</v>
      </c>
      <c r="AA1508">
        <f>0</f>
        <v>0</v>
      </c>
      <c r="AB1508">
        <f>0</f>
        <v>0</v>
      </c>
      <c r="AC1508">
        <f>0</f>
        <v>0</v>
      </c>
      <c r="AD1508">
        <f>0</f>
        <v>0</v>
      </c>
      <c r="AE1508">
        <f>0</f>
        <v>0</v>
      </c>
      <c r="AH1508" t="s">
        <v>166</v>
      </c>
    </row>
    <row r="1509" spans="1:149" x14ac:dyDescent="0.25">
      <c r="A1509" t="s">
        <v>4026</v>
      </c>
      <c r="B1509" t="s">
        <v>148</v>
      </c>
      <c r="C1509" s="1">
        <v>45882</v>
      </c>
      <c r="D1509" t="s">
        <v>317</v>
      </c>
      <c r="E1509" t="s">
        <v>318</v>
      </c>
      <c r="F1509" t="s">
        <v>325</v>
      </c>
      <c r="G1509" t="s">
        <v>958</v>
      </c>
      <c r="H1509">
        <v>1498</v>
      </c>
      <c r="I1509" t="s">
        <v>959</v>
      </c>
      <c r="J1509">
        <v>3704</v>
      </c>
      <c r="K1509" t="s">
        <v>5254</v>
      </c>
      <c r="L1509" t="s">
        <v>431</v>
      </c>
      <c r="M1509" t="s">
        <v>4738</v>
      </c>
      <c r="N1509" t="s">
        <v>5363</v>
      </c>
      <c r="O1509" t="s">
        <v>960</v>
      </c>
      <c r="Q1509" t="s">
        <v>6327</v>
      </c>
      <c r="R1509">
        <f>1</f>
        <v>1</v>
      </c>
      <c r="S1509">
        <f>18.5</f>
        <v>18.5</v>
      </c>
      <c r="T1509">
        <f>7.9</f>
        <v>7.9</v>
      </c>
      <c r="U1509">
        <f>272</f>
        <v>272</v>
      </c>
      <c r="V1509" t="s">
        <v>209</v>
      </c>
      <c r="X1509">
        <f>0</f>
        <v>0</v>
      </c>
      <c r="Y1509" t="s">
        <v>157</v>
      </c>
      <c r="Z1509">
        <f>0</f>
        <v>0</v>
      </c>
      <c r="AA1509">
        <f>0</f>
        <v>0</v>
      </c>
      <c r="AB1509">
        <f>7</f>
        <v>7</v>
      </c>
      <c r="AD1509">
        <f>0</f>
        <v>0</v>
      </c>
      <c r="AE1509">
        <f>0</f>
        <v>0</v>
      </c>
      <c r="AH1509" t="s">
        <v>157</v>
      </c>
    </row>
    <row r="1510" spans="1:149" x14ac:dyDescent="0.25">
      <c r="A1510" t="s">
        <v>4027</v>
      </c>
      <c r="B1510" t="s">
        <v>148</v>
      </c>
      <c r="C1510" s="1">
        <v>45873</v>
      </c>
      <c r="D1510" t="s">
        <v>317</v>
      </c>
      <c r="E1510" t="s">
        <v>318</v>
      </c>
      <c r="F1510" t="s">
        <v>338</v>
      </c>
      <c r="G1510" t="s">
        <v>962</v>
      </c>
      <c r="H1510">
        <v>887</v>
      </c>
      <c r="I1510" t="s">
        <v>962</v>
      </c>
      <c r="J1510">
        <v>1025</v>
      </c>
      <c r="K1510" t="s">
        <v>5254</v>
      </c>
      <c r="L1510" t="s">
        <v>180</v>
      </c>
      <c r="M1510" t="s">
        <v>4969</v>
      </c>
      <c r="N1510" t="s">
        <v>5116</v>
      </c>
      <c r="O1510" t="s">
        <v>963</v>
      </c>
      <c r="Q1510" t="s">
        <v>6301</v>
      </c>
      <c r="R1510">
        <f>1</f>
        <v>1</v>
      </c>
      <c r="S1510">
        <f>10.6</f>
        <v>10.6</v>
      </c>
      <c r="T1510">
        <f>8</f>
        <v>8</v>
      </c>
      <c r="U1510">
        <f>200</f>
        <v>200</v>
      </c>
      <c r="X1510">
        <f>0</f>
        <v>0</v>
      </c>
      <c r="Y1510" t="s">
        <v>157</v>
      </c>
      <c r="Z1510">
        <f>0</f>
        <v>0</v>
      </c>
      <c r="AA1510">
        <f>2</f>
        <v>2</v>
      </c>
      <c r="AB1510">
        <f>0</f>
        <v>0</v>
      </c>
      <c r="AD1510">
        <f>0</f>
        <v>0</v>
      </c>
      <c r="AE1510">
        <f>0</f>
        <v>0</v>
      </c>
      <c r="AH1510" t="s">
        <v>157</v>
      </c>
    </row>
    <row r="1511" spans="1:149" x14ac:dyDescent="0.25">
      <c r="A1511" t="s">
        <v>4028</v>
      </c>
      <c r="B1511" t="s">
        <v>148</v>
      </c>
      <c r="C1511" s="1">
        <v>45813</v>
      </c>
      <c r="D1511" t="s">
        <v>222</v>
      </c>
      <c r="E1511" t="s">
        <v>223</v>
      </c>
      <c r="F1511" t="s">
        <v>469</v>
      </c>
      <c r="G1511" t="s">
        <v>5874</v>
      </c>
      <c r="H1511">
        <v>253</v>
      </c>
      <c r="I1511" t="s">
        <v>5874</v>
      </c>
      <c r="J1511">
        <v>677</v>
      </c>
      <c r="K1511" t="s">
        <v>5257</v>
      </c>
      <c r="L1511" t="s">
        <v>4947</v>
      </c>
      <c r="M1511" t="s">
        <v>5364</v>
      </c>
      <c r="N1511" t="s">
        <v>5875</v>
      </c>
      <c r="O1511" t="s">
        <v>965</v>
      </c>
      <c r="Q1511" t="s">
        <v>4029</v>
      </c>
      <c r="R1511">
        <f>1</f>
        <v>1</v>
      </c>
      <c r="S1511">
        <f>15.5</f>
        <v>15.5</v>
      </c>
      <c r="T1511">
        <f>7.9</f>
        <v>7.9</v>
      </c>
      <c r="U1511">
        <f>397</f>
        <v>397</v>
      </c>
      <c r="V1511">
        <f>0.1</f>
        <v>0.1</v>
      </c>
      <c r="X1511">
        <f>1</f>
        <v>1</v>
      </c>
      <c r="Y1511">
        <f>0.2</f>
        <v>0.2</v>
      </c>
      <c r="Z1511">
        <f>0</f>
        <v>0</v>
      </c>
      <c r="AA1511">
        <f>2</f>
        <v>2</v>
      </c>
      <c r="AB1511">
        <f>0</f>
        <v>0</v>
      </c>
      <c r="AC1511">
        <f>0</f>
        <v>0</v>
      </c>
      <c r="AD1511">
        <f>0</f>
        <v>0</v>
      </c>
      <c r="AE1511">
        <f>0</f>
        <v>0</v>
      </c>
      <c r="AH1511" t="s">
        <v>166</v>
      </c>
    </row>
    <row r="1512" spans="1:149" x14ac:dyDescent="0.25">
      <c r="A1512" t="s">
        <v>4030</v>
      </c>
      <c r="B1512" t="s">
        <v>148</v>
      </c>
      <c r="C1512" s="1">
        <v>45882</v>
      </c>
      <c r="D1512" t="s">
        <v>269</v>
      </c>
      <c r="E1512" t="s">
        <v>270</v>
      </c>
      <c r="F1512" t="s">
        <v>271</v>
      </c>
      <c r="G1512" t="s">
        <v>1530</v>
      </c>
      <c r="H1512">
        <v>595</v>
      </c>
      <c r="I1512" t="s">
        <v>1530</v>
      </c>
      <c r="J1512">
        <v>2058</v>
      </c>
      <c r="K1512" t="s">
        <v>5254</v>
      </c>
      <c r="L1512" t="s">
        <v>154</v>
      </c>
      <c r="M1512" t="s">
        <v>5954</v>
      </c>
      <c r="N1512" t="s">
        <v>5955</v>
      </c>
      <c r="O1512" t="s">
        <v>1531</v>
      </c>
      <c r="R1512">
        <f>1</f>
        <v>1</v>
      </c>
      <c r="S1512">
        <f>24.9</f>
        <v>24.9</v>
      </c>
      <c r="T1512">
        <f>7.7</f>
        <v>7.7</v>
      </c>
      <c r="U1512">
        <f>562</f>
        <v>562</v>
      </c>
      <c r="V1512">
        <f>0.14</f>
        <v>0.14000000000000001</v>
      </c>
      <c r="X1512">
        <f>0</f>
        <v>0</v>
      </c>
      <c r="Y1512" t="s">
        <v>207</v>
      </c>
      <c r="Z1512">
        <f>0</f>
        <v>0</v>
      </c>
      <c r="AA1512" t="s">
        <v>158</v>
      </c>
      <c r="AB1512" t="s">
        <v>158</v>
      </c>
      <c r="AD1512">
        <f>0</f>
        <v>0</v>
      </c>
      <c r="AE1512">
        <f>0</f>
        <v>0</v>
      </c>
      <c r="AH1512" t="s">
        <v>166</v>
      </c>
    </row>
    <row r="1513" spans="1:149" x14ac:dyDescent="0.25">
      <c r="A1513" t="s">
        <v>4031</v>
      </c>
      <c r="B1513" t="s">
        <v>148</v>
      </c>
      <c r="C1513" s="1">
        <v>45852</v>
      </c>
      <c r="D1513" t="s">
        <v>175</v>
      </c>
      <c r="E1513" t="s">
        <v>649</v>
      </c>
      <c r="F1513" t="s">
        <v>685</v>
      </c>
      <c r="G1513" t="s">
        <v>6559</v>
      </c>
      <c r="H1513">
        <v>1022</v>
      </c>
      <c r="I1513" t="s">
        <v>6559</v>
      </c>
      <c r="J1513">
        <v>8960</v>
      </c>
      <c r="K1513" t="s">
        <v>5257</v>
      </c>
      <c r="L1513" t="s">
        <v>154</v>
      </c>
      <c r="M1513" t="s">
        <v>973</v>
      </c>
      <c r="N1513" t="s">
        <v>974</v>
      </c>
      <c r="O1513" t="s">
        <v>975</v>
      </c>
      <c r="Q1513" t="s">
        <v>6461</v>
      </c>
      <c r="R1513">
        <f>1</f>
        <v>1</v>
      </c>
      <c r="S1513">
        <f>17.9</f>
        <v>17.899999999999999</v>
      </c>
      <c r="T1513">
        <f>7.7</f>
        <v>7.7</v>
      </c>
      <c r="U1513">
        <f>513</f>
        <v>513</v>
      </c>
      <c r="V1513">
        <f>0.17</f>
        <v>0.17</v>
      </c>
      <c r="X1513">
        <f>0</f>
        <v>0</v>
      </c>
      <c r="Y1513" t="s">
        <v>157</v>
      </c>
      <c r="Z1513">
        <f>0</f>
        <v>0</v>
      </c>
      <c r="AA1513" t="s">
        <v>158</v>
      </c>
      <c r="AB1513" t="s">
        <v>158</v>
      </c>
      <c r="AC1513">
        <f>0</f>
        <v>0</v>
      </c>
      <c r="AD1513">
        <f>0</f>
        <v>0</v>
      </c>
      <c r="AE1513">
        <f>0</f>
        <v>0</v>
      </c>
      <c r="AH1513" t="s">
        <v>157</v>
      </c>
      <c r="EP1513" t="s">
        <v>157</v>
      </c>
      <c r="EQ1513" t="s">
        <v>157</v>
      </c>
      <c r="ES1513" t="s">
        <v>166</v>
      </c>
    </row>
    <row r="1514" spans="1:149" x14ac:dyDescent="0.25">
      <c r="A1514" t="s">
        <v>4032</v>
      </c>
      <c r="B1514" t="s">
        <v>148</v>
      </c>
      <c r="C1514" s="1">
        <v>45888</v>
      </c>
      <c r="D1514" t="s">
        <v>175</v>
      </c>
      <c r="E1514" t="s">
        <v>176</v>
      </c>
      <c r="F1514" t="s">
        <v>690</v>
      </c>
      <c r="G1514" t="s">
        <v>691</v>
      </c>
      <c r="H1514">
        <v>1021</v>
      </c>
      <c r="I1514" t="s">
        <v>692</v>
      </c>
      <c r="J1514">
        <v>9974</v>
      </c>
      <c r="K1514" t="s">
        <v>5254</v>
      </c>
      <c r="L1514" t="s">
        <v>4963</v>
      </c>
      <c r="M1514" t="s">
        <v>977</v>
      </c>
      <c r="N1514" t="s">
        <v>5368</v>
      </c>
      <c r="O1514" t="s">
        <v>978</v>
      </c>
      <c r="Q1514" t="s">
        <v>6461</v>
      </c>
      <c r="R1514">
        <f>1</f>
        <v>1</v>
      </c>
      <c r="S1514">
        <f>17.7</f>
        <v>17.7</v>
      </c>
      <c r="T1514">
        <f>7.6</f>
        <v>7.6</v>
      </c>
      <c r="U1514">
        <f>406</f>
        <v>406</v>
      </c>
      <c r="X1514">
        <f>0</f>
        <v>0</v>
      </c>
      <c r="Y1514" t="s">
        <v>157</v>
      </c>
      <c r="Z1514">
        <f>0</f>
        <v>0</v>
      </c>
      <c r="AA1514" t="s">
        <v>158</v>
      </c>
      <c r="AB1514" t="s">
        <v>158</v>
      </c>
      <c r="AC1514">
        <f>0</f>
        <v>0</v>
      </c>
      <c r="AD1514">
        <f>0</f>
        <v>0</v>
      </c>
      <c r="AE1514">
        <f>0</f>
        <v>0</v>
      </c>
      <c r="AH1514" t="s">
        <v>157</v>
      </c>
    </row>
    <row r="1515" spans="1:149" x14ac:dyDescent="0.25">
      <c r="A1515" t="s">
        <v>4033</v>
      </c>
      <c r="B1515" t="s">
        <v>148</v>
      </c>
      <c r="C1515" s="1">
        <v>45824</v>
      </c>
      <c r="D1515" t="s">
        <v>242</v>
      </c>
      <c r="E1515" t="s">
        <v>243</v>
      </c>
      <c r="F1515" t="s">
        <v>5098</v>
      </c>
      <c r="G1515" t="s">
        <v>5118</v>
      </c>
      <c r="H1515">
        <v>1147</v>
      </c>
      <c r="I1515" t="s">
        <v>5118</v>
      </c>
      <c r="J1515">
        <v>2266</v>
      </c>
      <c r="K1515" t="s">
        <v>5254</v>
      </c>
      <c r="L1515" t="s">
        <v>387</v>
      </c>
      <c r="M1515" t="s">
        <v>4739</v>
      </c>
      <c r="N1515" t="s">
        <v>4972</v>
      </c>
      <c r="O1515" t="s">
        <v>1009</v>
      </c>
      <c r="R1515">
        <f>1</f>
        <v>1</v>
      </c>
      <c r="S1515">
        <f>17.6</f>
        <v>17.600000000000001</v>
      </c>
      <c r="T1515">
        <f>7.6</f>
        <v>7.6</v>
      </c>
      <c r="U1515">
        <f>350</f>
        <v>350</v>
      </c>
      <c r="V1515">
        <f>0.23</f>
        <v>0.23</v>
      </c>
      <c r="X1515">
        <f>1</f>
        <v>1</v>
      </c>
      <c r="Y1515" t="s">
        <v>157</v>
      </c>
      <c r="Z1515">
        <f>0</f>
        <v>0</v>
      </c>
      <c r="AA1515" t="s">
        <v>158</v>
      </c>
      <c r="AB1515" t="s">
        <v>158</v>
      </c>
      <c r="AD1515">
        <f>0</f>
        <v>0</v>
      </c>
      <c r="AE1515">
        <f>0</f>
        <v>0</v>
      </c>
      <c r="AH1515" t="s">
        <v>157</v>
      </c>
      <c r="AI1515" t="s">
        <v>238</v>
      </c>
      <c r="AL1515" t="s">
        <v>164</v>
      </c>
      <c r="AM1515">
        <f>0.007</f>
        <v>7.0000000000000001E-3</v>
      </c>
      <c r="AN1515">
        <f>3.2</f>
        <v>3.2</v>
      </c>
      <c r="AO1515">
        <f>0.07</f>
        <v>7.0000000000000007E-2</v>
      </c>
      <c r="AP1515">
        <f>12</f>
        <v>12</v>
      </c>
      <c r="AQ1515">
        <f>1.9</f>
        <v>1.9</v>
      </c>
      <c r="AR1515" t="s">
        <v>157</v>
      </c>
      <c r="AS1515">
        <f>1.5</f>
        <v>1.5</v>
      </c>
      <c r="AY1515" t="s">
        <v>167</v>
      </c>
      <c r="AZ1515" t="s">
        <v>158</v>
      </c>
      <c r="BA1515" t="s">
        <v>216</v>
      </c>
      <c r="BB1515" t="s">
        <v>158</v>
      </c>
      <c r="BC1515" t="s">
        <v>166</v>
      </c>
      <c r="BD1515" t="s">
        <v>167</v>
      </c>
      <c r="BE1515">
        <f>0.0043</f>
        <v>4.3E-3</v>
      </c>
      <c r="BF1515" t="s">
        <v>168</v>
      </c>
      <c r="BG1515" t="s">
        <v>167</v>
      </c>
      <c r="BH1515">
        <f>1.4</f>
        <v>1.4</v>
      </c>
      <c r="BK1515">
        <f>0.57</f>
        <v>0.56999999999999995</v>
      </c>
      <c r="EL1515">
        <f>0.12</f>
        <v>0.12</v>
      </c>
      <c r="EM1515" t="s">
        <v>166</v>
      </c>
      <c r="EN1515">
        <f>0.27</f>
        <v>0.27</v>
      </c>
      <c r="EO1515">
        <f>0.29</f>
        <v>0.28999999999999998</v>
      </c>
      <c r="ER1515">
        <f>0.68</f>
        <v>0.68</v>
      </c>
    </row>
    <row r="1516" spans="1:149" x14ac:dyDescent="0.25">
      <c r="A1516" t="s">
        <v>4034</v>
      </c>
      <c r="B1516" t="s">
        <v>148</v>
      </c>
      <c r="C1516" s="1">
        <v>45896</v>
      </c>
      <c r="D1516" t="s">
        <v>189</v>
      </c>
      <c r="E1516" t="s">
        <v>284</v>
      </c>
      <c r="F1516" t="s">
        <v>285</v>
      </c>
      <c r="G1516" t="s">
        <v>286</v>
      </c>
      <c r="H1516">
        <v>197</v>
      </c>
      <c r="I1516" t="s">
        <v>287</v>
      </c>
      <c r="J1516">
        <v>19851</v>
      </c>
      <c r="K1516" t="s">
        <v>5257</v>
      </c>
      <c r="L1516" t="s">
        <v>4943</v>
      </c>
      <c r="M1516" t="s">
        <v>1011</v>
      </c>
      <c r="N1516" t="s">
        <v>1012</v>
      </c>
      <c r="O1516" t="s">
        <v>1013</v>
      </c>
      <c r="R1516">
        <f>1</f>
        <v>1</v>
      </c>
      <c r="S1516">
        <f>23</f>
        <v>23</v>
      </c>
      <c r="T1516">
        <f>7.8</f>
        <v>7.8</v>
      </c>
      <c r="U1516">
        <f>319</f>
        <v>319</v>
      </c>
      <c r="V1516" t="s">
        <v>1723</v>
      </c>
      <c r="X1516">
        <f>0</f>
        <v>0</v>
      </c>
      <c r="Y1516">
        <f>0.07</f>
        <v>7.0000000000000007E-2</v>
      </c>
      <c r="Z1516">
        <f>0</f>
        <v>0</v>
      </c>
      <c r="AA1516">
        <f>51</f>
        <v>51</v>
      </c>
      <c r="AB1516">
        <f>62</f>
        <v>62</v>
      </c>
      <c r="AC1516">
        <f>0</f>
        <v>0</v>
      </c>
      <c r="AD1516">
        <f>0</f>
        <v>0</v>
      </c>
      <c r="AE1516">
        <f>0</f>
        <v>0</v>
      </c>
      <c r="AH1516" t="s">
        <v>157</v>
      </c>
      <c r="BB1516">
        <f>25</f>
        <v>25</v>
      </c>
    </row>
    <row r="1517" spans="1:149" x14ac:dyDescent="0.25">
      <c r="A1517" t="s">
        <v>4035</v>
      </c>
      <c r="B1517" t="s">
        <v>148</v>
      </c>
      <c r="C1517" s="1">
        <v>45846</v>
      </c>
      <c r="D1517" t="s">
        <v>618</v>
      </c>
      <c r="E1517" t="s">
        <v>619</v>
      </c>
      <c r="F1517" t="s">
        <v>6648</v>
      </c>
      <c r="G1517" t="s">
        <v>6649</v>
      </c>
      <c r="H1517">
        <v>38</v>
      </c>
      <c r="I1517" t="s">
        <v>1616</v>
      </c>
      <c r="J1517">
        <v>1850</v>
      </c>
      <c r="K1517" t="s">
        <v>5257</v>
      </c>
      <c r="L1517" t="s">
        <v>4724</v>
      </c>
      <c r="M1517" t="s">
        <v>6650</v>
      </c>
      <c r="N1517" t="s">
        <v>6651</v>
      </c>
      <c r="O1517" t="s">
        <v>1617</v>
      </c>
      <c r="R1517">
        <f>1</f>
        <v>1</v>
      </c>
      <c r="S1517">
        <f>13.2</f>
        <v>13.2</v>
      </c>
      <c r="T1517">
        <f>7.8</f>
        <v>7.8</v>
      </c>
      <c r="U1517">
        <f>308</f>
        <v>308</v>
      </c>
      <c r="V1517" t="s">
        <v>209</v>
      </c>
      <c r="X1517">
        <f>0</f>
        <v>0</v>
      </c>
      <c r="Y1517">
        <f>0.1</f>
        <v>0.1</v>
      </c>
      <c r="Z1517">
        <f>0</f>
        <v>0</v>
      </c>
      <c r="AA1517" t="s">
        <v>158</v>
      </c>
      <c r="AB1517" t="s">
        <v>158</v>
      </c>
      <c r="AC1517">
        <f>0</f>
        <v>0</v>
      </c>
      <c r="AD1517">
        <f>0</f>
        <v>0</v>
      </c>
      <c r="AE1517">
        <f>0</f>
        <v>0</v>
      </c>
      <c r="AH1517" t="s">
        <v>157</v>
      </c>
    </row>
    <row r="1518" spans="1:149" x14ac:dyDescent="0.25">
      <c r="A1518" t="s">
        <v>4036</v>
      </c>
      <c r="B1518" t="s">
        <v>148</v>
      </c>
      <c r="C1518" s="1">
        <v>45840</v>
      </c>
      <c r="D1518" t="s">
        <v>189</v>
      </c>
      <c r="E1518" t="s">
        <v>284</v>
      </c>
      <c r="F1518" t="s">
        <v>285</v>
      </c>
      <c r="G1518" t="s">
        <v>286</v>
      </c>
      <c r="H1518">
        <v>197</v>
      </c>
      <c r="I1518" t="s">
        <v>287</v>
      </c>
      <c r="J1518">
        <v>19851</v>
      </c>
      <c r="K1518" t="s">
        <v>5257</v>
      </c>
      <c r="L1518" t="s">
        <v>4943</v>
      </c>
      <c r="M1518" t="s">
        <v>1027</v>
      </c>
      <c r="N1518" t="s">
        <v>1028</v>
      </c>
      <c r="O1518" t="s">
        <v>1029</v>
      </c>
      <c r="R1518">
        <f>1</f>
        <v>1</v>
      </c>
      <c r="S1518">
        <f>21.5</f>
        <v>21.5</v>
      </c>
      <c r="T1518">
        <f>7.8</f>
        <v>7.8</v>
      </c>
      <c r="U1518">
        <f>335</f>
        <v>335</v>
      </c>
      <c r="V1518">
        <f>0.19</f>
        <v>0.19</v>
      </c>
      <c r="X1518">
        <f>0</f>
        <v>0</v>
      </c>
      <c r="Y1518">
        <f>0.1</f>
        <v>0.1</v>
      </c>
      <c r="Z1518">
        <f>0</f>
        <v>0</v>
      </c>
      <c r="AA1518">
        <f>1</f>
        <v>1</v>
      </c>
      <c r="AB1518">
        <f>0</f>
        <v>0</v>
      </c>
      <c r="AC1518">
        <f>0</f>
        <v>0</v>
      </c>
      <c r="AD1518">
        <f>0</f>
        <v>0</v>
      </c>
      <c r="AE1518">
        <f>0</f>
        <v>0</v>
      </c>
      <c r="AH1518" t="s">
        <v>157</v>
      </c>
      <c r="BB1518">
        <f>13</f>
        <v>13</v>
      </c>
    </row>
    <row r="1519" spans="1:149" x14ac:dyDescent="0.25">
      <c r="A1519" t="s">
        <v>4037</v>
      </c>
      <c r="B1519" t="s">
        <v>148</v>
      </c>
      <c r="C1519" s="1">
        <v>45868</v>
      </c>
      <c r="D1519" t="s">
        <v>175</v>
      </c>
      <c r="E1519" t="s">
        <v>270</v>
      </c>
      <c r="F1519" t="s">
        <v>354</v>
      </c>
      <c r="G1519" t="s">
        <v>6540</v>
      </c>
      <c r="H1519">
        <v>692</v>
      </c>
      <c r="I1519" t="s">
        <v>779</v>
      </c>
      <c r="J1519">
        <v>9259</v>
      </c>
      <c r="K1519" t="s">
        <v>5257</v>
      </c>
      <c r="L1519" t="s">
        <v>355</v>
      </c>
      <c r="M1519" t="s">
        <v>1037</v>
      </c>
      <c r="N1519" t="s">
        <v>1038</v>
      </c>
      <c r="O1519" t="s">
        <v>1039</v>
      </c>
      <c r="R1519">
        <f>1</f>
        <v>1</v>
      </c>
      <c r="S1519">
        <f>20.7</f>
        <v>20.7</v>
      </c>
      <c r="T1519">
        <f>7.6</f>
        <v>7.6</v>
      </c>
      <c r="U1519">
        <f>466</f>
        <v>466</v>
      </c>
      <c r="V1519" t="s">
        <v>1723</v>
      </c>
      <c r="X1519">
        <f>0</f>
        <v>0</v>
      </c>
      <c r="Y1519">
        <f>0.11</f>
        <v>0.11</v>
      </c>
      <c r="Z1519">
        <f>0</f>
        <v>0</v>
      </c>
      <c r="AA1519" t="s">
        <v>158</v>
      </c>
      <c r="AB1519" t="s">
        <v>158</v>
      </c>
      <c r="AC1519">
        <f>0</f>
        <v>0</v>
      </c>
      <c r="AD1519">
        <f>0</f>
        <v>0</v>
      </c>
      <c r="AE1519">
        <f>0</f>
        <v>0</v>
      </c>
      <c r="AH1519" t="s">
        <v>166</v>
      </c>
    </row>
    <row r="1520" spans="1:149" x14ac:dyDescent="0.25">
      <c r="A1520" t="s">
        <v>4038</v>
      </c>
      <c r="B1520" t="s">
        <v>268</v>
      </c>
      <c r="C1520" s="1">
        <v>45873</v>
      </c>
      <c r="D1520" t="s">
        <v>242</v>
      </c>
      <c r="E1520" t="s">
        <v>243</v>
      </c>
      <c r="F1520" t="s">
        <v>244</v>
      </c>
      <c r="G1520" t="s">
        <v>1041</v>
      </c>
      <c r="H1520">
        <v>721</v>
      </c>
      <c r="I1520" t="s">
        <v>5376</v>
      </c>
      <c r="J1520">
        <v>1167</v>
      </c>
      <c r="K1520" t="s">
        <v>5257</v>
      </c>
      <c r="L1520" t="s">
        <v>1042</v>
      </c>
      <c r="M1520" t="s">
        <v>1043</v>
      </c>
      <c r="N1520" t="s">
        <v>1044</v>
      </c>
      <c r="O1520" t="s">
        <v>1045</v>
      </c>
      <c r="R1520">
        <f>1</f>
        <v>1</v>
      </c>
      <c r="S1520">
        <f>16.1</f>
        <v>16.100000000000001</v>
      </c>
      <c r="T1520">
        <f>7.7</f>
        <v>7.7</v>
      </c>
      <c r="U1520">
        <f>434</f>
        <v>434</v>
      </c>
      <c r="V1520">
        <f>0.26</f>
        <v>0.26</v>
      </c>
      <c r="X1520">
        <f>0</f>
        <v>0</v>
      </c>
      <c r="Y1520" t="s">
        <v>157</v>
      </c>
      <c r="Z1520">
        <f>0</f>
        <v>0</v>
      </c>
      <c r="AA1520" t="s">
        <v>158</v>
      </c>
      <c r="AB1520" t="s">
        <v>158</v>
      </c>
      <c r="AD1520">
        <f>1</f>
        <v>1</v>
      </c>
      <c r="AE1520">
        <f>0</f>
        <v>0</v>
      </c>
      <c r="AH1520" t="s">
        <v>157</v>
      </c>
    </row>
    <row r="1521" spans="1:63" x14ac:dyDescent="0.25">
      <c r="A1521" t="s">
        <v>4039</v>
      </c>
      <c r="B1521" t="s">
        <v>148</v>
      </c>
      <c r="C1521" s="1">
        <v>45887</v>
      </c>
      <c r="D1521" t="s">
        <v>222</v>
      </c>
      <c r="E1521" t="s">
        <v>223</v>
      </c>
      <c r="F1521" t="s">
        <v>224</v>
      </c>
      <c r="G1521" t="s">
        <v>1054</v>
      </c>
      <c r="H1521">
        <v>1392</v>
      </c>
      <c r="I1521" t="s">
        <v>1054</v>
      </c>
      <c r="J1521">
        <v>601</v>
      </c>
      <c r="K1521" t="s">
        <v>5254</v>
      </c>
      <c r="L1521" t="s">
        <v>4947</v>
      </c>
      <c r="M1521" t="s">
        <v>5378</v>
      </c>
      <c r="N1521" t="s">
        <v>5890</v>
      </c>
      <c r="O1521" t="s">
        <v>1055</v>
      </c>
      <c r="R1521">
        <f>1</f>
        <v>1</v>
      </c>
      <c r="S1521">
        <f>22.5</f>
        <v>22.5</v>
      </c>
      <c r="T1521">
        <f>7.9</f>
        <v>7.9</v>
      </c>
      <c r="U1521">
        <f>258</f>
        <v>258</v>
      </c>
      <c r="X1521">
        <f>1</f>
        <v>1</v>
      </c>
      <c r="Y1521">
        <f>0.13</f>
        <v>0.13</v>
      </c>
      <c r="Z1521">
        <f>0</f>
        <v>0</v>
      </c>
      <c r="AA1521">
        <f>0</f>
        <v>0</v>
      </c>
      <c r="AB1521">
        <f>0</f>
        <v>0</v>
      </c>
      <c r="AD1521">
        <f>0</f>
        <v>0</v>
      </c>
      <c r="AE1521">
        <f>0</f>
        <v>0</v>
      </c>
      <c r="AH1521" t="s">
        <v>166</v>
      </c>
    </row>
    <row r="1522" spans="1:63" x14ac:dyDescent="0.25">
      <c r="A1522" t="s">
        <v>4040</v>
      </c>
      <c r="B1522" t="s">
        <v>148</v>
      </c>
      <c r="C1522" s="1">
        <v>45896</v>
      </c>
      <c r="D1522" t="s">
        <v>189</v>
      </c>
      <c r="E1522" t="s">
        <v>284</v>
      </c>
      <c r="F1522" t="s">
        <v>285</v>
      </c>
      <c r="G1522" t="s">
        <v>286</v>
      </c>
      <c r="H1522">
        <v>197</v>
      </c>
      <c r="I1522" t="s">
        <v>287</v>
      </c>
      <c r="J1522">
        <v>19851</v>
      </c>
      <c r="K1522" t="s">
        <v>5257</v>
      </c>
      <c r="L1522" t="s">
        <v>4943</v>
      </c>
      <c r="M1522" t="s">
        <v>1057</v>
      </c>
      <c r="N1522" t="s">
        <v>1058</v>
      </c>
      <c r="O1522" t="s">
        <v>1059</v>
      </c>
      <c r="R1522">
        <f>1</f>
        <v>1</v>
      </c>
      <c r="S1522">
        <f>20.9</f>
        <v>20.9</v>
      </c>
      <c r="T1522">
        <f>7.8</f>
        <v>7.8</v>
      </c>
      <c r="U1522">
        <f>308</f>
        <v>308</v>
      </c>
      <c r="X1522">
        <f>0</f>
        <v>0</v>
      </c>
      <c r="Y1522">
        <f>0.08</f>
        <v>0.08</v>
      </c>
      <c r="Z1522">
        <f>0</f>
        <v>0</v>
      </c>
      <c r="AA1522">
        <f>11</f>
        <v>11</v>
      </c>
      <c r="AB1522">
        <f>14</f>
        <v>14</v>
      </c>
      <c r="AC1522">
        <f>0</f>
        <v>0</v>
      </c>
      <c r="AD1522">
        <f>0</f>
        <v>0</v>
      </c>
      <c r="AE1522">
        <f>0</f>
        <v>0</v>
      </c>
      <c r="AH1522" t="s">
        <v>157</v>
      </c>
    </row>
    <row r="1523" spans="1:63" x14ac:dyDescent="0.25">
      <c r="A1523" t="s">
        <v>4041</v>
      </c>
      <c r="B1523" t="s">
        <v>148</v>
      </c>
      <c r="C1523" s="1">
        <v>45820</v>
      </c>
      <c r="D1523" t="s">
        <v>269</v>
      </c>
      <c r="E1523" t="s">
        <v>270</v>
      </c>
      <c r="F1523" t="s">
        <v>271</v>
      </c>
      <c r="G1523" t="s">
        <v>5120</v>
      </c>
      <c r="H1523">
        <v>1699</v>
      </c>
      <c r="I1523" t="s">
        <v>5121</v>
      </c>
      <c r="J1523">
        <v>2681</v>
      </c>
      <c r="K1523" t="s">
        <v>5254</v>
      </c>
      <c r="L1523" t="s">
        <v>387</v>
      </c>
      <c r="M1523" t="s">
        <v>5891</v>
      </c>
      <c r="N1523" t="s">
        <v>5122</v>
      </c>
      <c r="O1523" t="s">
        <v>1075</v>
      </c>
      <c r="R1523">
        <f>1</f>
        <v>1</v>
      </c>
      <c r="S1523">
        <f>18.5</f>
        <v>18.5</v>
      </c>
      <c r="T1523">
        <f>7.5</f>
        <v>7.5</v>
      </c>
      <c r="U1523">
        <f>434</f>
        <v>434</v>
      </c>
      <c r="V1523">
        <f>0.13</f>
        <v>0.13</v>
      </c>
      <c r="X1523">
        <f>0</f>
        <v>0</v>
      </c>
      <c r="Y1523" t="s">
        <v>207</v>
      </c>
      <c r="Z1523">
        <f>0</f>
        <v>0</v>
      </c>
      <c r="AA1523" t="s">
        <v>158</v>
      </c>
      <c r="AB1523">
        <f>45</f>
        <v>45</v>
      </c>
      <c r="AD1523">
        <f>0</f>
        <v>0</v>
      </c>
      <c r="AE1523">
        <f>0</f>
        <v>0</v>
      </c>
      <c r="AH1523" t="s">
        <v>166</v>
      </c>
    </row>
    <row r="1524" spans="1:63" x14ac:dyDescent="0.25">
      <c r="A1524" t="s">
        <v>4042</v>
      </c>
      <c r="B1524" t="s">
        <v>148</v>
      </c>
      <c r="C1524" s="1">
        <v>45868</v>
      </c>
      <c r="D1524" t="s">
        <v>618</v>
      </c>
      <c r="E1524" t="s">
        <v>619</v>
      </c>
      <c r="F1524" t="s">
        <v>620</v>
      </c>
      <c r="G1524" t="s">
        <v>1080</v>
      </c>
      <c r="H1524">
        <v>42</v>
      </c>
      <c r="I1524" t="s">
        <v>1081</v>
      </c>
      <c r="J1524">
        <v>5500</v>
      </c>
      <c r="K1524" t="s">
        <v>5254</v>
      </c>
      <c r="L1524" t="s">
        <v>180</v>
      </c>
      <c r="M1524" t="s">
        <v>5380</v>
      </c>
      <c r="N1524" t="s">
        <v>5381</v>
      </c>
      <c r="O1524" t="s">
        <v>1082</v>
      </c>
      <c r="R1524">
        <f>1</f>
        <v>1</v>
      </c>
      <c r="S1524">
        <f>18.6</f>
        <v>18.600000000000001</v>
      </c>
      <c r="T1524">
        <f>7.7</f>
        <v>7.7</v>
      </c>
      <c r="U1524">
        <f>466</f>
        <v>466</v>
      </c>
      <c r="X1524">
        <f>0</f>
        <v>0</v>
      </c>
      <c r="Y1524">
        <f>0.1</f>
        <v>0.1</v>
      </c>
      <c r="Z1524">
        <f>0</f>
        <v>0</v>
      </c>
      <c r="AA1524" t="s">
        <v>158</v>
      </c>
      <c r="AB1524" t="s">
        <v>158</v>
      </c>
      <c r="AD1524">
        <f>0</f>
        <v>0</v>
      </c>
      <c r="AE1524">
        <f>0</f>
        <v>0</v>
      </c>
      <c r="AH1524" t="s">
        <v>157</v>
      </c>
    </row>
    <row r="1525" spans="1:63" x14ac:dyDescent="0.25">
      <c r="A1525" t="s">
        <v>4043</v>
      </c>
      <c r="B1525" t="s">
        <v>148</v>
      </c>
      <c r="C1525" s="1">
        <v>45799</v>
      </c>
      <c r="D1525" t="s">
        <v>317</v>
      </c>
      <c r="E1525" t="s">
        <v>318</v>
      </c>
      <c r="F1525" t="s">
        <v>847</v>
      </c>
      <c r="G1525" t="s">
        <v>848</v>
      </c>
      <c r="H1525">
        <v>988</v>
      </c>
      <c r="I1525" t="s">
        <v>849</v>
      </c>
      <c r="J1525">
        <v>3256</v>
      </c>
      <c r="K1525" t="s">
        <v>5254</v>
      </c>
      <c r="L1525" t="s">
        <v>4967</v>
      </c>
      <c r="M1525" t="s">
        <v>1084</v>
      </c>
      <c r="N1525" t="s">
        <v>1085</v>
      </c>
      <c r="O1525" t="s">
        <v>1086</v>
      </c>
      <c r="Q1525" t="s">
        <v>6401</v>
      </c>
      <c r="R1525">
        <f>1</f>
        <v>1</v>
      </c>
      <c r="S1525">
        <f>11.5</f>
        <v>11.5</v>
      </c>
      <c r="T1525">
        <f>7.8</f>
        <v>7.8</v>
      </c>
      <c r="U1525">
        <f>331</f>
        <v>331</v>
      </c>
      <c r="X1525">
        <f>0</f>
        <v>0</v>
      </c>
      <c r="Y1525" t="s">
        <v>157</v>
      </c>
      <c r="Z1525">
        <f>0</f>
        <v>0</v>
      </c>
      <c r="AA1525">
        <f>2</f>
        <v>2</v>
      </c>
      <c r="AB1525">
        <f>2</f>
        <v>2</v>
      </c>
      <c r="AD1525">
        <f>0</f>
        <v>0</v>
      </c>
      <c r="AE1525">
        <f>0</f>
        <v>0</v>
      </c>
      <c r="AH1525" t="s">
        <v>157</v>
      </c>
      <c r="AI1525" t="s">
        <v>167</v>
      </c>
      <c r="AL1525" t="s">
        <v>168</v>
      </c>
      <c r="AM1525" t="s">
        <v>216</v>
      </c>
      <c r="AN1525">
        <f>1.3</f>
        <v>1.3</v>
      </c>
      <c r="AO1525">
        <f>0.026</f>
        <v>2.5999999999999999E-2</v>
      </c>
      <c r="AP1525">
        <f>9.1</f>
        <v>9.1</v>
      </c>
      <c r="AQ1525" t="s">
        <v>167</v>
      </c>
      <c r="AR1525" t="s">
        <v>167</v>
      </c>
      <c r="AS1525">
        <f>0.46</f>
        <v>0.46</v>
      </c>
      <c r="AY1525" t="s">
        <v>158</v>
      </c>
      <c r="AZ1525" t="s">
        <v>158</v>
      </c>
      <c r="BA1525" t="s">
        <v>216</v>
      </c>
      <c r="BB1525" t="s">
        <v>158</v>
      </c>
      <c r="BC1525" t="s">
        <v>167</v>
      </c>
      <c r="BD1525" t="s">
        <v>167</v>
      </c>
      <c r="BE1525" t="s">
        <v>216</v>
      </c>
      <c r="BF1525" t="s">
        <v>167</v>
      </c>
      <c r="BG1525" t="s">
        <v>158</v>
      </c>
      <c r="BH1525" t="s">
        <v>167</v>
      </c>
      <c r="BK1525" t="s">
        <v>158</v>
      </c>
    </row>
    <row r="1526" spans="1:63" x14ac:dyDescent="0.25">
      <c r="A1526" t="s">
        <v>4044</v>
      </c>
      <c r="B1526" t="s">
        <v>148</v>
      </c>
      <c r="C1526" s="1">
        <v>45898</v>
      </c>
      <c r="D1526" t="s">
        <v>311</v>
      </c>
      <c r="E1526" t="s">
        <v>312</v>
      </c>
      <c r="F1526" t="s">
        <v>4780</v>
      </c>
      <c r="G1526" t="s">
        <v>6654</v>
      </c>
      <c r="H1526">
        <v>1033</v>
      </c>
      <c r="I1526" t="s">
        <v>1666</v>
      </c>
      <c r="J1526">
        <v>1550</v>
      </c>
      <c r="K1526" t="s">
        <v>5257</v>
      </c>
      <c r="L1526" t="s">
        <v>4775</v>
      </c>
      <c r="M1526" t="s">
        <v>1667</v>
      </c>
      <c r="N1526" t="s">
        <v>1668</v>
      </c>
      <c r="O1526" t="s">
        <v>1669</v>
      </c>
      <c r="R1526">
        <f>1</f>
        <v>1</v>
      </c>
      <c r="S1526">
        <f>21.3</f>
        <v>21.3</v>
      </c>
      <c r="T1526">
        <f>7</f>
        <v>7</v>
      </c>
      <c r="U1526">
        <f>232</f>
        <v>232</v>
      </c>
      <c r="X1526">
        <f>0</f>
        <v>0</v>
      </c>
      <c r="Y1526" t="s">
        <v>157</v>
      </c>
      <c r="Z1526">
        <f>0</f>
        <v>0</v>
      </c>
      <c r="AA1526" t="s">
        <v>158</v>
      </c>
      <c r="AB1526" t="s">
        <v>158</v>
      </c>
      <c r="AC1526">
        <f>0</f>
        <v>0</v>
      </c>
      <c r="AD1526">
        <f>0</f>
        <v>0</v>
      </c>
      <c r="AE1526">
        <f>0</f>
        <v>0</v>
      </c>
      <c r="AH1526" t="s">
        <v>157</v>
      </c>
    </row>
    <row r="1527" spans="1:63" x14ac:dyDescent="0.25">
      <c r="A1527" t="s">
        <v>4045</v>
      </c>
      <c r="B1527" t="s">
        <v>148</v>
      </c>
      <c r="C1527" s="1">
        <v>45875</v>
      </c>
      <c r="D1527" t="s">
        <v>222</v>
      </c>
      <c r="E1527" t="s">
        <v>223</v>
      </c>
      <c r="F1527" t="s">
        <v>4745</v>
      </c>
      <c r="G1527" t="s">
        <v>1091</v>
      </c>
      <c r="H1527">
        <v>1285</v>
      </c>
      <c r="I1527" t="s">
        <v>1091</v>
      </c>
      <c r="J1527">
        <v>1400</v>
      </c>
      <c r="K1527" t="s">
        <v>5257</v>
      </c>
      <c r="L1527" t="s">
        <v>431</v>
      </c>
      <c r="M1527" t="s">
        <v>4746</v>
      </c>
      <c r="N1527" t="s">
        <v>1092</v>
      </c>
      <c r="Q1527" t="s">
        <v>1280</v>
      </c>
      <c r="R1527">
        <f>1</f>
        <v>1</v>
      </c>
      <c r="S1527">
        <f>14.9</f>
        <v>14.9</v>
      </c>
      <c r="T1527">
        <f>8.1</f>
        <v>8.1</v>
      </c>
      <c r="U1527">
        <f>239</f>
        <v>239</v>
      </c>
      <c r="X1527">
        <f>1</f>
        <v>1</v>
      </c>
      <c r="Y1527">
        <f>0.09</f>
        <v>0.09</v>
      </c>
      <c r="Z1527">
        <f>0</f>
        <v>0</v>
      </c>
      <c r="AA1527">
        <f>5</f>
        <v>5</v>
      </c>
      <c r="AB1527">
        <f>2</f>
        <v>2</v>
      </c>
      <c r="AD1527">
        <f>0</f>
        <v>0</v>
      </c>
      <c r="AE1527">
        <f>0</f>
        <v>0</v>
      </c>
      <c r="AH1527" t="s">
        <v>166</v>
      </c>
    </row>
    <row r="1528" spans="1:63" x14ac:dyDescent="0.25">
      <c r="A1528" t="s">
        <v>4046</v>
      </c>
      <c r="B1528" t="s">
        <v>148</v>
      </c>
      <c r="C1528" s="1">
        <v>45818</v>
      </c>
      <c r="D1528" t="s">
        <v>175</v>
      </c>
      <c r="E1528" t="s">
        <v>176</v>
      </c>
      <c r="F1528" t="s">
        <v>556</v>
      </c>
      <c r="G1528" t="s">
        <v>557</v>
      </c>
      <c r="H1528">
        <v>1708</v>
      </c>
      <c r="I1528" t="s">
        <v>6591</v>
      </c>
      <c r="J1528">
        <v>14987</v>
      </c>
      <c r="K1528" t="s">
        <v>5254</v>
      </c>
      <c r="L1528" t="s">
        <v>180</v>
      </c>
      <c r="M1528" t="s">
        <v>1094</v>
      </c>
      <c r="N1528" t="s">
        <v>1095</v>
      </c>
      <c r="O1528" t="s">
        <v>1096</v>
      </c>
      <c r="Q1528" t="s">
        <v>1097</v>
      </c>
      <c r="R1528">
        <f>1</f>
        <v>1</v>
      </c>
      <c r="S1528">
        <f>15.6</f>
        <v>15.6</v>
      </c>
      <c r="T1528">
        <f>7.4</f>
        <v>7.4</v>
      </c>
      <c r="U1528">
        <f>436</f>
        <v>436</v>
      </c>
      <c r="X1528">
        <f>0</f>
        <v>0</v>
      </c>
      <c r="Y1528" t="s">
        <v>157</v>
      </c>
      <c r="Z1528">
        <f>0</f>
        <v>0</v>
      </c>
      <c r="AA1528" t="s">
        <v>158</v>
      </c>
      <c r="AB1528" t="s">
        <v>158</v>
      </c>
      <c r="AD1528">
        <f>0</f>
        <v>0</v>
      </c>
      <c r="AE1528">
        <f>0</f>
        <v>0</v>
      </c>
      <c r="AH1528" t="s">
        <v>157</v>
      </c>
    </row>
    <row r="1529" spans="1:63" x14ac:dyDescent="0.25">
      <c r="A1529" t="s">
        <v>4047</v>
      </c>
      <c r="B1529" t="s">
        <v>148</v>
      </c>
      <c r="C1529" s="1">
        <v>45845</v>
      </c>
      <c r="D1529" t="s">
        <v>175</v>
      </c>
      <c r="E1529" t="s">
        <v>176</v>
      </c>
      <c r="F1529" t="s">
        <v>556</v>
      </c>
      <c r="G1529" t="s">
        <v>557</v>
      </c>
      <c r="H1529">
        <v>1703</v>
      </c>
      <c r="I1529" t="s">
        <v>5893</v>
      </c>
      <c r="J1529">
        <v>19041</v>
      </c>
      <c r="K1529" t="s">
        <v>5254</v>
      </c>
      <c r="L1529" t="s">
        <v>4724</v>
      </c>
      <c r="M1529" t="s">
        <v>1101</v>
      </c>
      <c r="N1529" t="s">
        <v>4973</v>
      </c>
      <c r="O1529" t="s">
        <v>1102</v>
      </c>
      <c r="Q1529" t="s">
        <v>6497</v>
      </c>
      <c r="R1529">
        <f>1</f>
        <v>1</v>
      </c>
      <c r="S1529">
        <f>21.4</f>
        <v>21.4</v>
      </c>
      <c r="T1529">
        <f>7.2</f>
        <v>7.2</v>
      </c>
      <c r="U1529">
        <f>629</f>
        <v>629</v>
      </c>
      <c r="X1529">
        <f>0</f>
        <v>0</v>
      </c>
      <c r="Y1529" t="s">
        <v>157</v>
      </c>
      <c r="Z1529">
        <f>0</f>
        <v>0</v>
      </c>
      <c r="AA1529" t="s">
        <v>158</v>
      </c>
      <c r="AB1529" t="s">
        <v>158</v>
      </c>
      <c r="AD1529">
        <f>0</f>
        <v>0</v>
      </c>
      <c r="AE1529">
        <f>0</f>
        <v>0</v>
      </c>
      <c r="AH1529" t="s">
        <v>157</v>
      </c>
    </row>
    <row r="1530" spans="1:63" x14ac:dyDescent="0.25">
      <c r="A1530" t="s">
        <v>4048</v>
      </c>
      <c r="B1530" t="s">
        <v>148</v>
      </c>
      <c r="C1530" s="1">
        <v>45898</v>
      </c>
      <c r="D1530" t="s">
        <v>175</v>
      </c>
      <c r="E1530" t="s">
        <v>176</v>
      </c>
      <c r="F1530" t="s">
        <v>556</v>
      </c>
      <c r="G1530" t="s">
        <v>557</v>
      </c>
      <c r="H1530">
        <v>1703</v>
      </c>
      <c r="I1530" t="s">
        <v>5893</v>
      </c>
      <c r="J1530">
        <v>19041</v>
      </c>
      <c r="K1530" t="s">
        <v>5254</v>
      </c>
      <c r="L1530" t="s">
        <v>4724</v>
      </c>
      <c r="M1530" t="s">
        <v>1104</v>
      </c>
      <c r="N1530" t="s">
        <v>1105</v>
      </c>
      <c r="O1530" t="s">
        <v>1106</v>
      </c>
      <c r="R1530">
        <f>1</f>
        <v>1</v>
      </c>
      <c r="S1530">
        <f>21.8</f>
        <v>21.8</v>
      </c>
      <c r="T1530">
        <f>7.2</f>
        <v>7.2</v>
      </c>
      <c r="U1530">
        <f>267</f>
        <v>267</v>
      </c>
      <c r="V1530" t="s">
        <v>1723</v>
      </c>
      <c r="X1530">
        <f>0</f>
        <v>0</v>
      </c>
      <c r="Y1530" t="s">
        <v>157</v>
      </c>
      <c r="Z1530">
        <f>0</f>
        <v>0</v>
      </c>
      <c r="AA1530" t="s">
        <v>158</v>
      </c>
      <c r="AB1530">
        <f>18</f>
        <v>18</v>
      </c>
      <c r="AD1530">
        <f>0</f>
        <v>0</v>
      </c>
      <c r="AE1530">
        <f>0</f>
        <v>0</v>
      </c>
      <c r="AH1530" t="s">
        <v>157</v>
      </c>
    </row>
    <row r="1531" spans="1:63" x14ac:dyDescent="0.25">
      <c r="A1531" t="s">
        <v>4049</v>
      </c>
      <c r="B1531" t="s">
        <v>148</v>
      </c>
      <c r="C1531" s="1">
        <v>45852</v>
      </c>
      <c r="D1531" t="s">
        <v>175</v>
      </c>
      <c r="E1531" t="s">
        <v>176</v>
      </c>
      <c r="F1531" t="s">
        <v>556</v>
      </c>
      <c r="G1531" t="s">
        <v>557</v>
      </c>
      <c r="H1531">
        <v>1703</v>
      </c>
      <c r="I1531" t="s">
        <v>5893</v>
      </c>
      <c r="J1531">
        <v>19041</v>
      </c>
      <c r="K1531" t="s">
        <v>5254</v>
      </c>
      <c r="L1531" t="s">
        <v>4724</v>
      </c>
      <c r="M1531" t="s">
        <v>1108</v>
      </c>
      <c r="N1531" t="s">
        <v>1109</v>
      </c>
      <c r="O1531" t="s">
        <v>1110</v>
      </c>
      <c r="Q1531" t="s">
        <v>6498</v>
      </c>
      <c r="R1531">
        <f>1</f>
        <v>1</v>
      </c>
      <c r="S1531">
        <f>19.2</f>
        <v>19.2</v>
      </c>
      <c r="T1531">
        <f>7.5</f>
        <v>7.5</v>
      </c>
      <c r="U1531">
        <f>393</f>
        <v>393</v>
      </c>
      <c r="X1531">
        <f>0</f>
        <v>0</v>
      </c>
      <c r="Y1531" t="s">
        <v>157</v>
      </c>
      <c r="Z1531">
        <f>0</f>
        <v>0</v>
      </c>
      <c r="AA1531" t="s">
        <v>158</v>
      </c>
      <c r="AB1531" t="s">
        <v>158</v>
      </c>
      <c r="AD1531">
        <f>0</f>
        <v>0</v>
      </c>
      <c r="AE1531">
        <f>0</f>
        <v>0</v>
      </c>
      <c r="AH1531" t="s">
        <v>157</v>
      </c>
    </row>
    <row r="1532" spans="1:63" x14ac:dyDescent="0.25">
      <c r="A1532" t="s">
        <v>4050</v>
      </c>
      <c r="B1532" t="s">
        <v>148</v>
      </c>
      <c r="C1532" s="1">
        <v>45852</v>
      </c>
      <c r="D1532" t="s">
        <v>175</v>
      </c>
      <c r="E1532" t="s">
        <v>176</v>
      </c>
      <c r="F1532" t="s">
        <v>556</v>
      </c>
      <c r="G1532" t="s">
        <v>557</v>
      </c>
      <c r="H1532">
        <v>1706</v>
      </c>
      <c r="I1532" t="s">
        <v>6592</v>
      </c>
      <c r="J1532">
        <v>17666</v>
      </c>
      <c r="K1532" t="s">
        <v>5254</v>
      </c>
      <c r="L1532" t="s">
        <v>154</v>
      </c>
      <c r="M1532" t="s">
        <v>1112</v>
      </c>
      <c r="N1532" t="s">
        <v>1113</v>
      </c>
      <c r="O1532" t="s">
        <v>1114</v>
      </c>
      <c r="Q1532" t="s">
        <v>6499</v>
      </c>
      <c r="R1532">
        <f>1</f>
        <v>1</v>
      </c>
      <c r="S1532">
        <f>19</f>
        <v>19</v>
      </c>
      <c r="T1532">
        <f>7.5</f>
        <v>7.5</v>
      </c>
      <c r="U1532">
        <f>433</f>
        <v>433</v>
      </c>
      <c r="X1532">
        <f>0</f>
        <v>0</v>
      </c>
      <c r="Y1532" t="s">
        <v>157</v>
      </c>
      <c r="Z1532">
        <f>0</f>
        <v>0</v>
      </c>
      <c r="AA1532" t="s">
        <v>158</v>
      </c>
      <c r="AB1532" t="s">
        <v>158</v>
      </c>
      <c r="AD1532">
        <f>0</f>
        <v>0</v>
      </c>
      <c r="AE1532">
        <f>0</f>
        <v>0</v>
      </c>
      <c r="AH1532" t="s">
        <v>157</v>
      </c>
    </row>
    <row r="1533" spans="1:63" x14ac:dyDescent="0.25">
      <c r="A1533" t="s">
        <v>4051</v>
      </c>
      <c r="B1533" t="s">
        <v>148</v>
      </c>
      <c r="C1533" s="1">
        <v>45814</v>
      </c>
      <c r="D1533" t="s">
        <v>175</v>
      </c>
      <c r="E1533" t="s">
        <v>176</v>
      </c>
      <c r="F1533" t="s">
        <v>556</v>
      </c>
      <c r="G1533" t="s">
        <v>557</v>
      </c>
      <c r="H1533">
        <v>1706</v>
      </c>
      <c r="I1533" t="s">
        <v>6592</v>
      </c>
      <c r="J1533">
        <v>17666</v>
      </c>
      <c r="K1533" t="s">
        <v>5254</v>
      </c>
      <c r="L1533" t="s">
        <v>154</v>
      </c>
      <c r="M1533" t="s">
        <v>5894</v>
      </c>
      <c r="N1533" t="s">
        <v>4748</v>
      </c>
      <c r="O1533" t="s">
        <v>1116</v>
      </c>
      <c r="R1533">
        <f>1</f>
        <v>1</v>
      </c>
      <c r="S1533">
        <f>15.8</f>
        <v>15.8</v>
      </c>
      <c r="T1533">
        <f>7.5</f>
        <v>7.5</v>
      </c>
      <c r="U1533">
        <f>467</f>
        <v>467</v>
      </c>
      <c r="V1533" t="s">
        <v>1723</v>
      </c>
      <c r="X1533">
        <f>0</f>
        <v>0</v>
      </c>
      <c r="Y1533">
        <f>0.1</f>
        <v>0.1</v>
      </c>
      <c r="Z1533">
        <f>0</f>
        <v>0</v>
      </c>
      <c r="AA1533" t="s">
        <v>158</v>
      </c>
      <c r="AB1533" t="s">
        <v>158</v>
      </c>
      <c r="AD1533">
        <f>0</f>
        <v>0</v>
      </c>
      <c r="AE1533">
        <f>0</f>
        <v>0</v>
      </c>
      <c r="AH1533" t="s">
        <v>157</v>
      </c>
    </row>
    <row r="1534" spans="1:63" x14ac:dyDescent="0.25">
      <c r="A1534" t="s">
        <v>4052</v>
      </c>
      <c r="B1534" t="s">
        <v>148</v>
      </c>
      <c r="C1534" s="1">
        <v>45898</v>
      </c>
      <c r="D1534" t="s">
        <v>175</v>
      </c>
      <c r="E1534" t="s">
        <v>176</v>
      </c>
      <c r="F1534" t="s">
        <v>556</v>
      </c>
      <c r="G1534" t="s">
        <v>557</v>
      </c>
      <c r="H1534">
        <v>1708</v>
      </c>
      <c r="I1534" t="s">
        <v>6591</v>
      </c>
      <c r="J1534">
        <v>14987</v>
      </c>
      <c r="K1534" t="s">
        <v>5254</v>
      </c>
      <c r="L1534" t="s">
        <v>180</v>
      </c>
      <c r="M1534" t="s">
        <v>5896</v>
      </c>
      <c r="N1534" t="s">
        <v>1126</v>
      </c>
      <c r="O1534" t="s">
        <v>1127</v>
      </c>
      <c r="R1534">
        <f>1</f>
        <v>1</v>
      </c>
      <c r="S1534">
        <f>19.8</f>
        <v>19.8</v>
      </c>
      <c r="T1534">
        <f>7.4</f>
        <v>7.4</v>
      </c>
      <c r="U1534">
        <f>392</f>
        <v>392</v>
      </c>
      <c r="X1534">
        <f>0</f>
        <v>0</v>
      </c>
      <c r="Y1534" t="s">
        <v>157</v>
      </c>
      <c r="Z1534">
        <f>0</f>
        <v>0</v>
      </c>
      <c r="AA1534" t="s">
        <v>158</v>
      </c>
      <c r="AB1534">
        <f>17</f>
        <v>17</v>
      </c>
      <c r="AD1534">
        <f>0</f>
        <v>0</v>
      </c>
      <c r="AE1534">
        <f>0</f>
        <v>0</v>
      </c>
      <c r="AH1534" t="s">
        <v>157</v>
      </c>
    </row>
    <row r="1535" spans="1:63" x14ac:dyDescent="0.25">
      <c r="A1535" t="s">
        <v>4053</v>
      </c>
      <c r="B1535" t="s">
        <v>148</v>
      </c>
      <c r="C1535" s="1">
        <v>45898</v>
      </c>
      <c r="D1535" t="s">
        <v>175</v>
      </c>
      <c r="E1535" t="s">
        <v>176</v>
      </c>
      <c r="F1535" t="s">
        <v>556</v>
      </c>
      <c r="G1535" t="s">
        <v>557</v>
      </c>
      <c r="H1535">
        <v>1708</v>
      </c>
      <c r="I1535" t="s">
        <v>6591</v>
      </c>
      <c r="J1535">
        <v>14987</v>
      </c>
      <c r="K1535" t="s">
        <v>5254</v>
      </c>
      <c r="L1535" t="s">
        <v>180</v>
      </c>
      <c r="M1535" t="s">
        <v>5382</v>
      </c>
      <c r="N1535" t="s">
        <v>4751</v>
      </c>
      <c r="O1535" t="s">
        <v>1134</v>
      </c>
      <c r="R1535">
        <f>1</f>
        <v>1</v>
      </c>
      <c r="S1535">
        <f>16</f>
        <v>16</v>
      </c>
      <c r="T1535">
        <f>7.5</f>
        <v>7.5</v>
      </c>
      <c r="U1535">
        <f>502</f>
        <v>502</v>
      </c>
      <c r="X1535">
        <f>0</f>
        <v>0</v>
      </c>
      <c r="Y1535">
        <f>0.1</f>
        <v>0.1</v>
      </c>
      <c r="Z1535">
        <f>0</f>
        <v>0</v>
      </c>
      <c r="AA1535" t="s">
        <v>158</v>
      </c>
      <c r="AB1535">
        <f>24</f>
        <v>24</v>
      </c>
      <c r="AD1535">
        <f>0</f>
        <v>0</v>
      </c>
      <c r="AE1535">
        <f>0</f>
        <v>0</v>
      </c>
      <c r="AH1535" t="s">
        <v>157</v>
      </c>
    </row>
    <row r="1536" spans="1:63" x14ac:dyDescent="0.25">
      <c r="A1536" t="s">
        <v>4054</v>
      </c>
      <c r="B1536" t="s">
        <v>148</v>
      </c>
      <c r="C1536" s="1">
        <v>45880</v>
      </c>
      <c r="D1536" t="s">
        <v>618</v>
      </c>
      <c r="E1536" t="s">
        <v>619</v>
      </c>
      <c r="F1536" t="s">
        <v>620</v>
      </c>
      <c r="G1536" t="s">
        <v>1149</v>
      </c>
      <c r="H1536">
        <v>30</v>
      </c>
      <c r="I1536" t="s">
        <v>1150</v>
      </c>
      <c r="J1536">
        <v>501</v>
      </c>
      <c r="K1536" t="s">
        <v>5257</v>
      </c>
      <c r="L1536" t="s">
        <v>393</v>
      </c>
      <c r="M1536" t="s">
        <v>1151</v>
      </c>
      <c r="N1536" t="s">
        <v>1152</v>
      </c>
      <c r="O1536" t="s">
        <v>1153</v>
      </c>
      <c r="R1536">
        <f>1</f>
        <v>1</v>
      </c>
      <c r="S1536">
        <f>16.9</f>
        <v>16.899999999999999</v>
      </c>
      <c r="T1536">
        <f>8.1</f>
        <v>8.1</v>
      </c>
      <c r="U1536">
        <f>156</f>
        <v>156</v>
      </c>
      <c r="X1536">
        <f>0</f>
        <v>0</v>
      </c>
      <c r="Y1536" t="s">
        <v>157</v>
      </c>
      <c r="Z1536">
        <f>0</f>
        <v>0</v>
      </c>
      <c r="AA1536" t="s">
        <v>158</v>
      </c>
      <c r="AB1536" t="s">
        <v>158</v>
      </c>
      <c r="AC1536">
        <f>0</f>
        <v>0</v>
      </c>
      <c r="AD1536">
        <f>0</f>
        <v>0</v>
      </c>
      <c r="AE1536">
        <f>0</f>
        <v>0</v>
      </c>
      <c r="AH1536" t="s">
        <v>157</v>
      </c>
    </row>
    <row r="1537" spans="1:54" x14ac:dyDescent="0.25">
      <c r="A1537" t="s">
        <v>4055</v>
      </c>
      <c r="B1537" t="s">
        <v>148</v>
      </c>
      <c r="C1537" s="1">
        <v>45741</v>
      </c>
      <c r="D1537" t="s">
        <v>175</v>
      </c>
      <c r="E1537" t="s">
        <v>649</v>
      </c>
      <c r="F1537" t="s">
        <v>918</v>
      </c>
      <c r="G1537" t="s">
        <v>919</v>
      </c>
      <c r="H1537">
        <v>129</v>
      </c>
      <c r="I1537" t="s">
        <v>1171</v>
      </c>
      <c r="J1537">
        <v>1223</v>
      </c>
      <c r="K1537" t="s">
        <v>5254</v>
      </c>
      <c r="L1537" t="s">
        <v>431</v>
      </c>
      <c r="M1537" t="s">
        <v>5384</v>
      </c>
      <c r="N1537" t="s">
        <v>1172</v>
      </c>
      <c r="O1537" t="s">
        <v>1173</v>
      </c>
      <c r="Q1537" t="s">
        <v>6337</v>
      </c>
      <c r="R1537">
        <f>1</f>
        <v>1</v>
      </c>
      <c r="S1537">
        <f>9.4</f>
        <v>9.4</v>
      </c>
      <c r="T1537">
        <f>8</f>
        <v>8</v>
      </c>
      <c r="U1537">
        <f>357</f>
        <v>357</v>
      </c>
      <c r="V1537">
        <f>0.12</f>
        <v>0.12</v>
      </c>
      <c r="X1537">
        <f>0</f>
        <v>0</v>
      </c>
      <c r="Y1537">
        <f>0.19</f>
        <v>0.19</v>
      </c>
      <c r="Z1537">
        <f>0</f>
        <v>0</v>
      </c>
      <c r="AA1537" t="s">
        <v>158</v>
      </c>
      <c r="AB1537" t="s">
        <v>158</v>
      </c>
      <c r="AD1537">
        <f>0</f>
        <v>0</v>
      </c>
      <c r="AE1537">
        <f>0</f>
        <v>0</v>
      </c>
      <c r="AH1537" t="s">
        <v>157</v>
      </c>
    </row>
    <row r="1538" spans="1:54" x14ac:dyDescent="0.25">
      <c r="A1538" t="s">
        <v>4056</v>
      </c>
      <c r="B1538" t="s">
        <v>148</v>
      </c>
      <c r="C1538" s="1">
        <v>45826</v>
      </c>
      <c r="D1538" t="s">
        <v>175</v>
      </c>
      <c r="E1538" t="s">
        <v>284</v>
      </c>
      <c r="F1538" t="s">
        <v>678</v>
      </c>
      <c r="G1538" t="s">
        <v>5127</v>
      </c>
      <c r="H1538">
        <v>1082</v>
      </c>
      <c r="I1538" t="s">
        <v>5127</v>
      </c>
      <c r="J1538">
        <v>3830</v>
      </c>
      <c r="K1538" t="s">
        <v>5254</v>
      </c>
      <c r="L1538" t="s">
        <v>4978</v>
      </c>
      <c r="M1538" t="s">
        <v>5907</v>
      </c>
      <c r="N1538" t="s">
        <v>1188</v>
      </c>
      <c r="O1538" t="s">
        <v>1189</v>
      </c>
      <c r="R1538">
        <f>1</f>
        <v>1</v>
      </c>
      <c r="S1538">
        <f>18.4</f>
        <v>18.399999999999999</v>
      </c>
      <c r="T1538">
        <f>7.8</f>
        <v>7.8</v>
      </c>
      <c r="U1538">
        <f>407</f>
        <v>407</v>
      </c>
      <c r="W1538">
        <f>0.03</f>
        <v>0.03</v>
      </c>
      <c r="X1538">
        <f>0</f>
        <v>0</v>
      </c>
      <c r="Y1538" t="s">
        <v>157</v>
      </c>
      <c r="Z1538">
        <f>0</f>
        <v>0</v>
      </c>
      <c r="AA1538" t="s">
        <v>158</v>
      </c>
      <c r="AB1538" t="s">
        <v>158</v>
      </c>
      <c r="AD1538">
        <f>0</f>
        <v>0</v>
      </c>
      <c r="AE1538">
        <f>0</f>
        <v>0</v>
      </c>
      <c r="AH1538" t="s">
        <v>157</v>
      </c>
    </row>
    <row r="1539" spans="1:54" x14ac:dyDescent="0.25">
      <c r="A1539" t="s">
        <v>4057</v>
      </c>
      <c r="B1539" t="s">
        <v>148</v>
      </c>
      <c r="C1539" s="1">
        <v>45741</v>
      </c>
      <c r="D1539" t="s">
        <v>175</v>
      </c>
      <c r="E1539" t="s">
        <v>649</v>
      </c>
      <c r="F1539" t="s">
        <v>650</v>
      </c>
      <c r="G1539" t="s">
        <v>3683</v>
      </c>
      <c r="H1539">
        <v>732</v>
      </c>
      <c r="I1539" t="s">
        <v>3683</v>
      </c>
      <c r="J1539">
        <v>991</v>
      </c>
      <c r="K1539" t="s">
        <v>5254</v>
      </c>
      <c r="L1539" t="s">
        <v>154</v>
      </c>
      <c r="M1539" t="s">
        <v>3684</v>
      </c>
      <c r="N1539" t="s">
        <v>3685</v>
      </c>
      <c r="O1539" t="s">
        <v>3686</v>
      </c>
      <c r="R1539">
        <f>1</f>
        <v>1</v>
      </c>
      <c r="S1539">
        <f>12.9</f>
        <v>12.9</v>
      </c>
      <c r="T1539">
        <f>7.2</f>
        <v>7.2</v>
      </c>
      <c r="U1539">
        <f>499</f>
        <v>499</v>
      </c>
      <c r="V1539">
        <f>0.23</f>
        <v>0.23</v>
      </c>
      <c r="X1539">
        <f>0</f>
        <v>0</v>
      </c>
      <c r="Y1539" t="s">
        <v>157</v>
      </c>
      <c r="Z1539">
        <f>0</f>
        <v>0</v>
      </c>
      <c r="AA1539" t="s">
        <v>158</v>
      </c>
      <c r="AB1539" t="s">
        <v>158</v>
      </c>
      <c r="AD1539">
        <f>0</f>
        <v>0</v>
      </c>
      <c r="AE1539">
        <f>0</f>
        <v>0</v>
      </c>
      <c r="AH1539" t="s">
        <v>157</v>
      </c>
    </row>
    <row r="1540" spans="1:54" x14ac:dyDescent="0.25">
      <c r="A1540" t="s">
        <v>4058</v>
      </c>
      <c r="B1540" t="s">
        <v>148</v>
      </c>
      <c r="C1540" s="1">
        <v>45873</v>
      </c>
      <c r="D1540" t="s">
        <v>242</v>
      </c>
      <c r="E1540" t="s">
        <v>243</v>
      </c>
      <c r="F1540" t="s">
        <v>244</v>
      </c>
      <c r="G1540" t="s">
        <v>245</v>
      </c>
      <c r="H1540">
        <v>155</v>
      </c>
      <c r="I1540" t="s">
        <v>1197</v>
      </c>
      <c r="J1540">
        <v>916</v>
      </c>
      <c r="K1540" t="s">
        <v>5257</v>
      </c>
      <c r="L1540" t="s">
        <v>1198</v>
      </c>
      <c r="M1540" t="s">
        <v>5386</v>
      </c>
      <c r="N1540" t="s">
        <v>5387</v>
      </c>
      <c r="O1540" t="s">
        <v>1199</v>
      </c>
      <c r="R1540">
        <f>1</f>
        <v>1</v>
      </c>
      <c r="S1540">
        <f>21.1</f>
        <v>21.1</v>
      </c>
      <c r="T1540">
        <f>7.8</f>
        <v>7.8</v>
      </c>
      <c r="U1540">
        <f>445</f>
        <v>445</v>
      </c>
      <c r="V1540">
        <f>0.18</f>
        <v>0.18</v>
      </c>
      <c r="X1540">
        <f>0</f>
        <v>0</v>
      </c>
      <c r="Y1540" t="s">
        <v>157</v>
      </c>
      <c r="Z1540">
        <f>0</f>
        <v>0</v>
      </c>
      <c r="AA1540" t="s">
        <v>158</v>
      </c>
      <c r="AB1540">
        <f>13</f>
        <v>13</v>
      </c>
      <c r="AC1540">
        <f>0</f>
        <v>0</v>
      </c>
      <c r="AD1540">
        <f>0</f>
        <v>0</v>
      </c>
      <c r="AE1540">
        <f>0</f>
        <v>0</v>
      </c>
      <c r="AH1540" t="s">
        <v>157</v>
      </c>
    </row>
    <row r="1541" spans="1:54" x14ac:dyDescent="0.25">
      <c r="A1541" t="s">
        <v>4059</v>
      </c>
      <c r="B1541" t="s">
        <v>148</v>
      </c>
      <c r="C1541" s="1">
        <v>45896</v>
      </c>
      <c r="D1541" t="s">
        <v>189</v>
      </c>
      <c r="E1541" t="s">
        <v>284</v>
      </c>
      <c r="F1541" t="s">
        <v>285</v>
      </c>
      <c r="G1541" t="s">
        <v>286</v>
      </c>
      <c r="H1541">
        <v>196</v>
      </c>
      <c r="I1541" t="s">
        <v>5916</v>
      </c>
      <c r="J1541">
        <v>1917</v>
      </c>
      <c r="K1541" t="s">
        <v>5257</v>
      </c>
      <c r="L1541" t="s">
        <v>4979</v>
      </c>
      <c r="M1541" t="s">
        <v>5917</v>
      </c>
      <c r="N1541" t="s">
        <v>5918</v>
      </c>
      <c r="O1541" t="s">
        <v>1237</v>
      </c>
      <c r="R1541">
        <f>1</f>
        <v>1</v>
      </c>
      <c r="S1541">
        <f>21.8</f>
        <v>21.8</v>
      </c>
      <c r="T1541">
        <f>7.5</f>
        <v>7.5</v>
      </c>
      <c r="U1541">
        <f>327</f>
        <v>327</v>
      </c>
      <c r="V1541" t="s">
        <v>209</v>
      </c>
      <c r="X1541">
        <f>0</f>
        <v>0</v>
      </c>
      <c r="Y1541">
        <f>0.2</f>
        <v>0.2</v>
      </c>
      <c r="Z1541">
        <f>0</f>
        <v>0</v>
      </c>
      <c r="AA1541">
        <f>0</f>
        <v>0</v>
      </c>
      <c r="AB1541">
        <f>1</f>
        <v>1</v>
      </c>
      <c r="AC1541">
        <f>0</f>
        <v>0</v>
      </c>
      <c r="AD1541">
        <f>0</f>
        <v>0</v>
      </c>
      <c r="AE1541">
        <f>0</f>
        <v>0</v>
      </c>
      <c r="AH1541" t="s">
        <v>157</v>
      </c>
      <c r="BB1541">
        <f>10</f>
        <v>10</v>
      </c>
    </row>
    <row r="1542" spans="1:54" x14ac:dyDescent="0.25">
      <c r="A1542" t="s">
        <v>4060</v>
      </c>
      <c r="B1542" t="s">
        <v>148</v>
      </c>
      <c r="C1542" s="1">
        <v>45867</v>
      </c>
      <c r="D1542" t="s">
        <v>189</v>
      </c>
      <c r="E1542" t="s">
        <v>190</v>
      </c>
      <c r="F1542" t="s">
        <v>5849</v>
      </c>
      <c r="G1542" t="s">
        <v>1239</v>
      </c>
      <c r="H1542">
        <v>329</v>
      </c>
      <c r="I1542" t="s">
        <v>1239</v>
      </c>
      <c r="J1542">
        <v>1000</v>
      </c>
      <c r="K1542" t="s">
        <v>5257</v>
      </c>
      <c r="L1542" t="s">
        <v>712</v>
      </c>
      <c r="M1542" t="s">
        <v>6606</v>
      </c>
      <c r="N1542" t="s">
        <v>6607</v>
      </c>
      <c r="O1542" t="s">
        <v>1240</v>
      </c>
      <c r="Q1542" t="s">
        <v>6500</v>
      </c>
      <c r="R1542">
        <f>1</f>
        <v>1</v>
      </c>
      <c r="S1542">
        <f>19.9</f>
        <v>19.899999999999999</v>
      </c>
      <c r="T1542">
        <f>7.4</f>
        <v>7.4</v>
      </c>
      <c r="U1542">
        <f>336</f>
        <v>336</v>
      </c>
      <c r="V1542">
        <f>0.1</f>
        <v>0.1</v>
      </c>
      <c r="X1542">
        <f>0</f>
        <v>0</v>
      </c>
      <c r="Y1542">
        <f>0.36</f>
        <v>0.36</v>
      </c>
      <c r="Z1542">
        <f>0</f>
        <v>0</v>
      </c>
      <c r="AA1542">
        <f>0</f>
        <v>0</v>
      </c>
      <c r="AB1542">
        <f>46</f>
        <v>46</v>
      </c>
      <c r="AC1542">
        <f>0</f>
        <v>0</v>
      </c>
      <c r="AD1542">
        <f>0</f>
        <v>0</v>
      </c>
      <c r="AE1542">
        <f>0</f>
        <v>0</v>
      </c>
      <c r="AH1542" t="s">
        <v>157</v>
      </c>
    </row>
    <row r="1543" spans="1:54" x14ac:dyDescent="0.25">
      <c r="A1543" t="s">
        <v>4061</v>
      </c>
      <c r="B1543" t="s">
        <v>148</v>
      </c>
      <c r="C1543" s="1">
        <v>45870</v>
      </c>
      <c r="D1543" t="s">
        <v>269</v>
      </c>
      <c r="E1543" t="s">
        <v>270</v>
      </c>
      <c r="F1543" t="s">
        <v>746</v>
      </c>
      <c r="G1543" t="s">
        <v>1259</v>
      </c>
      <c r="H1543">
        <v>143</v>
      </c>
      <c r="I1543" t="s">
        <v>1259</v>
      </c>
      <c r="J1543">
        <v>1820</v>
      </c>
      <c r="K1543" t="s">
        <v>5257</v>
      </c>
      <c r="L1543" t="s">
        <v>431</v>
      </c>
      <c r="M1543" t="s">
        <v>5391</v>
      </c>
      <c r="N1543" t="s">
        <v>1260</v>
      </c>
      <c r="O1543" t="s">
        <v>1261</v>
      </c>
      <c r="R1543">
        <f>1</f>
        <v>1</v>
      </c>
      <c r="S1543">
        <f>16.8</f>
        <v>16.8</v>
      </c>
      <c r="T1543">
        <f>7.8</f>
        <v>7.8</v>
      </c>
      <c r="U1543">
        <f>401</f>
        <v>401</v>
      </c>
      <c r="X1543">
        <f>0</f>
        <v>0</v>
      </c>
      <c r="Y1543">
        <f>0.52</f>
        <v>0.52</v>
      </c>
      <c r="Z1543">
        <f>0</f>
        <v>0</v>
      </c>
      <c r="AA1543" t="s">
        <v>158</v>
      </c>
      <c r="AB1543" t="s">
        <v>158</v>
      </c>
      <c r="AC1543">
        <f>0</f>
        <v>0</v>
      </c>
      <c r="AD1543">
        <f>0</f>
        <v>0</v>
      </c>
      <c r="AE1543">
        <f>0</f>
        <v>0</v>
      </c>
      <c r="AH1543" t="s">
        <v>166</v>
      </c>
    </row>
    <row r="1544" spans="1:54" x14ac:dyDescent="0.25">
      <c r="A1544" t="s">
        <v>4062</v>
      </c>
      <c r="B1544" t="s">
        <v>148</v>
      </c>
      <c r="C1544" s="1">
        <v>45880</v>
      </c>
      <c r="D1544" t="s">
        <v>311</v>
      </c>
      <c r="E1544" t="s">
        <v>312</v>
      </c>
      <c r="F1544" t="s">
        <v>349</v>
      </c>
      <c r="G1544" t="s">
        <v>1272</v>
      </c>
      <c r="H1544">
        <v>850</v>
      </c>
      <c r="I1544" t="s">
        <v>1273</v>
      </c>
      <c r="J1544">
        <v>1099</v>
      </c>
      <c r="K1544" t="s">
        <v>5257</v>
      </c>
      <c r="L1544" t="s">
        <v>393</v>
      </c>
      <c r="M1544" t="s">
        <v>1274</v>
      </c>
      <c r="N1544" t="s">
        <v>1275</v>
      </c>
      <c r="O1544" t="s">
        <v>1276</v>
      </c>
      <c r="R1544">
        <f>1</f>
        <v>1</v>
      </c>
      <c r="S1544">
        <f>17.9</f>
        <v>17.899999999999999</v>
      </c>
      <c r="T1544">
        <f>7.4</f>
        <v>7.4</v>
      </c>
      <c r="U1544">
        <f>123</f>
        <v>123</v>
      </c>
      <c r="X1544">
        <f>0</f>
        <v>0</v>
      </c>
      <c r="Y1544" t="s">
        <v>157</v>
      </c>
      <c r="Z1544">
        <f>0</f>
        <v>0</v>
      </c>
      <c r="AA1544" t="s">
        <v>158</v>
      </c>
      <c r="AB1544" t="s">
        <v>158</v>
      </c>
      <c r="AC1544">
        <f>0</f>
        <v>0</v>
      </c>
      <c r="AD1544">
        <f>0</f>
        <v>0</v>
      </c>
      <c r="AE1544">
        <f>0</f>
        <v>0</v>
      </c>
      <c r="AH1544" t="s">
        <v>157</v>
      </c>
    </row>
    <row r="1545" spans="1:54" x14ac:dyDescent="0.25">
      <c r="A1545" t="s">
        <v>4063</v>
      </c>
      <c r="B1545" t="s">
        <v>148</v>
      </c>
      <c r="C1545" s="1">
        <v>45873</v>
      </c>
      <c r="D1545" t="s">
        <v>242</v>
      </c>
      <c r="E1545" t="s">
        <v>243</v>
      </c>
      <c r="F1545" t="s">
        <v>244</v>
      </c>
      <c r="G1545" t="s">
        <v>1041</v>
      </c>
      <c r="H1545">
        <v>881</v>
      </c>
      <c r="I1545" t="s">
        <v>5132</v>
      </c>
      <c r="J1545">
        <v>764</v>
      </c>
      <c r="K1545" t="s">
        <v>5254</v>
      </c>
      <c r="L1545" t="s">
        <v>393</v>
      </c>
      <c r="M1545" t="s">
        <v>5398</v>
      </c>
      <c r="N1545" t="s">
        <v>1284</v>
      </c>
      <c r="O1545" t="s">
        <v>1285</v>
      </c>
      <c r="R1545">
        <f>1</f>
        <v>1</v>
      </c>
      <c r="S1545">
        <f>18.3</f>
        <v>18.3</v>
      </c>
      <c r="T1545">
        <f>8.2</f>
        <v>8.1999999999999993</v>
      </c>
      <c r="U1545">
        <f>434</f>
        <v>434</v>
      </c>
      <c r="X1545">
        <f>0</f>
        <v>0</v>
      </c>
      <c r="Y1545" t="s">
        <v>157</v>
      </c>
      <c r="Z1545">
        <f>0</f>
        <v>0</v>
      </c>
      <c r="AA1545" t="s">
        <v>158</v>
      </c>
      <c r="AB1545" t="s">
        <v>158</v>
      </c>
      <c r="AD1545">
        <f>0</f>
        <v>0</v>
      </c>
      <c r="AE1545">
        <f>0</f>
        <v>0</v>
      </c>
      <c r="AH1545" t="s">
        <v>157</v>
      </c>
    </row>
    <row r="1546" spans="1:54" x14ac:dyDescent="0.25">
      <c r="A1546" t="s">
        <v>4064</v>
      </c>
      <c r="B1546" t="s">
        <v>148</v>
      </c>
      <c r="C1546" s="1">
        <v>45868</v>
      </c>
      <c r="D1546" t="s">
        <v>175</v>
      </c>
      <c r="E1546" t="s">
        <v>270</v>
      </c>
      <c r="F1546" t="s">
        <v>354</v>
      </c>
      <c r="G1546" t="s">
        <v>6540</v>
      </c>
      <c r="H1546">
        <v>693</v>
      </c>
      <c r="I1546" t="s">
        <v>5133</v>
      </c>
      <c r="J1546">
        <v>2414</v>
      </c>
      <c r="K1546" t="s">
        <v>5257</v>
      </c>
      <c r="L1546" t="s">
        <v>355</v>
      </c>
      <c r="M1546" t="s">
        <v>5134</v>
      </c>
      <c r="N1546" t="s">
        <v>4980</v>
      </c>
      <c r="O1546" t="s">
        <v>1293</v>
      </c>
      <c r="R1546">
        <f>1</f>
        <v>1</v>
      </c>
      <c r="S1546">
        <f>19</f>
        <v>19</v>
      </c>
      <c r="T1546">
        <f>8</f>
        <v>8</v>
      </c>
      <c r="U1546">
        <f>411</f>
        <v>411</v>
      </c>
      <c r="V1546">
        <f>0.29</f>
        <v>0.28999999999999998</v>
      </c>
      <c r="X1546">
        <f>0</f>
        <v>0</v>
      </c>
      <c r="Y1546">
        <f>0.06</f>
        <v>0.06</v>
      </c>
      <c r="Z1546">
        <f>0</f>
        <v>0</v>
      </c>
      <c r="AA1546" t="s">
        <v>158</v>
      </c>
      <c r="AB1546" t="s">
        <v>158</v>
      </c>
      <c r="AC1546">
        <f>0</f>
        <v>0</v>
      </c>
      <c r="AD1546">
        <f>0</f>
        <v>0</v>
      </c>
      <c r="AE1546">
        <f>0</f>
        <v>0</v>
      </c>
      <c r="AH1546" t="s">
        <v>166</v>
      </c>
    </row>
    <row r="1547" spans="1:54" x14ac:dyDescent="0.25">
      <c r="A1547" t="s">
        <v>4065</v>
      </c>
      <c r="B1547" t="s">
        <v>148</v>
      </c>
      <c r="C1547" s="1">
        <v>45897</v>
      </c>
      <c r="D1547" t="s">
        <v>317</v>
      </c>
      <c r="E1547" t="s">
        <v>318</v>
      </c>
      <c r="F1547" t="s">
        <v>847</v>
      </c>
      <c r="G1547" t="s">
        <v>6616</v>
      </c>
      <c r="H1547">
        <v>69</v>
      </c>
      <c r="I1547" t="s">
        <v>6616</v>
      </c>
      <c r="J1547">
        <v>667</v>
      </c>
      <c r="K1547" t="s">
        <v>5254</v>
      </c>
      <c r="L1547" t="s">
        <v>4966</v>
      </c>
      <c r="M1547" t="s">
        <v>4762</v>
      </c>
      <c r="N1547" t="s">
        <v>4763</v>
      </c>
      <c r="O1547" t="s">
        <v>1345</v>
      </c>
      <c r="Q1547" t="s">
        <v>6501</v>
      </c>
      <c r="R1547">
        <f>1</f>
        <v>1</v>
      </c>
      <c r="S1547">
        <f>17.6</f>
        <v>17.600000000000001</v>
      </c>
      <c r="T1547">
        <f>8</f>
        <v>8</v>
      </c>
      <c r="U1547">
        <f>160</f>
        <v>160</v>
      </c>
      <c r="X1547">
        <f>0</f>
        <v>0</v>
      </c>
      <c r="Y1547">
        <f>0.12</f>
        <v>0.12</v>
      </c>
      <c r="Z1547">
        <f>0</f>
        <v>0</v>
      </c>
      <c r="AA1547">
        <f>4</f>
        <v>4</v>
      </c>
      <c r="AB1547">
        <f>0</f>
        <v>0</v>
      </c>
      <c r="AD1547">
        <f>0</f>
        <v>0</v>
      </c>
      <c r="AE1547">
        <f>0</f>
        <v>0</v>
      </c>
      <c r="AH1547" t="s">
        <v>157</v>
      </c>
    </row>
    <row r="1548" spans="1:54" x14ac:dyDescent="0.25">
      <c r="A1548" t="s">
        <v>4066</v>
      </c>
      <c r="B1548" t="s">
        <v>148</v>
      </c>
      <c r="C1548" s="1">
        <v>45846</v>
      </c>
      <c r="D1548" t="s">
        <v>311</v>
      </c>
      <c r="E1548" t="s">
        <v>312</v>
      </c>
      <c r="F1548" t="s">
        <v>5284</v>
      </c>
      <c r="G1548" t="s">
        <v>6618</v>
      </c>
      <c r="H1548">
        <v>899</v>
      </c>
      <c r="I1548" t="s">
        <v>6618</v>
      </c>
      <c r="J1548">
        <v>1057</v>
      </c>
      <c r="K1548" t="s">
        <v>5257</v>
      </c>
      <c r="L1548" t="s">
        <v>387</v>
      </c>
      <c r="M1548" t="s">
        <v>5939</v>
      </c>
      <c r="N1548" t="s">
        <v>4764</v>
      </c>
      <c r="O1548" t="s">
        <v>1367</v>
      </c>
      <c r="R1548">
        <f>1</f>
        <v>1</v>
      </c>
      <c r="S1548">
        <f>21.5</f>
        <v>21.5</v>
      </c>
      <c r="T1548">
        <f>7.6</f>
        <v>7.6</v>
      </c>
      <c r="U1548">
        <f>444</f>
        <v>444</v>
      </c>
      <c r="V1548">
        <f>0.17</f>
        <v>0.17</v>
      </c>
      <c r="X1548">
        <f>1</f>
        <v>1</v>
      </c>
      <c r="Y1548" t="s">
        <v>157</v>
      </c>
      <c r="Z1548">
        <f>0</f>
        <v>0</v>
      </c>
      <c r="AA1548" t="s">
        <v>158</v>
      </c>
      <c r="AB1548" t="s">
        <v>158</v>
      </c>
      <c r="AC1548">
        <f>0</f>
        <v>0</v>
      </c>
      <c r="AD1548">
        <f>0</f>
        <v>0</v>
      </c>
      <c r="AE1548">
        <f>0</f>
        <v>0</v>
      </c>
      <c r="AH1548" t="s">
        <v>157</v>
      </c>
    </row>
    <row r="1549" spans="1:54" x14ac:dyDescent="0.25">
      <c r="A1549" t="s">
        <v>4067</v>
      </c>
      <c r="B1549" t="s">
        <v>148</v>
      </c>
      <c r="C1549" s="1">
        <v>45874</v>
      </c>
      <c r="D1549" t="s">
        <v>317</v>
      </c>
      <c r="E1549" t="s">
        <v>318</v>
      </c>
      <c r="F1549" t="s">
        <v>4965</v>
      </c>
      <c r="G1549" t="s">
        <v>6624</v>
      </c>
      <c r="H1549">
        <v>1096</v>
      </c>
      <c r="I1549" t="s">
        <v>1381</v>
      </c>
      <c r="J1549">
        <v>669</v>
      </c>
      <c r="K1549" t="s">
        <v>5254</v>
      </c>
      <c r="L1549" t="s">
        <v>180</v>
      </c>
      <c r="M1549" t="s">
        <v>4985</v>
      </c>
      <c r="N1549" t="s">
        <v>4986</v>
      </c>
      <c r="O1549" t="s">
        <v>1382</v>
      </c>
      <c r="Q1549" t="s">
        <v>6301</v>
      </c>
      <c r="R1549">
        <f>1</f>
        <v>1</v>
      </c>
      <c r="S1549">
        <f>18.2</f>
        <v>18.2</v>
      </c>
      <c r="T1549">
        <f>7.9</f>
        <v>7.9</v>
      </c>
      <c r="U1549">
        <f>325</f>
        <v>325</v>
      </c>
      <c r="X1549">
        <f>0</f>
        <v>0</v>
      </c>
      <c r="Y1549" t="s">
        <v>157</v>
      </c>
      <c r="Z1549">
        <f>0</f>
        <v>0</v>
      </c>
      <c r="AA1549">
        <f>6</f>
        <v>6</v>
      </c>
      <c r="AB1549">
        <f>0</f>
        <v>0</v>
      </c>
      <c r="AD1549">
        <f>0</f>
        <v>0</v>
      </c>
      <c r="AE1549">
        <f>0</f>
        <v>0</v>
      </c>
      <c r="AH1549" t="s">
        <v>157</v>
      </c>
    </row>
    <row r="1550" spans="1:54" x14ac:dyDescent="0.25">
      <c r="A1550" t="s">
        <v>4068</v>
      </c>
      <c r="B1550" t="s">
        <v>148</v>
      </c>
      <c r="C1550" s="1">
        <v>45890</v>
      </c>
      <c r="D1550" t="s">
        <v>269</v>
      </c>
      <c r="E1550" t="s">
        <v>295</v>
      </c>
      <c r="F1550" t="s">
        <v>331</v>
      </c>
      <c r="G1550" t="s">
        <v>1414</v>
      </c>
      <c r="H1550">
        <v>310</v>
      </c>
      <c r="I1550" t="s">
        <v>1414</v>
      </c>
      <c r="J1550">
        <v>821</v>
      </c>
      <c r="K1550" t="s">
        <v>5254</v>
      </c>
      <c r="L1550" t="s">
        <v>154</v>
      </c>
      <c r="M1550" t="s">
        <v>1415</v>
      </c>
      <c r="N1550" t="s">
        <v>5421</v>
      </c>
      <c r="O1550" t="s">
        <v>1416</v>
      </c>
      <c r="R1550">
        <f>1</f>
        <v>1</v>
      </c>
      <c r="S1550">
        <f>22.6</f>
        <v>22.6</v>
      </c>
      <c r="T1550">
        <f>8.1</f>
        <v>8.1</v>
      </c>
      <c r="U1550">
        <f>482</f>
        <v>482</v>
      </c>
      <c r="V1550">
        <f>0.05</f>
        <v>0.05</v>
      </c>
      <c r="X1550">
        <f>0</f>
        <v>0</v>
      </c>
      <c r="Y1550">
        <f>0.16</f>
        <v>0.16</v>
      </c>
      <c r="Z1550">
        <f>0</f>
        <v>0</v>
      </c>
      <c r="AA1550" t="s">
        <v>158</v>
      </c>
      <c r="AB1550" t="s">
        <v>158</v>
      </c>
      <c r="AD1550">
        <f>0</f>
        <v>0</v>
      </c>
      <c r="AE1550">
        <f>0</f>
        <v>0</v>
      </c>
      <c r="AH1550" t="s">
        <v>166</v>
      </c>
    </row>
    <row r="1551" spans="1:54" x14ac:dyDescent="0.25">
      <c r="A1551" t="s">
        <v>4069</v>
      </c>
      <c r="B1551" t="s">
        <v>148</v>
      </c>
      <c r="C1551" s="1">
        <v>45877</v>
      </c>
      <c r="D1551" t="s">
        <v>269</v>
      </c>
      <c r="E1551" t="s">
        <v>270</v>
      </c>
      <c r="F1551" t="s">
        <v>271</v>
      </c>
      <c r="G1551" t="s">
        <v>1419</v>
      </c>
      <c r="H1551">
        <v>162</v>
      </c>
      <c r="I1551" t="s">
        <v>1419</v>
      </c>
      <c r="J1551">
        <v>599</v>
      </c>
      <c r="K1551" t="s">
        <v>5257</v>
      </c>
      <c r="L1551" t="s">
        <v>154</v>
      </c>
      <c r="M1551" t="s">
        <v>1420</v>
      </c>
      <c r="N1551" t="s">
        <v>1421</v>
      </c>
      <c r="O1551" t="s">
        <v>1422</v>
      </c>
      <c r="R1551">
        <f>1</f>
        <v>1</v>
      </c>
      <c r="S1551">
        <f>21.7</f>
        <v>21.7</v>
      </c>
      <c r="T1551">
        <f>7.5</f>
        <v>7.5</v>
      </c>
      <c r="U1551">
        <f>7</f>
        <v>7</v>
      </c>
      <c r="V1551">
        <f>0.1</f>
        <v>0.1</v>
      </c>
      <c r="X1551">
        <f>0</f>
        <v>0</v>
      </c>
      <c r="Y1551">
        <f>0.05</f>
        <v>0.05</v>
      </c>
      <c r="Z1551">
        <f>0</f>
        <v>0</v>
      </c>
      <c r="AA1551" t="s">
        <v>158</v>
      </c>
      <c r="AB1551" t="s">
        <v>158</v>
      </c>
      <c r="AC1551">
        <f>0</f>
        <v>0</v>
      </c>
      <c r="AD1551">
        <f>0</f>
        <v>0</v>
      </c>
      <c r="AE1551">
        <f>0</f>
        <v>0</v>
      </c>
      <c r="AH1551" t="s">
        <v>166</v>
      </c>
    </row>
    <row r="1552" spans="1:54" x14ac:dyDescent="0.25">
      <c r="A1552" t="s">
        <v>4070</v>
      </c>
      <c r="B1552" t="s">
        <v>148</v>
      </c>
      <c r="C1552" s="1">
        <v>45896</v>
      </c>
      <c r="D1552" t="s">
        <v>175</v>
      </c>
      <c r="E1552" t="s">
        <v>176</v>
      </c>
      <c r="F1552" t="s">
        <v>556</v>
      </c>
      <c r="G1552" t="s">
        <v>1445</v>
      </c>
      <c r="H1552">
        <v>178</v>
      </c>
      <c r="I1552" t="s">
        <v>1445</v>
      </c>
      <c r="J1552">
        <v>3488</v>
      </c>
      <c r="K1552" t="s">
        <v>5254</v>
      </c>
      <c r="L1552" t="s">
        <v>302</v>
      </c>
      <c r="M1552" t="s">
        <v>6629</v>
      </c>
      <c r="N1552" t="s">
        <v>5945</v>
      </c>
      <c r="O1552" t="s">
        <v>1446</v>
      </c>
      <c r="R1552">
        <f>1</f>
        <v>1</v>
      </c>
      <c r="S1552">
        <f>17.4</f>
        <v>17.399999999999999</v>
      </c>
      <c r="T1552">
        <f>7.6</f>
        <v>7.6</v>
      </c>
      <c r="U1552">
        <f>495</f>
        <v>495</v>
      </c>
      <c r="V1552">
        <f>0.04</f>
        <v>0.04</v>
      </c>
      <c r="W1552">
        <f>0.08</f>
        <v>0.08</v>
      </c>
      <c r="X1552">
        <f>0</f>
        <v>0</v>
      </c>
      <c r="Y1552" t="s">
        <v>157</v>
      </c>
      <c r="Z1552">
        <f>0</f>
        <v>0</v>
      </c>
      <c r="AA1552" t="s">
        <v>158</v>
      </c>
      <c r="AB1552" t="s">
        <v>158</v>
      </c>
      <c r="AD1552">
        <f>0</f>
        <v>0</v>
      </c>
      <c r="AE1552">
        <f>0</f>
        <v>0</v>
      </c>
      <c r="AH1552" t="s">
        <v>157</v>
      </c>
    </row>
    <row r="1553" spans="1:54" x14ac:dyDescent="0.25">
      <c r="A1553" t="s">
        <v>4071</v>
      </c>
      <c r="B1553" t="s">
        <v>148</v>
      </c>
      <c r="C1553" s="1">
        <v>45880</v>
      </c>
      <c r="D1553" t="s">
        <v>311</v>
      </c>
      <c r="E1553" t="s">
        <v>312</v>
      </c>
      <c r="F1553" t="s">
        <v>1465</v>
      </c>
      <c r="G1553" t="s">
        <v>1466</v>
      </c>
      <c r="H1553">
        <v>1250</v>
      </c>
      <c r="I1553" t="s">
        <v>1466</v>
      </c>
      <c r="J1553">
        <v>1189</v>
      </c>
      <c r="K1553" t="s">
        <v>5257</v>
      </c>
      <c r="L1553" t="s">
        <v>180</v>
      </c>
      <c r="M1553" t="s">
        <v>1467</v>
      </c>
      <c r="N1553" t="s">
        <v>1468</v>
      </c>
      <c r="O1553" t="s">
        <v>1469</v>
      </c>
      <c r="R1553">
        <f>1</f>
        <v>1</v>
      </c>
      <c r="S1553">
        <f>20.8</f>
        <v>20.8</v>
      </c>
      <c r="T1553">
        <f>6.6</f>
        <v>6.6</v>
      </c>
      <c r="U1553">
        <f>90</f>
        <v>90</v>
      </c>
      <c r="X1553">
        <f>0</f>
        <v>0</v>
      </c>
      <c r="Y1553" t="s">
        <v>157</v>
      </c>
      <c r="Z1553">
        <f>0</f>
        <v>0</v>
      </c>
      <c r="AA1553" t="s">
        <v>158</v>
      </c>
      <c r="AB1553" t="s">
        <v>158</v>
      </c>
      <c r="AC1553">
        <f>0</f>
        <v>0</v>
      </c>
      <c r="AD1553">
        <f>0</f>
        <v>0</v>
      </c>
      <c r="AE1553">
        <f>0</f>
        <v>0</v>
      </c>
      <c r="AH1553" t="s">
        <v>157</v>
      </c>
    </row>
    <row r="1554" spans="1:54" x14ac:dyDescent="0.25">
      <c r="A1554" t="s">
        <v>4072</v>
      </c>
      <c r="B1554" t="s">
        <v>148</v>
      </c>
      <c r="C1554" s="1">
        <v>45873</v>
      </c>
      <c r="D1554" t="s">
        <v>242</v>
      </c>
      <c r="E1554" t="s">
        <v>243</v>
      </c>
      <c r="F1554" t="s">
        <v>244</v>
      </c>
      <c r="G1554" t="s">
        <v>245</v>
      </c>
      <c r="H1554">
        <v>719</v>
      </c>
      <c r="I1554" t="s">
        <v>1477</v>
      </c>
      <c r="J1554">
        <v>659</v>
      </c>
      <c r="K1554" t="s">
        <v>5254</v>
      </c>
      <c r="L1554" t="s">
        <v>393</v>
      </c>
      <c r="M1554" t="s">
        <v>5428</v>
      </c>
      <c r="N1554" t="s">
        <v>1478</v>
      </c>
      <c r="O1554" t="s">
        <v>1479</v>
      </c>
      <c r="R1554">
        <f>1</f>
        <v>1</v>
      </c>
      <c r="S1554">
        <f>20.3</f>
        <v>20.3</v>
      </c>
      <c r="T1554">
        <f>8.1</f>
        <v>8.1</v>
      </c>
      <c r="U1554">
        <f>275</f>
        <v>275</v>
      </c>
      <c r="V1554">
        <f>0.14</f>
        <v>0.14000000000000001</v>
      </c>
      <c r="X1554">
        <f>0</f>
        <v>0</v>
      </c>
      <c r="Y1554">
        <f>0.84</f>
        <v>0.84</v>
      </c>
      <c r="Z1554">
        <f>0</f>
        <v>0</v>
      </c>
      <c r="AA1554" t="s">
        <v>158</v>
      </c>
      <c r="AB1554" t="s">
        <v>158</v>
      </c>
      <c r="AD1554">
        <f>0</f>
        <v>0</v>
      </c>
      <c r="AE1554">
        <f>0</f>
        <v>0</v>
      </c>
      <c r="AH1554" t="s">
        <v>157</v>
      </c>
    </row>
    <row r="1555" spans="1:54" x14ac:dyDescent="0.25">
      <c r="A1555" t="s">
        <v>4073</v>
      </c>
      <c r="B1555" t="s">
        <v>148</v>
      </c>
      <c r="C1555" s="1">
        <v>45896</v>
      </c>
      <c r="D1555" t="s">
        <v>242</v>
      </c>
      <c r="E1555" t="s">
        <v>243</v>
      </c>
      <c r="F1555" t="s">
        <v>1265</v>
      </c>
      <c r="G1555" t="s">
        <v>6634</v>
      </c>
      <c r="H1555">
        <v>830</v>
      </c>
      <c r="I1555" t="s">
        <v>6634</v>
      </c>
      <c r="J1555">
        <v>650</v>
      </c>
      <c r="K1555" t="s">
        <v>5254</v>
      </c>
      <c r="L1555" t="s">
        <v>393</v>
      </c>
      <c r="M1555" t="s">
        <v>1489</v>
      </c>
      <c r="N1555" t="s">
        <v>4768</v>
      </c>
      <c r="O1555" t="s">
        <v>1490</v>
      </c>
      <c r="Q1555" t="s">
        <v>6351</v>
      </c>
      <c r="R1555">
        <f>1</f>
        <v>1</v>
      </c>
      <c r="S1555">
        <f>14.9</f>
        <v>14.9</v>
      </c>
      <c r="T1555">
        <f>7.4</f>
        <v>7.4</v>
      </c>
      <c r="U1555">
        <f>322</f>
        <v>322</v>
      </c>
      <c r="X1555">
        <f>1</f>
        <v>1</v>
      </c>
      <c r="Y1555">
        <f>0.2</f>
        <v>0.2</v>
      </c>
      <c r="Z1555">
        <f>0</f>
        <v>0</v>
      </c>
      <c r="AA1555">
        <f>20</f>
        <v>20</v>
      </c>
      <c r="AB1555">
        <f>30</f>
        <v>30</v>
      </c>
      <c r="AD1555">
        <f>0</f>
        <v>0</v>
      </c>
      <c r="AE1555">
        <f>0</f>
        <v>0</v>
      </c>
      <c r="AH1555" t="s">
        <v>157</v>
      </c>
    </row>
    <row r="1556" spans="1:54" x14ac:dyDescent="0.25">
      <c r="A1556" t="s">
        <v>4074</v>
      </c>
      <c r="B1556" t="s">
        <v>148</v>
      </c>
      <c r="C1556" s="1">
        <v>45722</v>
      </c>
      <c r="D1556" t="s">
        <v>242</v>
      </c>
      <c r="E1556" t="s">
        <v>295</v>
      </c>
      <c r="F1556" t="s">
        <v>764</v>
      </c>
      <c r="G1556" t="s">
        <v>3739</v>
      </c>
      <c r="H1556">
        <v>479</v>
      </c>
      <c r="I1556" t="s">
        <v>3739</v>
      </c>
      <c r="J1556">
        <v>750</v>
      </c>
      <c r="K1556" t="s">
        <v>5254</v>
      </c>
      <c r="L1556" t="s">
        <v>431</v>
      </c>
      <c r="M1556" t="s">
        <v>5719</v>
      </c>
      <c r="N1556" t="s">
        <v>5720</v>
      </c>
      <c r="O1556" t="s">
        <v>3740</v>
      </c>
      <c r="R1556">
        <f>1</f>
        <v>1</v>
      </c>
      <c r="S1556">
        <f>7.5</f>
        <v>7.5</v>
      </c>
      <c r="T1556">
        <f>7.6</f>
        <v>7.6</v>
      </c>
      <c r="U1556">
        <f>621</f>
        <v>621</v>
      </c>
      <c r="X1556">
        <f>0</f>
        <v>0</v>
      </c>
      <c r="Y1556" t="s">
        <v>157</v>
      </c>
      <c r="Z1556">
        <f>0</f>
        <v>0</v>
      </c>
      <c r="AA1556" t="s">
        <v>158</v>
      </c>
      <c r="AB1556" t="s">
        <v>158</v>
      </c>
      <c r="AD1556">
        <f>0</f>
        <v>0</v>
      </c>
      <c r="AE1556">
        <f>0</f>
        <v>0</v>
      </c>
      <c r="AH1556" t="s">
        <v>157</v>
      </c>
    </row>
    <row r="1557" spans="1:54" x14ac:dyDescent="0.25">
      <c r="A1557" t="s">
        <v>4075</v>
      </c>
      <c r="B1557" t="s">
        <v>148</v>
      </c>
      <c r="C1557" s="1">
        <v>45869</v>
      </c>
      <c r="D1557" t="s">
        <v>242</v>
      </c>
      <c r="E1557" t="s">
        <v>243</v>
      </c>
      <c r="F1557" t="s">
        <v>1511</v>
      </c>
      <c r="G1557" t="s">
        <v>6635</v>
      </c>
      <c r="H1557">
        <v>870</v>
      </c>
      <c r="I1557" t="s">
        <v>6635</v>
      </c>
      <c r="J1557">
        <v>550</v>
      </c>
      <c r="K1557" t="s">
        <v>5254</v>
      </c>
      <c r="L1557" t="s">
        <v>393</v>
      </c>
      <c r="M1557" t="s">
        <v>1512</v>
      </c>
      <c r="N1557" t="s">
        <v>1513</v>
      </c>
      <c r="O1557" t="s">
        <v>1514</v>
      </c>
      <c r="Q1557" t="s">
        <v>6407</v>
      </c>
      <c r="R1557">
        <f>1</f>
        <v>1</v>
      </c>
      <c r="S1557">
        <f>20.8</f>
        <v>20.8</v>
      </c>
      <c r="T1557">
        <f>7.5</f>
        <v>7.5</v>
      </c>
      <c r="U1557">
        <f>563</f>
        <v>563</v>
      </c>
      <c r="X1557">
        <f>0</f>
        <v>0</v>
      </c>
      <c r="Y1557">
        <f>0.46</f>
        <v>0.46</v>
      </c>
      <c r="Z1557">
        <f>0</f>
        <v>0</v>
      </c>
      <c r="AA1557" t="s">
        <v>158</v>
      </c>
      <c r="AB1557" t="s">
        <v>158</v>
      </c>
      <c r="AD1557">
        <f>0</f>
        <v>0</v>
      </c>
      <c r="AE1557">
        <f>0</f>
        <v>0</v>
      </c>
      <c r="AH1557" t="s">
        <v>157</v>
      </c>
    </row>
    <row r="1558" spans="1:54" x14ac:dyDescent="0.25">
      <c r="A1558" t="s">
        <v>4076</v>
      </c>
      <c r="B1558" t="s">
        <v>148</v>
      </c>
      <c r="C1558" s="1">
        <v>45898</v>
      </c>
      <c r="D1558" t="s">
        <v>189</v>
      </c>
      <c r="E1558" t="s">
        <v>284</v>
      </c>
      <c r="F1558" t="s">
        <v>665</v>
      </c>
      <c r="G1558" t="s">
        <v>5143</v>
      </c>
      <c r="H1558">
        <v>326</v>
      </c>
      <c r="I1558" t="s">
        <v>5143</v>
      </c>
      <c r="J1558">
        <v>1042</v>
      </c>
      <c r="K1558" t="s">
        <v>5257</v>
      </c>
      <c r="L1558" t="s">
        <v>393</v>
      </c>
      <c r="M1558" t="s">
        <v>5144</v>
      </c>
      <c r="N1558" t="s">
        <v>5145</v>
      </c>
      <c r="O1558" t="s">
        <v>1528</v>
      </c>
      <c r="R1558">
        <f>1</f>
        <v>1</v>
      </c>
      <c r="S1558">
        <f>20.5</f>
        <v>20.5</v>
      </c>
      <c r="T1558">
        <f>7.9</f>
        <v>7.9</v>
      </c>
      <c r="U1558">
        <f>319</f>
        <v>319</v>
      </c>
      <c r="X1558">
        <f>0</f>
        <v>0</v>
      </c>
      <c r="Y1558">
        <f>0.04</f>
        <v>0.04</v>
      </c>
      <c r="Z1558">
        <f>0</f>
        <v>0</v>
      </c>
      <c r="AA1558">
        <f>4</f>
        <v>4</v>
      </c>
      <c r="AB1558">
        <f>1</f>
        <v>1</v>
      </c>
      <c r="AC1558">
        <f>0</f>
        <v>0</v>
      </c>
      <c r="AD1558">
        <f>0</f>
        <v>0</v>
      </c>
      <c r="AE1558">
        <f>0</f>
        <v>0</v>
      </c>
      <c r="AH1558" t="s">
        <v>157</v>
      </c>
    </row>
    <row r="1559" spans="1:54" x14ac:dyDescent="0.25">
      <c r="A1559" t="s">
        <v>4077</v>
      </c>
      <c r="B1559" t="s">
        <v>148</v>
      </c>
      <c r="C1559" s="1">
        <v>45867</v>
      </c>
      <c r="D1559" t="s">
        <v>269</v>
      </c>
      <c r="E1559" t="s">
        <v>270</v>
      </c>
      <c r="F1559" t="s">
        <v>754</v>
      </c>
      <c r="G1559" t="s">
        <v>6636</v>
      </c>
      <c r="H1559">
        <v>136</v>
      </c>
      <c r="I1559" t="s">
        <v>6636</v>
      </c>
      <c r="J1559">
        <v>870</v>
      </c>
      <c r="K1559" t="s">
        <v>5254</v>
      </c>
      <c r="L1559" t="s">
        <v>431</v>
      </c>
      <c r="M1559" t="s">
        <v>5956</v>
      </c>
      <c r="N1559" t="s">
        <v>6637</v>
      </c>
      <c r="O1559" t="s">
        <v>1533</v>
      </c>
      <c r="R1559">
        <f>1</f>
        <v>1</v>
      </c>
      <c r="S1559">
        <f>17.2</f>
        <v>17.2</v>
      </c>
      <c r="T1559">
        <f>7.4</f>
        <v>7.4</v>
      </c>
      <c r="U1559">
        <f>569</f>
        <v>569</v>
      </c>
      <c r="V1559">
        <f>0.29</f>
        <v>0.28999999999999998</v>
      </c>
      <c r="X1559">
        <f>0</f>
        <v>0</v>
      </c>
      <c r="Y1559" t="s">
        <v>207</v>
      </c>
      <c r="Z1559">
        <f>0</f>
        <v>0</v>
      </c>
      <c r="AA1559">
        <f>72</f>
        <v>72</v>
      </c>
      <c r="AB1559">
        <f>42</f>
        <v>42</v>
      </c>
      <c r="AD1559">
        <f>0</f>
        <v>0</v>
      </c>
      <c r="AE1559">
        <f>0</f>
        <v>0</v>
      </c>
      <c r="AH1559" t="s">
        <v>166</v>
      </c>
    </row>
    <row r="1560" spans="1:54" x14ac:dyDescent="0.25">
      <c r="A1560" t="s">
        <v>4078</v>
      </c>
      <c r="B1560" t="s">
        <v>148</v>
      </c>
      <c r="C1560" s="1">
        <v>45875</v>
      </c>
      <c r="D1560" t="s">
        <v>317</v>
      </c>
      <c r="E1560" t="s">
        <v>318</v>
      </c>
      <c r="F1560" t="s">
        <v>1551</v>
      </c>
      <c r="G1560" t="s">
        <v>1552</v>
      </c>
      <c r="H1560">
        <v>632</v>
      </c>
      <c r="I1560" t="s">
        <v>1552</v>
      </c>
      <c r="J1560">
        <v>700</v>
      </c>
      <c r="K1560" t="s">
        <v>5254</v>
      </c>
      <c r="L1560" t="s">
        <v>180</v>
      </c>
      <c r="M1560" t="s">
        <v>5433</v>
      </c>
      <c r="N1560" t="s">
        <v>1553</v>
      </c>
      <c r="O1560" t="s">
        <v>1554</v>
      </c>
      <c r="Q1560" t="s">
        <v>329</v>
      </c>
      <c r="R1560">
        <f>1</f>
        <v>1</v>
      </c>
      <c r="S1560">
        <f>17.8</f>
        <v>17.8</v>
      </c>
      <c r="T1560">
        <f>8.1</f>
        <v>8.1</v>
      </c>
      <c r="U1560">
        <f>103</f>
        <v>103</v>
      </c>
      <c r="X1560">
        <f>0</f>
        <v>0</v>
      </c>
      <c r="Y1560" t="s">
        <v>157</v>
      </c>
      <c r="Z1560">
        <f>0</f>
        <v>0</v>
      </c>
      <c r="AA1560">
        <f>0</f>
        <v>0</v>
      </c>
      <c r="AB1560">
        <f>0</f>
        <v>0</v>
      </c>
      <c r="AD1560">
        <f>0</f>
        <v>0</v>
      </c>
      <c r="AE1560">
        <f>0</f>
        <v>0</v>
      </c>
      <c r="AH1560" t="s">
        <v>157</v>
      </c>
    </row>
    <row r="1561" spans="1:54" x14ac:dyDescent="0.25">
      <c r="A1561" t="s">
        <v>4079</v>
      </c>
      <c r="B1561" t="s">
        <v>148</v>
      </c>
      <c r="C1561" s="1">
        <v>45880</v>
      </c>
      <c r="D1561" t="s">
        <v>618</v>
      </c>
      <c r="E1561" t="s">
        <v>619</v>
      </c>
      <c r="F1561" t="s">
        <v>730</v>
      </c>
      <c r="G1561" t="s">
        <v>1560</v>
      </c>
      <c r="H1561">
        <v>50</v>
      </c>
      <c r="I1561" t="s">
        <v>5964</v>
      </c>
      <c r="J1561">
        <v>700</v>
      </c>
      <c r="K1561" t="s">
        <v>5257</v>
      </c>
      <c r="L1561" t="s">
        <v>393</v>
      </c>
      <c r="M1561" t="s">
        <v>1561</v>
      </c>
      <c r="N1561" t="s">
        <v>5965</v>
      </c>
      <c r="O1561" t="s">
        <v>1562</v>
      </c>
      <c r="R1561">
        <f>1</f>
        <v>1</v>
      </c>
      <c r="S1561">
        <f>19.1</f>
        <v>19.100000000000001</v>
      </c>
      <c r="T1561">
        <f>7.9</f>
        <v>7.9</v>
      </c>
      <c r="U1561">
        <f>371</f>
        <v>371</v>
      </c>
      <c r="X1561">
        <f>0</f>
        <v>0</v>
      </c>
      <c r="Y1561" t="s">
        <v>157</v>
      </c>
      <c r="Z1561">
        <f>0</f>
        <v>0</v>
      </c>
      <c r="AA1561" t="s">
        <v>158</v>
      </c>
      <c r="AB1561" t="s">
        <v>158</v>
      </c>
      <c r="AC1561">
        <f>0</f>
        <v>0</v>
      </c>
      <c r="AD1561">
        <f>0</f>
        <v>0</v>
      </c>
      <c r="AE1561">
        <f>0</f>
        <v>0</v>
      </c>
      <c r="AH1561" t="s">
        <v>157</v>
      </c>
    </row>
    <row r="1562" spans="1:54" x14ac:dyDescent="0.25">
      <c r="A1562" t="s">
        <v>4080</v>
      </c>
      <c r="B1562" t="s">
        <v>148</v>
      </c>
      <c r="C1562" s="1">
        <v>45719</v>
      </c>
      <c r="D1562" t="s">
        <v>618</v>
      </c>
      <c r="E1562" t="s">
        <v>619</v>
      </c>
      <c r="F1562" t="s">
        <v>730</v>
      </c>
      <c r="G1562" t="s">
        <v>731</v>
      </c>
      <c r="H1562">
        <v>816</v>
      </c>
      <c r="I1562" t="s">
        <v>3755</v>
      </c>
      <c r="J1562">
        <v>1000</v>
      </c>
      <c r="K1562" t="s">
        <v>5254</v>
      </c>
      <c r="L1562" t="s">
        <v>387</v>
      </c>
      <c r="M1562" t="s">
        <v>3756</v>
      </c>
      <c r="N1562" t="s">
        <v>3757</v>
      </c>
      <c r="O1562" t="s">
        <v>3758</v>
      </c>
      <c r="R1562">
        <f>1</f>
        <v>1</v>
      </c>
      <c r="S1562">
        <f>9.1</f>
        <v>9.1</v>
      </c>
      <c r="T1562">
        <f>7.7</f>
        <v>7.7</v>
      </c>
      <c r="U1562">
        <f>339</f>
        <v>339</v>
      </c>
      <c r="V1562">
        <f>0.18</f>
        <v>0.18</v>
      </c>
      <c r="X1562">
        <f>0</f>
        <v>0</v>
      </c>
      <c r="Y1562">
        <f>0.1</f>
        <v>0.1</v>
      </c>
      <c r="Z1562">
        <f>0</f>
        <v>0</v>
      </c>
      <c r="AA1562" t="s">
        <v>158</v>
      </c>
      <c r="AB1562" t="s">
        <v>158</v>
      </c>
      <c r="AD1562">
        <f>0</f>
        <v>0</v>
      </c>
      <c r="AE1562">
        <f>0</f>
        <v>0</v>
      </c>
      <c r="AH1562" t="s">
        <v>157</v>
      </c>
    </row>
    <row r="1563" spans="1:54" x14ac:dyDescent="0.25">
      <c r="A1563" t="s">
        <v>4081</v>
      </c>
      <c r="B1563" t="s">
        <v>148</v>
      </c>
      <c r="C1563" s="1">
        <v>45873</v>
      </c>
      <c r="D1563" t="s">
        <v>242</v>
      </c>
      <c r="E1563" t="s">
        <v>243</v>
      </c>
      <c r="F1563" t="s">
        <v>244</v>
      </c>
      <c r="G1563" t="s">
        <v>245</v>
      </c>
      <c r="H1563">
        <v>156</v>
      </c>
      <c r="I1563" t="s">
        <v>5435</v>
      </c>
      <c r="J1563">
        <v>456</v>
      </c>
      <c r="K1563" t="s">
        <v>5257</v>
      </c>
      <c r="L1563" t="s">
        <v>1586</v>
      </c>
      <c r="M1563" t="s">
        <v>5436</v>
      </c>
      <c r="N1563" t="s">
        <v>5970</v>
      </c>
      <c r="O1563" t="s">
        <v>1587</v>
      </c>
      <c r="R1563">
        <f>1</f>
        <v>1</v>
      </c>
      <c r="S1563">
        <f>20.4</f>
        <v>20.399999999999999</v>
      </c>
      <c r="T1563">
        <f>8</f>
        <v>8</v>
      </c>
      <c r="U1563">
        <f>400</f>
        <v>400</v>
      </c>
      <c r="V1563">
        <f>0.05</f>
        <v>0.05</v>
      </c>
      <c r="X1563">
        <f>0</f>
        <v>0</v>
      </c>
      <c r="Y1563" t="s">
        <v>157</v>
      </c>
      <c r="Z1563">
        <f>0</f>
        <v>0</v>
      </c>
      <c r="AA1563" t="s">
        <v>158</v>
      </c>
      <c r="AB1563">
        <f>14</f>
        <v>14</v>
      </c>
      <c r="AC1563">
        <f>0</f>
        <v>0</v>
      </c>
      <c r="AD1563">
        <f>0</f>
        <v>0</v>
      </c>
      <c r="AE1563">
        <f>0</f>
        <v>0</v>
      </c>
      <c r="AH1563" t="s">
        <v>157</v>
      </c>
      <c r="BB1563" t="s">
        <v>158</v>
      </c>
    </row>
    <row r="1564" spans="1:54" x14ac:dyDescent="0.25">
      <c r="A1564" t="s">
        <v>4082</v>
      </c>
      <c r="B1564" t="s">
        <v>148</v>
      </c>
      <c r="C1564" s="1">
        <v>45873</v>
      </c>
      <c r="D1564" t="s">
        <v>242</v>
      </c>
      <c r="E1564" t="s">
        <v>243</v>
      </c>
      <c r="F1564" t="s">
        <v>244</v>
      </c>
      <c r="G1564" t="s">
        <v>245</v>
      </c>
      <c r="H1564">
        <v>218</v>
      </c>
      <c r="I1564" t="s">
        <v>5974</v>
      </c>
      <c r="J1564">
        <v>969</v>
      </c>
      <c r="K1564" t="s">
        <v>5257</v>
      </c>
      <c r="L1564" t="s">
        <v>431</v>
      </c>
      <c r="M1564" t="s">
        <v>5440</v>
      </c>
      <c r="N1564" t="s">
        <v>5441</v>
      </c>
      <c r="O1564" t="s">
        <v>1605</v>
      </c>
      <c r="R1564">
        <f>1</f>
        <v>1</v>
      </c>
      <c r="S1564">
        <f>18.3</f>
        <v>18.3</v>
      </c>
      <c r="T1564">
        <f>7.8</f>
        <v>7.8</v>
      </c>
      <c r="U1564">
        <f>306</f>
        <v>306</v>
      </c>
      <c r="V1564">
        <f>0.15</f>
        <v>0.15</v>
      </c>
      <c r="X1564">
        <f>0</f>
        <v>0</v>
      </c>
      <c r="Y1564">
        <f>0.14</f>
        <v>0.14000000000000001</v>
      </c>
      <c r="Z1564">
        <f>0</f>
        <v>0</v>
      </c>
      <c r="AA1564" t="s">
        <v>158</v>
      </c>
      <c r="AB1564" t="s">
        <v>158</v>
      </c>
      <c r="AD1564">
        <f>0</f>
        <v>0</v>
      </c>
      <c r="AE1564">
        <f>0</f>
        <v>0</v>
      </c>
      <c r="AH1564" t="s">
        <v>157</v>
      </c>
    </row>
    <row r="1565" spans="1:54" x14ac:dyDescent="0.25">
      <c r="A1565" t="s">
        <v>4083</v>
      </c>
      <c r="B1565" t="s">
        <v>148</v>
      </c>
      <c r="C1565" s="1">
        <v>45826</v>
      </c>
      <c r="D1565" t="s">
        <v>175</v>
      </c>
      <c r="E1565" t="s">
        <v>284</v>
      </c>
      <c r="F1565" t="s">
        <v>678</v>
      </c>
      <c r="G1565" t="s">
        <v>3653</v>
      </c>
      <c r="H1565">
        <v>1554</v>
      </c>
      <c r="I1565" t="s">
        <v>3653</v>
      </c>
      <c r="J1565">
        <v>1081</v>
      </c>
      <c r="K1565" t="s">
        <v>5254</v>
      </c>
      <c r="L1565" t="s">
        <v>302</v>
      </c>
      <c r="M1565" t="s">
        <v>6211</v>
      </c>
      <c r="N1565" t="s">
        <v>3654</v>
      </c>
      <c r="O1565" t="s">
        <v>3655</v>
      </c>
      <c r="R1565">
        <f>1</f>
        <v>1</v>
      </c>
      <c r="S1565">
        <f>19.6</f>
        <v>19.600000000000001</v>
      </c>
      <c r="T1565">
        <f>7.7</f>
        <v>7.7</v>
      </c>
      <c r="U1565">
        <f>439</f>
        <v>439</v>
      </c>
      <c r="W1565">
        <f>0.06</f>
        <v>0.06</v>
      </c>
      <c r="X1565">
        <f>0</f>
        <v>0</v>
      </c>
      <c r="Y1565" t="s">
        <v>157</v>
      </c>
      <c r="Z1565">
        <f>0</f>
        <v>0</v>
      </c>
      <c r="AA1565" t="s">
        <v>158</v>
      </c>
      <c r="AB1565" t="s">
        <v>158</v>
      </c>
      <c r="AD1565">
        <f>0</f>
        <v>0</v>
      </c>
      <c r="AE1565">
        <f>0</f>
        <v>0</v>
      </c>
      <c r="AH1565" t="s">
        <v>157</v>
      </c>
    </row>
    <row r="1566" spans="1:54" x14ac:dyDescent="0.25">
      <c r="A1566" t="s">
        <v>4084</v>
      </c>
      <c r="B1566" t="s">
        <v>148</v>
      </c>
      <c r="C1566" s="1">
        <v>45891</v>
      </c>
      <c r="D1566" t="s">
        <v>175</v>
      </c>
      <c r="E1566" t="s">
        <v>176</v>
      </c>
      <c r="F1566" t="s">
        <v>343</v>
      </c>
      <c r="G1566" t="s">
        <v>6647</v>
      </c>
      <c r="H1566">
        <v>1097</v>
      </c>
      <c r="I1566" t="s">
        <v>6647</v>
      </c>
      <c r="J1566">
        <v>2700</v>
      </c>
      <c r="K1566" t="s">
        <v>5257</v>
      </c>
      <c r="L1566" t="s">
        <v>4966</v>
      </c>
      <c r="M1566" t="s">
        <v>5443</v>
      </c>
      <c r="N1566" t="s">
        <v>1613</v>
      </c>
      <c r="O1566" t="s">
        <v>1614</v>
      </c>
      <c r="Q1566" t="s">
        <v>6357</v>
      </c>
      <c r="R1566">
        <f>1</f>
        <v>1</v>
      </c>
      <c r="S1566">
        <f>20</f>
        <v>20</v>
      </c>
      <c r="T1566">
        <f>7.8</f>
        <v>7.8</v>
      </c>
      <c r="U1566">
        <f>294</f>
        <v>294</v>
      </c>
      <c r="X1566">
        <f>0</f>
        <v>0</v>
      </c>
      <c r="Y1566">
        <f>0.52</f>
        <v>0.52</v>
      </c>
      <c r="Z1566">
        <f>0</f>
        <v>0</v>
      </c>
      <c r="AA1566">
        <f>1</f>
        <v>1</v>
      </c>
      <c r="AB1566">
        <f>0</f>
        <v>0</v>
      </c>
      <c r="AC1566">
        <f>0</f>
        <v>0</v>
      </c>
      <c r="AD1566">
        <f>0</f>
        <v>0</v>
      </c>
      <c r="AE1566">
        <f>0</f>
        <v>0</v>
      </c>
      <c r="AH1566" t="s">
        <v>157</v>
      </c>
    </row>
    <row r="1567" spans="1:54" x14ac:dyDescent="0.25">
      <c r="A1567" t="s">
        <v>4085</v>
      </c>
      <c r="B1567" t="s">
        <v>268</v>
      </c>
      <c r="C1567" s="1">
        <v>45868</v>
      </c>
      <c r="D1567" t="s">
        <v>317</v>
      </c>
      <c r="E1567" t="s">
        <v>176</v>
      </c>
      <c r="F1567" t="s">
        <v>5444</v>
      </c>
      <c r="G1567" t="s">
        <v>5978</v>
      </c>
      <c r="H1567">
        <v>1668</v>
      </c>
      <c r="I1567" t="s">
        <v>5979</v>
      </c>
      <c r="J1567">
        <v>570</v>
      </c>
      <c r="K1567" t="s">
        <v>4778</v>
      </c>
      <c r="M1567" t="s">
        <v>1633</v>
      </c>
      <c r="N1567" t="s">
        <v>1634</v>
      </c>
      <c r="O1567" t="s">
        <v>1635</v>
      </c>
      <c r="Q1567" t="s">
        <v>6502</v>
      </c>
      <c r="R1567">
        <f>1</f>
        <v>1</v>
      </c>
      <c r="S1567">
        <f>19.2</f>
        <v>19.2</v>
      </c>
      <c r="T1567">
        <f>7.4</f>
        <v>7.4</v>
      </c>
      <c r="U1567">
        <f>317</f>
        <v>317</v>
      </c>
      <c r="X1567">
        <f>0</f>
        <v>0</v>
      </c>
      <c r="Y1567">
        <f>0.18</f>
        <v>0.18</v>
      </c>
      <c r="Z1567">
        <f>1</f>
        <v>1</v>
      </c>
      <c r="AA1567">
        <f>72</f>
        <v>72</v>
      </c>
      <c r="AB1567">
        <f>8</f>
        <v>8</v>
      </c>
      <c r="AC1567">
        <f>0</f>
        <v>0</v>
      </c>
      <c r="AD1567">
        <f>0</f>
        <v>0</v>
      </c>
      <c r="AE1567">
        <f>1</f>
        <v>1</v>
      </c>
      <c r="AH1567" t="s">
        <v>157</v>
      </c>
    </row>
    <row r="1568" spans="1:54" x14ac:dyDescent="0.25">
      <c r="A1568" t="s">
        <v>4086</v>
      </c>
      <c r="B1568" t="s">
        <v>148</v>
      </c>
      <c r="C1568" s="1">
        <v>45873</v>
      </c>
      <c r="D1568" t="s">
        <v>175</v>
      </c>
      <c r="E1568" t="s">
        <v>176</v>
      </c>
      <c r="F1568" t="s">
        <v>1637</v>
      </c>
      <c r="G1568" t="s">
        <v>2136</v>
      </c>
      <c r="H1568">
        <v>177</v>
      </c>
      <c r="I1568" t="s">
        <v>2136</v>
      </c>
      <c r="J1568">
        <v>831</v>
      </c>
      <c r="K1568" t="s">
        <v>5254</v>
      </c>
      <c r="L1568" t="s">
        <v>154</v>
      </c>
      <c r="M1568" t="s">
        <v>6709</v>
      </c>
      <c r="N1568" t="s">
        <v>2137</v>
      </c>
      <c r="O1568" t="s">
        <v>2138</v>
      </c>
      <c r="Q1568" t="s">
        <v>6503</v>
      </c>
      <c r="R1568">
        <f>1</f>
        <v>1</v>
      </c>
      <c r="S1568">
        <f>20.4</f>
        <v>20.399999999999999</v>
      </c>
      <c r="T1568">
        <f>7.6</f>
        <v>7.6</v>
      </c>
      <c r="U1568">
        <f>455</f>
        <v>455</v>
      </c>
      <c r="V1568">
        <f>0.08</f>
        <v>0.08</v>
      </c>
      <c r="X1568">
        <f>0</f>
        <v>0</v>
      </c>
      <c r="Y1568" t="s">
        <v>157</v>
      </c>
      <c r="Z1568">
        <f>0</f>
        <v>0</v>
      </c>
      <c r="AA1568" t="s">
        <v>158</v>
      </c>
      <c r="AB1568" t="s">
        <v>158</v>
      </c>
      <c r="AD1568">
        <f>0</f>
        <v>0</v>
      </c>
      <c r="AE1568">
        <f>0</f>
        <v>0</v>
      </c>
      <c r="AH1568" t="s">
        <v>157</v>
      </c>
    </row>
    <row r="1569" spans="1:62" x14ac:dyDescent="0.25">
      <c r="A1569" t="s">
        <v>4087</v>
      </c>
      <c r="B1569" t="s">
        <v>268</v>
      </c>
      <c r="C1569" s="1">
        <v>45873</v>
      </c>
      <c r="D1569" t="s">
        <v>317</v>
      </c>
      <c r="E1569" t="s">
        <v>318</v>
      </c>
      <c r="F1569" t="s">
        <v>847</v>
      </c>
      <c r="G1569" t="s">
        <v>1645</v>
      </c>
      <c r="H1569">
        <v>75</v>
      </c>
      <c r="I1569" t="s">
        <v>1645</v>
      </c>
      <c r="J1569">
        <v>622</v>
      </c>
      <c r="K1569" t="s">
        <v>5254</v>
      </c>
      <c r="L1569" t="s">
        <v>4966</v>
      </c>
      <c r="M1569" t="s">
        <v>4993</v>
      </c>
      <c r="N1569" t="s">
        <v>1646</v>
      </c>
      <c r="O1569" t="s">
        <v>1647</v>
      </c>
      <c r="Q1569" t="s">
        <v>6301</v>
      </c>
      <c r="R1569">
        <f>1</f>
        <v>1</v>
      </c>
      <c r="S1569">
        <f>17</f>
        <v>17</v>
      </c>
      <c r="T1569">
        <f>8</f>
        <v>8</v>
      </c>
      <c r="U1569">
        <f>316</f>
        <v>316</v>
      </c>
      <c r="X1569">
        <f>0</f>
        <v>0</v>
      </c>
      <c r="Y1569" t="s">
        <v>157</v>
      </c>
      <c r="Z1569">
        <f>5</f>
        <v>5</v>
      </c>
      <c r="AA1569">
        <f>19</f>
        <v>19</v>
      </c>
      <c r="AB1569">
        <f>3</f>
        <v>3</v>
      </c>
      <c r="AD1569">
        <f>11</f>
        <v>11</v>
      </c>
      <c r="AE1569">
        <f>15</f>
        <v>15</v>
      </c>
      <c r="AH1569" t="s">
        <v>157</v>
      </c>
    </row>
    <row r="1570" spans="1:62" x14ac:dyDescent="0.25">
      <c r="A1570" t="s">
        <v>4088</v>
      </c>
      <c r="B1570" t="s">
        <v>148</v>
      </c>
      <c r="C1570" s="1">
        <v>45877</v>
      </c>
      <c r="D1570" t="s">
        <v>269</v>
      </c>
      <c r="E1570" t="s">
        <v>270</v>
      </c>
      <c r="F1570" t="s">
        <v>271</v>
      </c>
      <c r="G1570" t="s">
        <v>1671</v>
      </c>
      <c r="H1570">
        <v>185</v>
      </c>
      <c r="I1570" t="s">
        <v>1671</v>
      </c>
      <c r="J1570">
        <v>1204</v>
      </c>
      <c r="K1570" t="s">
        <v>5257</v>
      </c>
      <c r="L1570" t="s">
        <v>726</v>
      </c>
      <c r="M1570" t="s">
        <v>5450</v>
      </c>
      <c r="N1570" t="s">
        <v>5987</v>
      </c>
      <c r="O1570" t="s">
        <v>1672</v>
      </c>
      <c r="R1570">
        <f>1</f>
        <v>1</v>
      </c>
      <c r="S1570">
        <f>16.9</f>
        <v>16.899999999999999</v>
      </c>
      <c r="T1570">
        <f>8.1</f>
        <v>8.1</v>
      </c>
      <c r="U1570">
        <f>405</f>
        <v>405</v>
      </c>
      <c r="X1570">
        <f>0</f>
        <v>0</v>
      </c>
      <c r="Y1570">
        <f>0.77</f>
        <v>0.77</v>
      </c>
      <c r="Z1570">
        <f>0</f>
        <v>0</v>
      </c>
      <c r="AA1570">
        <f>33</f>
        <v>33</v>
      </c>
      <c r="AB1570">
        <f>25</f>
        <v>25</v>
      </c>
      <c r="AD1570">
        <f>0</f>
        <v>0</v>
      </c>
      <c r="AE1570">
        <f>0</f>
        <v>0</v>
      </c>
      <c r="AH1570" t="s">
        <v>166</v>
      </c>
    </row>
    <row r="1571" spans="1:62" x14ac:dyDescent="0.25">
      <c r="A1571" t="s">
        <v>4089</v>
      </c>
      <c r="B1571" t="s">
        <v>148</v>
      </c>
      <c r="C1571" s="1">
        <v>45898</v>
      </c>
      <c r="D1571" t="s">
        <v>175</v>
      </c>
      <c r="E1571" t="s">
        <v>176</v>
      </c>
      <c r="F1571" t="s">
        <v>556</v>
      </c>
      <c r="G1571" t="s">
        <v>557</v>
      </c>
      <c r="H1571">
        <v>1707</v>
      </c>
      <c r="I1571" t="s">
        <v>6655</v>
      </c>
      <c r="J1571">
        <v>4171</v>
      </c>
      <c r="K1571" t="s">
        <v>5254</v>
      </c>
      <c r="M1571" t="s">
        <v>4781</v>
      </c>
      <c r="N1571" t="s">
        <v>4782</v>
      </c>
      <c r="O1571" t="s">
        <v>1674</v>
      </c>
      <c r="R1571">
        <f>1</f>
        <v>1</v>
      </c>
      <c r="S1571">
        <f>20</f>
        <v>20</v>
      </c>
      <c r="T1571">
        <f>7.4</f>
        <v>7.4</v>
      </c>
      <c r="U1571">
        <f>510</f>
        <v>510</v>
      </c>
      <c r="X1571">
        <f>0</f>
        <v>0</v>
      </c>
      <c r="Y1571" t="s">
        <v>157</v>
      </c>
      <c r="Z1571">
        <f>0</f>
        <v>0</v>
      </c>
      <c r="AA1571" t="s">
        <v>158</v>
      </c>
      <c r="AB1571" t="s">
        <v>158</v>
      </c>
      <c r="AD1571">
        <f>0</f>
        <v>0</v>
      </c>
      <c r="AE1571">
        <f>0</f>
        <v>0</v>
      </c>
      <c r="AH1571" t="s">
        <v>157</v>
      </c>
    </row>
    <row r="1572" spans="1:62" x14ac:dyDescent="0.25">
      <c r="A1572" t="s">
        <v>4090</v>
      </c>
      <c r="B1572" t="s">
        <v>148</v>
      </c>
      <c r="C1572" s="1">
        <v>45896</v>
      </c>
      <c r="D1572" t="s">
        <v>175</v>
      </c>
      <c r="E1572" t="s">
        <v>176</v>
      </c>
      <c r="F1572" t="s">
        <v>556</v>
      </c>
      <c r="G1572" t="s">
        <v>5150</v>
      </c>
      <c r="H1572">
        <v>318</v>
      </c>
      <c r="I1572" t="s">
        <v>5150</v>
      </c>
      <c r="J1572">
        <v>721</v>
      </c>
      <c r="K1572" t="s">
        <v>5254</v>
      </c>
      <c r="L1572" t="s">
        <v>431</v>
      </c>
      <c r="M1572" t="s">
        <v>5384</v>
      </c>
      <c r="N1572" t="s">
        <v>5989</v>
      </c>
      <c r="O1572" t="s">
        <v>1687</v>
      </c>
      <c r="Q1572" t="s">
        <v>1097</v>
      </c>
      <c r="R1572">
        <f>1</f>
        <v>1</v>
      </c>
      <c r="S1572">
        <f>20.8</f>
        <v>20.8</v>
      </c>
      <c r="T1572">
        <f>7.5</f>
        <v>7.5</v>
      </c>
      <c r="U1572">
        <f>484</f>
        <v>484</v>
      </c>
      <c r="X1572">
        <f>0</f>
        <v>0</v>
      </c>
      <c r="Y1572">
        <f>0.1</f>
        <v>0.1</v>
      </c>
      <c r="Z1572">
        <f>0</f>
        <v>0</v>
      </c>
      <c r="AA1572" t="s">
        <v>158</v>
      </c>
      <c r="AB1572" t="s">
        <v>158</v>
      </c>
      <c r="AD1572">
        <f>0</f>
        <v>0</v>
      </c>
      <c r="AE1572">
        <f>0</f>
        <v>0</v>
      </c>
      <c r="AH1572" t="s">
        <v>157</v>
      </c>
    </row>
    <row r="1573" spans="1:62" x14ac:dyDescent="0.25">
      <c r="A1573" t="s">
        <v>4091</v>
      </c>
      <c r="B1573" t="s">
        <v>148</v>
      </c>
      <c r="C1573" s="1">
        <v>45722</v>
      </c>
      <c r="D1573" t="s">
        <v>149</v>
      </c>
      <c r="E1573" t="s">
        <v>150</v>
      </c>
      <c r="F1573" t="s">
        <v>151</v>
      </c>
      <c r="G1573" t="s">
        <v>152</v>
      </c>
      <c r="H1573">
        <v>10</v>
      </c>
      <c r="I1573" t="s">
        <v>153</v>
      </c>
      <c r="J1573">
        <v>41336</v>
      </c>
      <c r="K1573" t="s">
        <v>5254</v>
      </c>
      <c r="L1573" t="s">
        <v>154</v>
      </c>
      <c r="M1573" t="s">
        <v>4092</v>
      </c>
      <c r="N1573" t="s">
        <v>4093</v>
      </c>
      <c r="R1573">
        <f>1</f>
        <v>1</v>
      </c>
      <c r="S1573">
        <f>7.8</f>
        <v>7.8</v>
      </c>
      <c r="T1573">
        <f>7.3</f>
        <v>7.3</v>
      </c>
      <c r="U1573">
        <f>537</f>
        <v>537</v>
      </c>
      <c r="V1573" t="s">
        <v>157</v>
      </c>
      <c r="X1573">
        <f>0</f>
        <v>0</v>
      </c>
      <c r="Y1573">
        <f>0.1</f>
        <v>0.1</v>
      </c>
      <c r="Z1573">
        <f>0</f>
        <v>0</v>
      </c>
      <c r="AA1573" t="s">
        <v>158</v>
      </c>
      <c r="AB1573" t="s">
        <v>158</v>
      </c>
      <c r="AD1573">
        <f>0</f>
        <v>0</v>
      </c>
      <c r="AE1573">
        <f>0</f>
        <v>0</v>
      </c>
      <c r="AH1573" t="s">
        <v>157</v>
      </c>
    </row>
    <row r="1574" spans="1:62" x14ac:dyDescent="0.25">
      <c r="A1574" t="s">
        <v>4094</v>
      </c>
      <c r="B1574" t="s">
        <v>148</v>
      </c>
      <c r="C1574" s="1">
        <v>45898</v>
      </c>
      <c r="D1574" t="s">
        <v>189</v>
      </c>
      <c r="E1574" t="s">
        <v>284</v>
      </c>
      <c r="F1574" t="s">
        <v>665</v>
      </c>
      <c r="G1574" t="s">
        <v>5911</v>
      </c>
      <c r="H1574">
        <v>327</v>
      </c>
      <c r="I1574" t="s">
        <v>5911</v>
      </c>
      <c r="J1574">
        <v>382</v>
      </c>
      <c r="K1574" t="s">
        <v>5257</v>
      </c>
      <c r="L1574" t="s">
        <v>350</v>
      </c>
      <c r="M1574" t="s">
        <v>5912</v>
      </c>
      <c r="N1574" t="s">
        <v>5913</v>
      </c>
      <c r="O1574" t="s">
        <v>1204</v>
      </c>
      <c r="Q1574" t="s">
        <v>6340</v>
      </c>
      <c r="R1574">
        <f>1</f>
        <v>1</v>
      </c>
      <c r="S1574">
        <f>22.5</f>
        <v>22.5</v>
      </c>
      <c r="T1574">
        <f>7.4</f>
        <v>7.4</v>
      </c>
      <c r="U1574">
        <f>415</f>
        <v>415</v>
      </c>
      <c r="X1574">
        <f>0</f>
        <v>0</v>
      </c>
      <c r="Y1574">
        <f>0.1</f>
        <v>0.1</v>
      </c>
      <c r="Z1574">
        <f>0</f>
        <v>0</v>
      </c>
      <c r="AA1574">
        <f>6</f>
        <v>6</v>
      </c>
      <c r="AB1574">
        <f>8</f>
        <v>8</v>
      </c>
      <c r="AC1574">
        <f>0</f>
        <v>0</v>
      </c>
      <c r="AD1574">
        <f>0</f>
        <v>0</v>
      </c>
      <c r="AE1574">
        <f>0</f>
        <v>0</v>
      </c>
      <c r="AH1574" t="s">
        <v>157</v>
      </c>
    </row>
    <row r="1575" spans="1:62" x14ac:dyDescent="0.25">
      <c r="A1575" t="s">
        <v>4095</v>
      </c>
      <c r="B1575" t="s">
        <v>148</v>
      </c>
      <c r="C1575" s="1">
        <v>45888</v>
      </c>
      <c r="D1575" t="s">
        <v>242</v>
      </c>
      <c r="E1575" t="s">
        <v>243</v>
      </c>
      <c r="F1575" t="s">
        <v>5393</v>
      </c>
      <c r="G1575" t="s">
        <v>5928</v>
      </c>
      <c r="H1575">
        <v>882</v>
      </c>
      <c r="I1575" t="s">
        <v>5928</v>
      </c>
      <c r="J1575">
        <v>450</v>
      </c>
      <c r="K1575" t="s">
        <v>5254</v>
      </c>
      <c r="L1575" t="s">
        <v>4758</v>
      </c>
      <c r="M1575" t="s">
        <v>5394</v>
      </c>
      <c r="N1575" t="s">
        <v>5395</v>
      </c>
      <c r="O1575" t="s">
        <v>1270</v>
      </c>
      <c r="R1575">
        <f>1</f>
        <v>1</v>
      </c>
      <c r="S1575">
        <f>16.5</f>
        <v>16.5</v>
      </c>
      <c r="T1575">
        <f>7.9</f>
        <v>7.9</v>
      </c>
      <c r="U1575">
        <f>482</f>
        <v>482</v>
      </c>
      <c r="X1575">
        <f>0</f>
        <v>0</v>
      </c>
      <c r="Y1575">
        <f>1</f>
        <v>1</v>
      </c>
      <c r="Z1575">
        <f>0</f>
        <v>0</v>
      </c>
      <c r="AA1575" t="s">
        <v>158</v>
      </c>
      <c r="AB1575" t="s">
        <v>158</v>
      </c>
      <c r="AD1575">
        <f>0</f>
        <v>0</v>
      </c>
      <c r="AE1575">
        <f>0</f>
        <v>0</v>
      </c>
      <c r="AH1575" t="s">
        <v>157</v>
      </c>
      <c r="AI1575">
        <f>0.7</f>
        <v>0.7</v>
      </c>
      <c r="AL1575" t="s">
        <v>164</v>
      </c>
      <c r="AM1575" t="s">
        <v>165</v>
      </c>
      <c r="AN1575">
        <f>4</f>
        <v>4</v>
      </c>
      <c r="AO1575">
        <f>0.08</f>
        <v>0.08</v>
      </c>
      <c r="AP1575">
        <f>7.4</f>
        <v>7.4</v>
      </c>
      <c r="AQ1575">
        <f>13</f>
        <v>13</v>
      </c>
      <c r="AR1575" t="s">
        <v>157</v>
      </c>
    </row>
    <row r="1576" spans="1:62" x14ac:dyDescent="0.25">
      <c r="A1576" t="s">
        <v>4096</v>
      </c>
      <c r="B1576" t="s">
        <v>148</v>
      </c>
      <c r="C1576" s="1">
        <v>45715</v>
      </c>
      <c r="D1576" t="s">
        <v>222</v>
      </c>
      <c r="E1576" t="s">
        <v>223</v>
      </c>
      <c r="F1576" t="s">
        <v>224</v>
      </c>
      <c r="G1576" t="s">
        <v>5929</v>
      </c>
      <c r="H1576">
        <v>262</v>
      </c>
      <c r="I1576" t="s">
        <v>6609</v>
      </c>
      <c r="J1576">
        <v>413</v>
      </c>
      <c r="K1576" t="s">
        <v>5257</v>
      </c>
      <c r="L1576" t="s">
        <v>4963</v>
      </c>
      <c r="M1576" t="s">
        <v>1278</v>
      </c>
      <c r="N1576" t="s">
        <v>1279</v>
      </c>
      <c r="Q1576" t="s">
        <v>6504</v>
      </c>
      <c r="R1576">
        <f>1</f>
        <v>1</v>
      </c>
      <c r="S1576">
        <f>7.1</f>
        <v>7.1</v>
      </c>
      <c r="T1576">
        <f>8.2</f>
        <v>8.1999999999999993</v>
      </c>
      <c r="U1576">
        <f>325</f>
        <v>325</v>
      </c>
      <c r="V1576">
        <f>0.23</f>
        <v>0.23</v>
      </c>
      <c r="X1576">
        <f>1</f>
        <v>1</v>
      </c>
      <c r="Y1576">
        <f>0.18</f>
        <v>0.18</v>
      </c>
      <c r="Z1576">
        <f>0</f>
        <v>0</v>
      </c>
      <c r="AA1576">
        <f>0</f>
        <v>0</v>
      </c>
      <c r="AB1576">
        <f>0</f>
        <v>0</v>
      </c>
      <c r="AC1576">
        <f>0</f>
        <v>0</v>
      </c>
      <c r="AD1576">
        <f>0</f>
        <v>0</v>
      </c>
      <c r="AE1576">
        <f>0</f>
        <v>0</v>
      </c>
      <c r="AH1576" t="s">
        <v>166</v>
      </c>
    </row>
    <row r="1577" spans="1:62" x14ac:dyDescent="0.25">
      <c r="A1577" t="s">
        <v>4097</v>
      </c>
      <c r="B1577" t="s">
        <v>148</v>
      </c>
      <c r="C1577" s="1">
        <v>45715</v>
      </c>
      <c r="D1577" t="s">
        <v>222</v>
      </c>
      <c r="E1577" t="s">
        <v>223</v>
      </c>
      <c r="F1577" t="s">
        <v>4723</v>
      </c>
      <c r="G1577" t="s">
        <v>5135</v>
      </c>
      <c r="H1577">
        <v>412</v>
      </c>
      <c r="I1577" t="s">
        <v>5135</v>
      </c>
      <c r="J1577">
        <v>264</v>
      </c>
      <c r="K1577" t="s">
        <v>5257</v>
      </c>
      <c r="L1577" t="s">
        <v>393</v>
      </c>
      <c r="M1577" t="s">
        <v>5384</v>
      </c>
      <c r="N1577" t="s">
        <v>5401</v>
      </c>
      <c r="O1577" t="s">
        <v>1298</v>
      </c>
      <c r="Q1577" t="s">
        <v>1280</v>
      </c>
      <c r="R1577">
        <f>1</f>
        <v>1</v>
      </c>
      <c r="S1577">
        <f>11.3</f>
        <v>11.3</v>
      </c>
      <c r="T1577">
        <f>8</f>
        <v>8</v>
      </c>
      <c r="U1577">
        <f>345</f>
        <v>345</v>
      </c>
      <c r="V1577">
        <f>0.08</f>
        <v>0.08</v>
      </c>
      <c r="X1577">
        <f>1</f>
        <v>1</v>
      </c>
      <c r="Y1577">
        <f>0.19</f>
        <v>0.19</v>
      </c>
      <c r="Z1577">
        <f>0</f>
        <v>0</v>
      </c>
      <c r="AA1577">
        <f>1</f>
        <v>1</v>
      </c>
      <c r="AB1577">
        <f>1</f>
        <v>1</v>
      </c>
      <c r="AC1577">
        <f>0</f>
        <v>0</v>
      </c>
      <c r="AD1577">
        <f>0</f>
        <v>0</v>
      </c>
      <c r="AE1577">
        <f>0</f>
        <v>0</v>
      </c>
      <c r="AH1577" t="s">
        <v>166</v>
      </c>
    </row>
    <row r="1578" spans="1:62" x14ac:dyDescent="0.25">
      <c r="A1578" t="s">
        <v>4098</v>
      </c>
      <c r="B1578" t="s">
        <v>148</v>
      </c>
      <c r="C1578" s="1">
        <v>45874</v>
      </c>
      <c r="D1578" t="s">
        <v>317</v>
      </c>
      <c r="E1578" t="s">
        <v>318</v>
      </c>
      <c r="F1578" t="s">
        <v>5108</v>
      </c>
      <c r="G1578" t="s">
        <v>1255</v>
      </c>
      <c r="H1578">
        <v>108</v>
      </c>
      <c r="I1578" t="s">
        <v>5138</v>
      </c>
      <c r="J1578">
        <v>450</v>
      </c>
      <c r="K1578" t="s">
        <v>5254</v>
      </c>
      <c r="L1578" t="s">
        <v>180</v>
      </c>
      <c r="M1578" t="s">
        <v>1355</v>
      </c>
      <c r="N1578" t="s">
        <v>1356</v>
      </c>
      <c r="O1578" t="s">
        <v>1357</v>
      </c>
      <c r="Q1578" t="s">
        <v>6344</v>
      </c>
      <c r="R1578">
        <f>1</f>
        <v>1</v>
      </c>
      <c r="S1578">
        <f>17.5</f>
        <v>17.5</v>
      </c>
      <c r="T1578">
        <f>6.5</f>
        <v>6.5</v>
      </c>
      <c r="U1578">
        <f>18</f>
        <v>18</v>
      </c>
      <c r="X1578">
        <f>0</f>
        <v>0</v>
      </c>
      <c r="Y1578" t="s">
        <v>157</v>
      </c>
      <c r="Z1578">
        <f>0</f>
        <v>0</v>
      </c>
      <c r="AA1578">
        <f>6</f>
        <v>6</v>
      </c>
      <c r="AB1578">
        <f>5</f>
        <v>5</v>
      </c>
      <c r="AD1578">
        <f>0</f>
        <v>0</v>
      </c>
      <c r="AE1578">
        <f>0</f>
        <v>0</v>
      </c>
      <c r="AH1578" t="s">
        <v>157</v>
      </c>
      <c r="AI1578" t="s">
        <v>167</v>
      </c>
      <c r="AL1578" t="s">
        <v>168</v>
      </c>
      <c r="AM1578" t="s">
        <v>216</v>
      </c>
      <c r="AN1578">
        <f>1.2</f>
        <v>1.2</v>
      </c>
      <c r="AO1578">
        <f>0.024</f>
        <v>2.4E-2</v>
      </c>
      <c r="AP1578" t="s">
        <v>167</v>
      </c>
      <c r="AQ1578" t="s">
        <v>167</v>
      </c>
      <c r="AR1578" t="s">
        <v>167</v>
      </c>
    </row>
    <row r="1579" spans="1:62" x14ac:dyDescent="0.25">
      <c r="A1579" t="s">
        <v>4099</v>
      </c>
      <c r="B1579" t="s">
        <v>148</v>
      </c>
      <c r="C1579" s="1">
        <v>45726</v>
      </c>
      <c r="D1579" t="s">
        <v>242</v>
      </c>
      <c r="E1579" t="s">
        <v>243</v>
      </c>
      <c r="F1579" t="s">
        <v>884</v>
      </c>
      <c r="G1579" t="s">
        <v>6579</v>
      </c>
      <c r="H1579">
        <v>1811</v>
      </c>
      <c r="I1579" t="s">
        <v>1369</v>
      </c>
      <c r="J1579">
        <v>462</v>
      </c>
      <c r="K1579" t="s">
        <v>5254</v>
      </c>
      <c r="L1579" t="s">
        <v>393</v>
      </c>
      <c r="M1579" t="s">
        <v>5414</v>
      </c>
      <c r="N1579" t="s">
        <v>1370</v>
      </c>
      <c r="O1579" t="s">
        <v>1371</v>
      </c>
      <c r="Q1579" t="s">
        <v>6346</v>
      </c>
      <c r="R1579">
        <f>1</f>
        <v>1</v>
      </c>
      <c r="S1579">
        <f>10.7</f>
        <v>10.7</v>
      </c>
      <c r="T1579">
        <f>8.1</f>
        <v>8.1</v>
      </c>
      <c r="U1579">
        <f>257</f>
        <v>257</v>
      </c>
      <c r="V1579">
        <f>0.09</f>
        <v>0.09</v>
      </c>
      <c r="X1579">
        <f>0</f>
        <v>0</v>
      </c>
      <c r="Y1579">
        <f>0.22</f>
        <v>0.22</v>
      </c>
      <c r="Z1579">
        <f>0</f>
        <v>0</v>
      </c>
      <c r="AA1579" t="s">
        <v>158</v>
      </c>
      <c r="AB1579" t="s">
        <v>158</v>
      </c>
      <c r="AD1579">
        <f>0</f>
        <v>0</v>
      </c>
      <c r="AE1579">
        <f>0</f>
        <v>0</v>
      </c>
      <c r="AH1579" t="s">
        <v>157</v>
      </c>
    </row>
    <row r="1580" spans="1:62" x14ac:dyDescent="0.25">
      <c r="A1580" t="s">
        <v>4100</v>
      </c>
      <c r="B1580" t="s">
        <v>148</v>
      </c>
      <c r="C1580" s="1">
        <v>45726</v>
      </c>
      <c r="D1580" t="s">
        <v>242</v>
      </c>
      <c r="E1580" t="s">
        <v>243</v>
      </c>
      <c r="F1580" t="s">
        <v>884</v>
      </c>
      <c r="G1580" t="s">
        <v>6579</v>
      </c>
      <c r="H1580">
        <v>1814</v>
      </c>
      <c r="I1580" t="s">
        <v>6820</v>
      </c>
      <c r="J1580">
        <v>473</v>
      </c>
      <c r="K1580" t="s">
        <v>5254</v>
      </c>
      <c r="L1580" t="s">
        <v>393</v>
      </c>
      <c r="M1580" t="s">
        <v>6218</v>
      </c>
      <c r="N1580" t="s">
        <v>6219</v>
      </c>
      <c r="O1580" t="s">
        <v>4101</v>
      </c>
      <c r="R1580">
        <f>1</f>
        <v>1</v>
      </c>
      <c r="S1580">
        <f>11.4</f>
        <v>11.4</v>
      </c>
      <c r="T1580">
        <f>8.3</f>
        <v>8.3000000000000007</v>
      </c>
      <c r="U1580">
        <f>276</f>
        <v>276</v>
      </c>
      <c r="V1580">
        <f>0.06</f>
        <v>0.06</v>
      </c>
      <c r="X1580">
        <f>0</f>
        <v>0</v>
      </c>
      <c r="Y1580" t="s">
        <v>157</v>
      </c>
      <c r="Z1580">
        <f>0</f>
        <v>0</v>
      </c>
      <c r="AA1580" t="s">
        <v>158</v>
      </c>
      <c r="AB1580" t="s">
        <v>158</v>
      </c>
      <c r="AD1580">
        <f>0</f>
        <v>0</v>
      </c>
      <c r="AE1580">
        <f>0</f>
        <v>0</v>
      </c>
      <c r="AH1580" t="s">
        <v>157</v>
      </c>
    </row>
    <row r="1581" spans="1:62" x14ac:dyDescent="0.25">
      <c r="A1581" t="s">
        <v>4102</v>
      </c>
      <c r="B1581" t="s">
        <v>148</v>
      </c>
      <c r="C1581" s="1">
        <v>45719</v>
      </c>
      <c r="D1581" t="s">
        <v>222</v>
      </c>
      <c r="E1581" t="s">
        <v>223</v>
      </c>
      <c r="F1581" t="s">
        <v>4723</v>
      </c>
      <c r="G1581" t="s">
        <v>6628</v>
      </c>
      <c r="H1581">
        <v>419</v>
      </c>
      <c r="I1581" t="s">
        <v>6628</v>
      </c>
      <c r="J1581">
        <v>369</v>
      </c>
      <c r="K1581" t="s">
        <v>5257</v>
      </c>
      <c r="L1581" t="s">
        <v>393</v>
      </c>
      <c r="M1581" t="s">
        <v>5423</v>
      </c>
      <c r="N1581" t="s">
        <v>5424</v>
      </c>
      <c r="O1581" t="s">
        <v>1443</v>
      </c>
      <c r="Q1581" t="s">
        <v>6297</v>
      </c>
      <c r="R1581">
        <f>1</f>
        <v>1</v>
      </c>
      <c r="S1581">
        <f>8.8</f>
        <v>8.8000000000000007</v>
      </c>
      <c r="T1581">
        <f>8.3</f>
        <v>8.3000000000000007</v>
      </c>
      <c r="U1581">
        <f>302</f>
        <v>302</v>
      </c>
      <c r="V1581">
        <f>0.09</f>
        <v>0.09</v>
      </c>
      <c r="X1581">
        <f>1</f>
        <v>1</v>
      </c>
      <c r="Y1581">
        <f>0.15</f>
        <v>0.15</v>
      </c>
      <c r="Z1581">
        <f>0</f>
        <v>0</v>
      </c>
      <c r="AA1581">
        <f>0</f>
        <v>0</v>
      </c>
      <c r="AB1581">
        <f>0</f>
        <v>0</v>
      </c>
      <c r="AC1581">
        <f>0</f>
        <v>0</v>
      </c>
      <c r="AD1581">
        <f>0</f>
        <v>0</v>
      </c>
      <c r="AE1581">
        <f>0</f>
        <v>0</v>
      </c>
      <c r="AH1581" t="s">
        <v>166</v>
      </c>
    </row>
    <row r="1582" spans="1:62" x14ac:dyDescent="0.25">
      <c r="A1582" t="s">
        <v>4103</v>
      </c>
      <c r="B1582" t="s">
        <v>268</v>
      </c>
      <c r="C1582" s="1">
        <v>45887</v>
      </c>
      <c r="D1582" t="s">
        <v>222</v>
      </c>
      <c r="E1582" t="s">
        <v>223</v>
      </c>
      <c r="F1582" t="s">
        <v>5426</v>
      </c>
      <c r="G1582" t="s">
        <v>1448</v>
      </c>
      <c r="H1582">
        <v>1284</v>
      </c>
      <c r="I1582" t="s">
        <v>1448</v>
      </c>
      <c r="J1582">
        <v>200</v>
      </c>
      <c r="K1582" t="s">
        <v>5257</v>
      </c>
      <c r="L1582" t="s">
        <v>4966</v>
      </c>
      <c r="M1582" t="s">
        <v>5384</v>
      </c>
      <c r="N1582" t="s">
        <v>1449</v>
      </c>
      <c r="O1582" t="s">
        <v>1450</v>
      </c>
      <c r="Q1582" t="s">
        <v>6483</v>
      </c>
      <c r="R1582">
        <f>1</f>
        <v>1</v>
      </c>
      <c r="S1582">
        <f>19.9</f>
        <v>19.899999999999999</v>
      </c>
      <c r="T1582">
        <f>7.7</f>
        <v>7.7</v>
      </c>
      <c r="U1582">
        <f>342</f>
        <v>342</v>
      </c>
      <c r="X1582">
        <f>1</f>
        <v>1</v>
      </c>
      <c r="Y1582">
        <f>0.26</f>
        <v>0.26</v>
      </c>
      <c r="Z1582">
        <f>0</f>
        <v>0</v>
      </c>
      <c r="AA1582">
        <f>7</f>
        <v>7</v>
      </c>
      <c r="AB1582">
        <f>10</f>
        <v>10</v>
      </c>
      <c r="AC1582">
        <f>0</f>
        <v>0</v>
      </c>
      <c r="AD1582">
        <f>69</f>
        <v>69</v>
      </c>
      <c r="AE1582">
        <f>33</f>
        <v>33</v>
      </c>
      <c r="AH1582" t="s">
        <v>166</v>
      </c>
    </row>
    <row r="1583" spans="1:62" x14ac:dyDescent="0.25">
      <c r="A1583" t="s">
        <v>4104</v>
      </c>
      <c r="B1583" t="s">
        <v>148</v>
      </c>
      <c r="C1583" s="1">
        <v>45888</v>
      </c>
      <c r="D1583" t="s">
        <v>175</v>
      </c>
      <c r="E1583" t="s">
        <v>176</v>
      </c>
      <c r="F1583" t="s">
        <v>177</v>
      </c>
      <c r="G1583" t="s">
        <v>1908</v>
      </c>
      <c r="H1583">
        <v>1353</v>
      </c>
      <c r="I1583" t="s">
        <v>1908</v>
      </c>
      <c r="J1583">
        <v>572</v>
      </c>
      <c r="K1583" t="s">
        <v>5254</v>
      </c>
      <c r="L1583" t="s">
        <v>4966</v>
      </c>
      <c r="M1583" t="s">
        <v>4105</v>
      </c>
      <c r="N1583" t="s">
        <v>4106</v>
      </c>
      <c r="Q1583" t="s">
        <v>5072</v>
      </c>
      <c r="R1583">
        <f>1</f>
        <v>1</v>
      </c>
      <c r="S1583">
        <f>22.3</f>
        <v>22.3</v>
      </c>
      <c r="T1583">
        <f>7.6</f>
        <v>7.6</v>
      </c>
      <c r="U1583">
        <f>452</f>
        <v>452</v>
      </c>
      <c r="X1583">
        <f>0</f>
        <v>0</v>
      </c>
      <c r="Y1583" t="s">
        <v>157</v>
      </c>
      <c r="Z1583">
        <f>0</f>
        <v>0</v>
      </c>
      <c r="AA1583" t="s">
        <v>158</v>
      </c>
      <c r="AB1583" t="s">
        <v>158</v>
      </c>
      <c r="AD1583">
        <f>0</f>
        <v>0</v>
      </c>
      <c r="AE1583">
        <f>0</f>
        <v>0</v>
      </c>
      <c r="AH1583" t="s">
        <v>157</v>
      </c>
    </row>
    <row r="1584" spans="1:62" x14ac:dyDescent="0.25">
      <c r="A1584" t="s">
        <v>4107</v>
      </c>
      <c r="B1584" t="s">
        <v>148</v>
      </c>
      <c r="C1584" s="1">
        <v>45847</v>
      </c>
      <c r="D1584" t="s">
        <v>222</v>
      </c>
      <c r="E1584" t="s">
        <v>223</v>
      </c>
      <c r="F1584" t="s">
        <v>429</v>
      </c>
      <c r="G1584" t="s">
        <v>4108</v>
      </c>
      <c r="H1584">
        <v>1357</v>
      </c>
      <c r="I1584" t="s">
        <v>4108</v>
      </c>
      <c r="J1584">
        <v>204</v>
      </c>
      <c r="K1584" t="s">
        <v>5254</v>
      </c>
      <c r="L1584" t="s">
        <v>431</v>
      </c>
      <c r="M1584" t="s">
        <v>6220</v>
      </c>
      <c r="N1584" t="s">
        <v>4109</v>
      </c>
      <c r="O1584" t="s">
        <v>4110</v>
      </c>
      <c r="Q1584" t="s">
        <v>6332</v>
      </c>
      <c r="R1584">
        <f>1</f>
        <v>1</v>
      </c>
      <c r="S1584">
        <f>23</f>
        <v>23</v>
      </c>
      <c r="T1584">
        <f>7.9</f>
        <v>7.9</v>
      </c>
      <c r="U1584">
        <f>330</f>
        <v>330</v>
      </c>
      <c r="X1584">
        <f>1</f>
        <v>1</v>
      </c>
      <c r="Y1584">
        <f>0</f>
        <v>0</v>
      </c>
      <c r="Z1584">
        <f>0</f>
        <v>0</v>
      </c>
      <c r="AA1584">
        <f>2</f>
        <v>2</v>
      </c>
      <c r="AB1584">
        <f>1</f>
        <v>1</v>
      </c>
      <c r="AD1584">
        <f>0</f>
        <v>0</v>
      </c>
      <c r="AE1584">
        <f>0</f>
        <v>0</v>
      </c>
      <c r="AH1584" t="s">
        <v>166</v>
      </c>
      <c r="BJ1584" t="s">
        <v>216</v>
      </c>
    </row>
    <row r="1585" spans="1:135" x14ac:dyDescent="0.25">
      <c r="A1585" t="s">
        <v>4111</v>
      </c>
      <c r="B1585" t="s">
        <v>148</v>
      </c>
      <c r="C1585" s="1">
        <v>45761</v>
      </c>
      <c r="D1585" t="s">
        <v>222</v>
      </c>
      <c r="E1585" t="s">
        <v>223</v>
      </c>
      <c r="F1585" t="s">
        <v>469</v>
      </c>
      <c r="G1585" t="s">
        <v>4112</v>
      </c>
      <c r="H1585">
        <v>1273</v>
      </c>
      <c r="I1585" t="s">
        <v>4112</v>
      </c>
      <c r="J1585">
        <v>355</v>
      </c>
      <c r="K1585" t="s">
        <v>5257</v>
      </c>
      <c r="L1585" t="s">
        <v>431</v>
      </c>
      <c r="M1585" t="s">
        <v>4113</v>
      </c>
      <c r="N1585" t="s">
        <v>4114</v>
      </c>
      <c r="O1585" t="s">
        <v>4115</v>
      </c>
      <c r="R1585">
        <f>1</f>
        <v>1</v>
      </c>
      <c r="S1585">
        <f>11.5</f>
        <v>11.5</v>
      </c>
      <c r="T1585">
        <f>8</f>
        <v>8</v>
      </c>
      <c r="U1585">
        <f>230</f>
        <v>230</v>
      </c>
      <c r="X1585">
        <f>1</f>
        <v>1</v>
      </c>
      <c r="Y1585">
        <f>0.11</f>
        <v>0.11</v>
      </c>
      <c r="Z1585">
        <f>0</f>
        <v>0</v>
      </c>
      <c r="AA1585">
        <f>0</f>
        <v>0</v>
      </c>
      <c r="AB1585">
        <f>2</f>
        <v>2</v>
      </c>
      <c r="AC1585">
        <f>0</f>
        <v>0</v>
      </c>
      <c r="AD1585">
        <f>0</f>
        <v>0</v>
      </c>
      <c r="AE1585">
        <f>0</f>
        <v>0</v>
      </c>
      <c r="AH1585" t="s">
        <v>166</v>
      </c>
    </row>
    <row r="1586" spans="1:135" x14ac:dyDescent="0.25">
      <c r="A1586" t="s">
        <v>4116</v>
      </c>
      <c r="B1586" t="s">
        <v>148</v>
      </c>
      <c r="C1586" s="1">
        <v>45874</v>
      </c>
      <c r="D1586" t="s">
        <v>222</v>
      </c>
      <c r="E1586" t="s">
        <v>223</v>
      </c>
      <c r="F1586" t="s">
        <v>4723</v>
      </c>
      <c r="G1586" t="s">
        <v>1473</v>
      </c>
      <c r="H1586">
        <v>1400</v>
      </c>
      <c r="I1586" t="s">
        <v>1473</v>
      </c>
      <c r="J1586">
        <v>279</v>
      </c>
      <c r="K1586" t="s">
        <v>5257</v>
      </c>
      <c r="L1586" t="s">
        <v>393</v>
      </c>
      <c r="M1586" t="s">
        <v>5141</v>
      </c>
      <c r="N1586" t="s">
        <v>1474</v>
      </c>
      <c r="O1586" t="s">
        <v>1475</v>
      </c>
      <c r="R1586">
        <f>1</f>
        <v>1</v>
      </c>
      <c r="S1586">
        <f>16.2</f>
        <v>16.2</v>
      </c>
      <c r="T1586">
        <f>7.9</f>
        <v>7.9</v>
      </c>
      <c r="U1586">
        <f>336</f>
        <v>336</v>
      </c>
      <c r="V1586">
        <f>0.06</f>
        <v>0.06</v>
      </c>
      <c r="X1586">
        <f>1</f>
        <v>1</v>
      </c>
      <c r="Y1586">
        <f>0.11</f>
        <v>0.11</v>
      </c>
      <c r="Z1586">
        <f>0</f>
        <v>0</v>
      </c>
      <c r="AA1586">
        <f>4</f>
        <v>4</v>
      </c>
      <c r="AB1586">
        <f>0</f>
        <v>0</v>
      </c>
      <c r="AC1586">
        <f>0</f>
        <v>0</v>
      </c>
      <c r="AD1586">
        <f>0</f>
        <v>0</v>
      </c>
      <c r="AE1586">
        <f>0</f>
        <v>0</v>
      </c>
      <c r="AH1586" t="s">
        <v>166</v>
      </c>
    </row>
    <row r="1587" spans="1:135" x14ac:dyDescent="0.25">
      <c r="A1587" t="s">
        <v>4117</v>
      </c>
      <c r="B1587" t="s">
        <v>148</v>
      </c>
      <c r="C1587" s="1">
        <v>45730</v>
      </c>
      <c r="D1587" t="s">
        <v>242</v>
      </c>
      <c r="E1587" t="s">
        <v>295</v>
      </c>
      <c r="F1587" t="s">
        <v>4118</v>
      </c>
      <c r="G1587" t="s">
        <v>4119</v>
      </c>
      <c r="H1587">
        <v>1164</v>
      </c>
      <c r="I1587" t="s">
        <v>4120</v>
      </c>
      <c r="J1587">
        <v>440</v>
      </c>
      <c r="K1587" t="s">
        <v>5257</v>
      </c>
      <c r="L1587" t="s">
        <v>393</v>
      </c>
      <c r="M1587" t="s">
        <v>4913</v>
      </c>
      <c r="N1587" t="s">
        <v>5721</v>
      </c>
      <c r="O1587" t="s">
        <v>4121</v>
      </c>
      <c r="R1587">
        <f>1</f>
        <v>1</v>
      </c>
      <c r="S1587">
        <f>8.6</f>
        <v>8.6</v>
      </c>
      <c r="T1587">
        <f>7.7</f>
        <v>7.7</v>
      </c>
      <c r="U1587">
        <f>338</f>
        <v>338</v>
      </c>
      <c r="V1587" t="s">
        <v>207</v>
      </c>
      <c r="X1587">
        <f>0</f>
        <v>0</v>
      </c>
      <c r="Y1587">
        <f>0.1</f>
        <v>0.1</v>
      </c>
      <c r="Z1587">
        <f>0</f>
        <v>0</v>
      </c>
      <c r="AA1587" t="s">
        <v>158</v>
      </c>
      <c r="AB1587" t="s">
        <v>158</v>
      </c>
      <c r="AC1587">
        <f>0</f>
        <v>0</v>
      </c>
      <c r="AD1587">
        <f>0</f>
        <v>0</v>
      </c>
      <c r="AE1587">
        <f>0</f>
        <v>0</v>
      </c>
      <c r="BI1587">
        <f>0.11</f>
        <v>0.11</v>
      </c>
    </row>
    <row r="1588" spans="1:135" x14ac:dyDescent="0.25">
      <c r="A1588" t="s">
        <v>4122</v>
      </c>
      <c r="B1588" t="s">
        <v>268</v>
      </c>
      <c r="C1588" s="1">
        <v>45722</v>
      </c>
      <c r="D1588" t="s">
        <v>242</v>
      </c>
      <c r="E1588" t="s">
        <v>295</v>
      </c>
      <c r="F1588" t="s">
        <v>764</v>
      </c>
      <c r="G1588" t="s">
        <v>6632</v>
      </c>
      <c r="H1588">
        <v>1419</v>
      </c>
      <c r="I1588" t="s">
        <v>6632</v>
      </c>
      <c r="J1588">
        <v>480</v>
      </c>
      <c r="K1588" t="s">
        <v>5257</v>
      </c>
      <c r="L1588" t="s">
        <v>393</v>
      </c>
      <c r="M1588" t="s">
        <v>1481</v>
      </c>
      <c r="N1588" t="s">
        <v>1482</v>
      </c>
      <c r="O1588" t="s">
        <v>1483</v>
      </c>
      <c r="R1588">
        <f>1</f>
        <v>1</v>
      </c>
      <c r="S1588">
        <f>12.2</f>
        <v>12.2</v>
      </c>
      <c r="T1588">
        <f>7.8</f>
        <v>7.8</v>
      </c>
      <c r="U1588">
        <f>461</f>
        <v>461</v>
      </c>
      <c r="X1588">
        <f>0</f>
        <v>0</v>
      </c>
      <c r="Y1588" t="s">
        <v>157</v>
      </c>
      <c r="Z1588">
        <f>0</f>
        <v>0</v>
      </c>
      <c r="AA1588" t="s">
        <v>158</v>
      </c>
      <c r="AB1588" t="s">
        <v>158</v>
      </c>
      <c r="AC1588">
        <f>0</f>
        <v>0</v>
      </c>
      <c r="AD1588">
        <f>0</f>
        <v>0</v>
      </c>
      <c r="AE1588">
        <f>2</f>
        <v>2</v>
      </c>
      <c r="AH1588" t="s">
        <v>157</v>
      </c>
    </row>
    <row r="1589" spans="1:135" x14ac:dyDescent="0.25">
      <c r="A1589" t="s">
        <v>4123</v>
      </c>
      <c r="B1589" t="s">
        <v>148</v>
      </c>
      <c r="C1589" s="1">
        <v>45862</v>
      </c>
      <c r="D1589" t="s">
        <v>222</v>
      </c>
      <c r="E1589" t="s">
        <v>223</v>
      </c>
      <c r="F1589" t="s">
        <v>469</v>
      </c>
      <c r="G1589" t="s">
        <v>1492</v>
      </c>
      <c r="H1589">
        <v>400</v>
      </c>
      <c r="I1589" t="s">
        <v>1492</v>
      </c>
      <c r="J1589">
        <v>179</v>
      </c>
      <c r="K1589" t="s">
        <v>5257</v>
      </c>
      <c r="L1589" t="s">
        <v>431</v>
      </c>
      <c r="M1589" t="s">
        <v>5428</v>
      </c>
      <c r="N1589" t="s">
        <v>4769</v>
      </c>
      <c r="O1589" t="s">
        <v>1493</v>
      </c>
      <c r="R1589">
        <f>1</f>
        <v>1</v>
      </c>
      <c r="S1589">
        <f>20.4</f>
        <v>20.399999999999999</v>
      </c>
      <c r="T1589">
        <f>8</f>
        <v>8</v>
      </c>
      <c r="U1589">
        <f>235</f>
        <v>235</v>
      </c>
      <c r="X1589">
        <f>1</f>
        <v>1</v>
      </c>
      <c r="Y1589">
        <f>0.15</f>
        <v>0.15</v>
      </c>
      <c r="Z1589">
        <f>0</f>
        <v>0</v>
      </c>
      <c r="AA1589">
        <f>0</f>
        <v>0</v>
      </c>
      <c r="AB1589">
        <f>0</f>
        <v>0</v>
      </c>
      <c r="AC1589">
        <f>0</f>
        <v>0</v>
      </c>
      <c r="AD1589">
        <f>0</f>
        <v>0</v>
      </c>
      <c r="AE1589">
        <f>0</f>
        <v>0</v>
      </c>
      <c r="AH1589" t="s">
        <v>166</v>
      </c>
    </row>
    <row r="1590" spans="1:135" x14ac:dyDescent="0.25">
      <c r="A1590" t="s">
        <v>4124</v>
      </c>
      <c r="B1590" t="s">
        <v>148</v>
      </c>
      <c r="C1590" s="1">
        <v>45894</v>
      </c>
      <c r="D1590" t="s">
        <v>317</v>
      </c>
      <c r="E1590" t="s">
        <v>318</v>
      </c>
      <c r="F1590" t="s">
        <v>1499</v>
      </c>
      <c r="G1590" t="s">
        <v>1500</v>
      </c>
      <c r="H1590">
        <v>1479</v>
      </c>
      <c r="I1590" t="s">
        <v>1501</v>
      </c>
      <c r="J1590">
        <v>426</v>
      </c>
      <c r="K1590" t="s">
        <v>5254</v>
      </c>
      <c r="M1590" t="s">
        <v>1502</v>
      </c>
      <c r="N1590" t="s">
        <v>1503</v>
      </c>
      <c r="O1590" t="s">
        <v>1504</v>
      </c>
      <c r="Q1590" t="s">
        <v>329</v>
      </c>
      <c r="R1590">
        <f>1</f>
        <v>1</v>
      </c>
      <c r="S1590">
        <f>16.9</f>
        <v>16.899999999999999</v>
      </c>
      <c r="T1590">
        <f>7.9</f>
        <v>7.9</v>
      </c>
      <c r="U1590">
        <f>252</f>
        <v>252</v>
      </c>
      <c r="X1590">
        <f>0</f>
        <v>0</v>
      </c>
      <c r="Y1590" t="s">
        <v>157</v>
      </c>
      <c r="Z1590">
        <f>0</f>
        <v>0</v>
      </c>
      <c r="AA1590">
        <f>0</f>
        <v>0</v>
      </c>
      <c r="AB1590">
        <f>0</f>
        <v>0</v>
      </c>
      <c r="AD1590">
        <f>0</f>
        <v>0</v>
      </c>
      <c r="AE1590">
        <f>0</f>
        <v>0</v>
      </c>
      <c r="AH1590" t="s">
        <v>157</v>
      </c>
      <c r="AI1590" t="s">
        <v>167</v>
      </c>
      <c r="AL1590" t="s">
        <v>168</v>
      </c>
      <c r="AM1590" t="s">
        <v>216</v>
      </c>
      <c r="AN1590">
        <f>2.2</f>
        <v>2.2000000000000002</v>
      </c>
      <c r="AO1590">
        <f>0.044</f>
        <v>4.3999999999999997E-2</v>
      </c>
      <c r="AP1590">
        <f>1.8</f>
        <v>1.8</v>
      </c>
      <c r="AQ1590" t="s">
        <v>167</v>
      </c>
      <c r="AR1590" t="s">
        <v>167</v>
      </c>
      <c r="AS1590">
        <f>0.5</f>
        <v>0.5</v>
      </c>
      <c r="AY1590" t="s">
        <v>158</v>
      </c>
      <c r="AZ1590" t="s">
        <v>158</v>
      </c>
      <c r="BA1590" t="s">
        <v>216</v>
      </c>
      <c r="BB1590" t="s">
        <v>158</v>
      </c>
      <c r="BC1590" t="s">
        <v>167</v>
      </c>
      <c r="BD1590" t="s">
        <v>167</v>
      </c>
      <c r="BE1590" t="s">
        <v>216</v>
      </c>
      <c r="BF1590" t="s">
        <v>167</v>
      </c>
      <c r="BG1590" t="s">
        <v>158</v>
      </c>
      <c r="BH1590" t="s">
        <v>167</v>
      </c>
      <c r="BI1590" t="s">
        <v>167</v>
      </c>
      <c r="BK1590" t="s">
        <v>158</v>
      </c>
    </row>
    <row r="1591" spans="1:135" x14ac:dyDescent="0.25">
      <c r="A1591" t="s">
        <v>4125</v>
      </c>
      <c r="B1591" t="s">
        <v>268</v>
      </c>
      <c r="C1591" s="1">
        <v>45889</v>
      </c>
      <c r="D1591" t="s">
        <v>149</v>
      </c>
      <c r="E1591" t="s">
        <v>150</v>
      </c>
      <c r="F1591" t="s">
        <v>151</v>
      </c>
      <c r="G1591" t="s">
        <v>6639</v>
      </c>
      <c r="H1591">
        <v>1442</v>
      </c>
      <c r="I1591" t="s">
        <v>6640</v>
      </c>
      <c r="J1591">
        <v>437</v>
      </c>
      <c r="K1591" t="s">
        <v>5254</v>
      </c>
      <c r="L1591" t="s">
        <v>180</v>
      </c>
      <c r="M1591" t="s">
        <v>1537</v>
      </c>
      <c r="N1591" t="s">
        <v>6641</v>
      </c>
      <c r="O1591" t="s">
        <v>1538</v>
      </c>
      <c r="R1591">
        <f>1</f>
        <v>1</v>
      </c>
      <c r="S1591">
        <f>20</f>
        <v>20</v>
      </c>
      <c r="T1591">
        <f>7</f>
        <v>7</v>
      </c>
      <c r="U1591">
        <f>148</f>
        <v>148</v>
      </c>
      <c r="X1591">
        <f>0</f>
        <v>0</v>
      </c>
      <c r="Y1591">
        <f>0.1</f>
        <v>0.1</v>
      </c>
      <c r="Z1591">
        <f>0</f>
        <v>0</v>
      </c>
      <c r="AA1591" t="s">
        <v>158</v>
      </c>
      <c r="AB1591" t="s">
        <v>158</v>
      </c>
      <c r="AD1591">
        <f>0</f>
        <v>0</v>
      </c>
      <c r="AE1591">
        <f>0</f>
        <v>0</v>
      </c>
      <c r="AH1591" t="s">
        <v>157</v>
      </c>
      <c r="AI1591" t="s">
        <v>238</v>
      </c>
      <c r="AL1591" t="s">
        <v>164</v>
      </c>
      <c r="AM1591" t="s">
        <v>165</v>
      </c>
      <c r="AN1591">
        <f>4.4</f>
        <v>4.4000000000000004</v>
      </c>
      <c r="AO1591">
        <f>0.09</f>
        <v>0.09</v>
      </c>
      <c r="AP1591">
        <f>2.8</f>
        <v>2.8</v>
      </c>
      <c r="AQ1591">
        <f>5.5</f>
        <v>5.5</v>
      </c>
      <c r="AR1591" t="s">
        <v>157</v>
      </c>
      <c r="BL1591" t="s">
        <v>168</v>
      </c>
      <c r="BM1591" t="s">
        <v>168</v>
      </c>
      <c r="BN1591" t="s">
        <v>168</v>
      </c>
      <c r="BO1591" t="s">
        <v>168</v>
      </c>
      <c r="BP1591" t="s">
        <v>168</v>
      </c>
      <c r="BQ1591" t="s">
        <v>168</v>
      </c>
      <c r="BR1591" t="s">
        <v>168</v>
      </c>
      <c r="BS1591" t="s">
        <v>168</v>
      </c>
      <c r="BT1591" t="s">
        <v>216</v>
      </c>
      <c r="BU1591" t="s">
        <v>168</v>
      </c>
      <c r="BV1591" t="s">
        <v>209</v>
      </c>
      <c r="BW1591" t="s">
        <v>209</v>
      </c>
      <c r="BX1591" t="s">
        <v>209</v>
      </c>
      <c r="BY1591" t="s">
        <v>209</v>
      </c>
      <c r="BZ1591" t="s">
        <v>216</v>
      </c>
      <c r="CA1591" t="s">
        <v>216</v>
      </c>
      <c r="CB1591" t="s">
        <v>168</v>
      </c>
      <c r="CC1591" t="s">
        <v>168</v>
      </c>
      <c r="CD1591" t="s">
        <v>216</v>
      </c>
      <c r="CE1591" t="s">
        <v>209</v>
      </c>
      <c r="CF1591">
        <f>0.22</f>
        <v>0.22</v>
      </c>
      <c r="CG1591" t="s">
        <v>168</v>
      </c>
      <c r="CH1591" t="s">
        <v>165</v>
      </c>
      <c r="CI1591" t="s">
        <v>216</v>
      </c>
      <c r="CJ1591" t="s">
        <v>216</v>
      </c>
      <c r="CK1591" t="s">
        <v>216</v>
      </c>
      <c r="CL1591" t="s">
        <v>216</v>
      </c>
      <c r="CM1591" t="s">
        <v>216</v>
      </c>
      <c r="CN1591" t="s">
        <v>216</v>
      </c>
      <c r="CO1591" t="s">
        <v>216</v>
      </c>
      <c r="CP1591" t="s">
        <v>216</v>
      </c>
      <c r="CQ1591" t="s">
        <v>216</v>
      </c>
      <c r="CR1591" t="s">
        <v>216</v>
      </c>
      <c r="CS1591" t="s">
        <v>216</v>
      </c>
      <c r="CT1591" t="s">
        <v>216</v>
      </c>
      <c r="CU1591" t="s">
        <v>216</v>
      </c>
      <c r="CV1591" t="s">
        <v>216</v>
      </c>
      <c r="CW1591" t="s">
        <v>216</v>
      </c>
      <c r="CX1591" t="s">
        <v>216</v>
      </c>
      <c r="CY1591" t="s">
        <v>216</v>
      </c>
      <c r="CZ1591" t="s">
        <v>216</v>
      </c>
      <c r="DA1591" t="s">
        <v>168</v>
      </c>
      <c r="DB1591" t="s">
        <v>216</v>
      </c>
      <c r="DC1591" t="s">
        <v>216</v>
      </c>
      <c r="DD1591" t="s">
        <v>216</v>
      </c>
      <c r="DE1591" t="s">
        <v>168</v>
      </c>
      <c r="DF1591" t="s">
        <v>168</v>
      </c>
      <c r="DG1591" t="s">
        <v>216</v>
      </c>
      <c r="DH1591" t="s">
        <v>216</v>
      </c>
      <c r="DI1591" t="s">
        <v>216</v>
      </c>
      <c r="DJ1591" t="s">
        <v>216</v>
      </c>
      <c r="DK1591" t="s">
        <v>168</v>
      </c>
      <c r="DL1591" t="s">
        <v>216</v>
      </c>
      <c r="DM1591" t="s">
        <v>216</v>
      </c>
      <c r="DN1591" t="s">
        <v>216</v>
      </c>
      <c r="DO1591" t="s">
        <v>216</v>
      </c>
      <c r="DP1591" t="s">
        <v>168</v>
      </c>
      <c r="DQ1591" t="s">
        <v>216</v>
      </c>
      <c r="DR1591" t="s">
        <v>168</v>
      </c>
      <c r="DS1591" t="s">
        <v>168</v>
      </c>
      <c r="DT1591" t="s">
        <v>168</v>
      </c>
      <c r="DU1591" t="s">
        <v>168</v>
      </c>
      <c r="DV1591" t="s">
        <v>168</v>
      </c>
      <c r="DW1591" t="s">
        <v>168</v>
      </c>
      <c r="DX1591" t="s">
        <v>168</v>
      </c>
      <c r="DY1591" t="s">
        <v>168</v>
      </c>
      <c r="DZ1591" t="s">
        <v>209</v>
      </c>
      <c r="EA1591" t="s">
        <v>216</v>
      </c>
      <c r="EB1591" t="s">
        <v>168</v>
      </c>
      <c r="EC1591" t="s">
        <v>168</v>
      </c>
      <c r="ED1591" t="s">
        <v>209</v>
      </c>
      <c r="EE1591" t="s">
        <v>168</v>
      </c>
    </row>
    <row r="1592" spans="1:135" x14ac:dyDescent="0.25">
      <c r="A1592" t="s">
        <v>4126</v>
      </c>
      <c r="B1592" t="s">
        <v>148</v>
      </c>
      <c r="C1592" s="1">
        <v>45756</v>
      </c>
      <c r="D1592" t="s">
        <v>222</v>
      </c>
      <c r="E1592" t="s">
        <v>223</v>
      </c>
      <c r="F1592" t="s">
        <v>469</v>
      </c>
      <c r="G1592" t="s">
        <v>1540</v>
      </c>
      <c r="H1592">
        <v>424</v>
      </c>
      <c r="I1592" t="s">
        <v>1540</v>
      </c>
      <c r="J1592">
        <v>306</v>
      </c>
      <c r="K1592" t="s">
        <v>5257</v>
      </c>
      <c r="L1592" t="s">
        <v>431</v>
      </c>
      <c r="M1592" t="s">
        <v>5431</v>
      </c>
      <c r="N1592" t="s">
        <v>1541</v>
      </c>
      <c r="O1592" t="s">
        <v>1542</v>
      </c>
      <c r="Q1592" t="s">
        <v>6505</v>
      </c>
      <c r="R1592">
        <f>1</f>
        <v>1</v>
      </c>
      <c r="S1592">
        <f>12.5</f>
        <v>12.5</v>
      </c>
      <c r="T1592">
        <f>8.2</f>
        <v>8.1999999999999993</v>
      </c>
      <c r="U1592">
        <f>315</f>
        <v>315</v>
      </c>
      <c r="X1592">
        <f>1</f>
        <v>1</v>
      </c>
      <c r="Y1592">
        <f>0.15</f>
        <v>0.15</v>
      </c>
      <c r="Z1592">
        <f>0</f>
        <v>0</v>
      </c>
      <c r="AA1592">
        <f>0</f>
        <v>0</v>
      </c>
      <c r="AB1592">
        <f>4</f>
        <v>4</v>
      </c>
      <c r="AC1592">
        <f>0</f>
        <v>0</v>
      </c>
      <c r="AD1592">
        <f>0</f>
        <v>0</v>
      </c>
      <c r="AE1592">
        <f>0</f>
        <v>0</v>
      </c>
      <c r="AH1592" t="s">
        <v>166</v>
      </c>
    </row>
    <row r="1593" spans="1:135" x14ac:dyDescent="0.25">
      <c r="A1593" t="s">
        <v>4127</v>
      </c>
      <c r="B1593" t="s">
        <v>148</v>
      </c>
      <c r="C1593" s="1">
        <v>45889</v>
      </c>
      <c r="D1593" t="s">
        <v>222</v>
      </c>
      <c r="E1593" t="s">
        <v>223</v>
      </c>
      <c r="F1593" t="s">
        <v>469</v>
      </c>
      <c r="G1593" t="s">
        <v>4128</v>
      </c>
      <c r="H1593">
        <v>259</v>
      </c>
      <c r="I1593" t="s">
        <v>4128</v>
      </c>
      <c r="J1593">
        <v>177</v>
      </c>
      <c r="K1593" t="s">
        <v>5257</v>
      </c>
      <c r="L1593" t="s">
        <v>431</v>
      </c>
      <c r="M1593" t="s">
        <v>4129</v>
      </c>
      <c r="N1593" t="s">
        <v>4130</v>
      </c>
      <c r="O1593" t="s">
        <v>4131</v>
      </c>
      <c r="R1593">
        <f>1</f>
        <v>1</v>
      </c>
      <c r="S1593">
        <f>21.1</f>
        <v>21.1</v>
      </c>
      <c r="T1593">
        <f>8.1</f>
        <v>8.1</v>
      </c>
      <c r="U1593">
        <f>213</f>
        <v>213</v>
      </c>
      <c r="V1593" t="s">
        <v>209</v>
      </c>
      <c r="X1593">
        <f>1</f>
        <v>1</v>
      </c>
      <c r="Y1593">
        <f>0.17</f>
        <v>0.17</v>
      </c>
      <c r="Z1593">
        <f>0</f>
        <v>0</v>
      </c>
      <c r="AA1593">
        <f>0</f>
        <v>0</v>
      </c>
      <c r="AB1593">
        <f>0</f>
        <v>0</v>
      </c>
      <c r="AC1593">
        <f>0</f>
        <v>0</v>
      </c>
      <c r="AD1593">
        <f>0</f>
        <v>0</v>
      </c>
      <c r="AE1593">
        <f>0</f>
        <v>0</v>
      </c>
      <c r="AH1593" t="s">
        <v>166</v>
      </c>
    </row>
    <row r="1594" spans="1:135" x14ac:dyDescent="0.25">
      <c r="A1594" t="s">
        <v>4132</v>
      </c>
      <c r="B1594" t="s">
        <v>148</v>
      </c>
      <c r="C1594" s="1">
        <v>45888</v>
      </c>
      <c r="D1594" t="s">
        <v>222</v>
      </c>
      <c r="E1594" t="s">
        <v>223</v>
      </c>
      <c r="F1594" t="s">
        <v>469</v>
      </c>
      <c r="G1594" t="s">
        <v>5146</v>
      </c>
      <c r="H1594">
        <v>257</v>
      </c>
      <c r="I1594" t="s">
        <v>5146</v>
      </c>
      <c r="J1594">
        <v>213</v>
      </c>
      <c r="K1594" t="s">
        <v>5257</v>
      </c>
      <c r="L1594" t="s">
        <v>431</v>
      </c>
      <c r="M1594" t="s">
        <v>5432</v>
      </c>
      <c r="N1594" t="s">
        <v>4989</v>
      </c>
      <c r="O1594" t="s">
        <v>1544</v>
      </c>
      <c r="R1594">
        <f>1</f>
        <v>1</v>
      </c>
      <c r="S1594">
        <f>22.7</f>
        <v>22.7</v>
      </c>
      <c r="T1594">
        <f>8.1</f>
        <v>8.1</v>
      </c>
      <c r="U1594">
        <f>288</f>
        <v>288</v>
      </c>
      <c r="X1594">
        <f>1</f>
        <v>1</v>
      </c>
      <c r="Y1594">
        <f>0.21</f>
        <v>0.21</v>
      </c>
      <c r="Z1594">
        <f>0</f>
        <v>0</v>
      </c>
      <c r="AA1594">
        <f>0</f>
        <v>0</v>
      </c>
      <c r="AB1594">
        <f>0</f>
        <v>0</v>
      </c>
      <c r="AC1594">
        <f>0</f>
        <v>0</v>
      </c>
      <c r="AD1594">
        <f>0</f>
        <v>0</v>
      </c>
      <c r="AE1594">
        <f>0</f>
        <v>0</v>
      </c>
      <c r="AH1594" t="s">
        <v>166</v>
      </c>
    </row>
    <row r="1595" spans="1:135" x14ac:dyDescent="0.25">
      <c r="A1595" t="s">
        <v>4133</v>
      </c>
      <c r="B1595" t="s">
        <v>148</v>
      </c>
      <c r="C1595" s="1">
        <v>45771</v>
      </c>
      <c r="D1595" t="s">
        <v>222</v>
      </c>
      <c r="E1595" t="s">
        <v>223</v>
      </c>
      <c r="F1595" t="s">
        <v>4745</v>
      </c>
      <c r="G1595" t="s">
        <v>6221</v>
      </c>
      <c r="H1595">
        <v>1286</v>
      </c>
      <c r="I1595" t="s">
        <v>6221</v>
      </c>
      <c r="J1595">
        <v>269</v>
      </c>
      <c r="K1595" t="s">
        <v>5257</v>
      </c>
      <c r="L1595" t="s">
        <v>431</v>
      </c>
      <c r="M1595" t="s">
        <v>6222</v>
      </c>
      <c r="N1595" t="s">
        <v>6223</v>
      </c>
      <c r="O1595" t="s">
        <v>4134</v>
      </c>
      <c r="Q1595" t="s">
        <v>6297</v>
      </c>
      <c r="R1595">
        <f>1</f>
        <v>1</v>
      </c>
      <c r="S1595">
        <f>11.3</f>
        <v>11.3</v>
      </c>
      <c r="T1595">
        <f>7.6</f>
        <v>7.6</v>
      </c>
      <c r="U1595">
        <f>137</f>
        <v>137</v>
      </c>
      <c r="V1595">
        <f>0.25</f>
        <v>0.25</v>
      </c>
      <c r="X1595">
        <f>1</f>
        <v>1</v>
      </c>
      <c r="Y1595">
        <f>0.21</f>
        <v>0.21</v>
      </c>
      <c r="Z1595">
        <f>0</f>
        <v>0</v>
      </c>
      <c r="AA1595">
        <f>5</f>
        <v>5</v>
      </c>
      <c r="AB1595">
        <f>0</f>
        <v>0</v>
      </c>
      <c r="AC1595">
        <f>0</f>
        <v>0</v>
      </c>
      <c r="AD1595">
        <f>0</f>
        <v>0</v>
      </c>
      <c r="AE1595">
        <f>0</f>
        <v>0</v>
      </c>
      <c r="AH1595" t="s">
        <v>166</v>
      </c>
    </row>
    <row r="1596" spans="1:135" x14ac:dyDescent="0.25">
      <c r="A1596" t="s">
        <v>4135</v>
      </c>
      <c r="B1596" t="s">
        <v>148</v>
      </c>
      <c r="C1596" s="1">
        <v>45880</v>
      </c>
      <c r="D1596" t="s">
        <v>311</v>
      </c>
      <c r="E1596" t="s">
        <v>312</v>
      </c>
      <c r="F1596" t="s">
        <v>5147</v>
      </c>
      <c r="G1596" t="s">
        <v>1589</v>
      </c>
      <c r="H1596">
        <v>1198</v>
      </c>
      <c r="I1596" t="s">
        <v>1589</v>
      </c>
      <c r="J1596">
        <v>481</v>
      </c>
      <c r="K1596" t="s">
        <v>5254</v>
      </c>
      <c r="L1596" t="s">
        <v>180</v>
      </c>
      <c r="M1596" t="s">
        <v>6821</v>
      </c>
      <c r="N1596" t="s">
        <v>5239</v>
      </c>
      <c r="R1596">
        <f>1</f>
        <v>1</v>
      </c>
      <c r="S1596">
        <f>22.4</f>
        <v>22.4</v>
      </c>
      <c r="T1596">
        <f>6.7</f>
        <v>6.7</v>
      </c>
      <c r="U1596">
        <f>148</f>
        <v>148</v>
      </c>
      <c r="X1596">
        <f>0</f>
        <v>0</v>
      </c>
      <c r="Y1596" t="s">
        <v>157</v>
      </c>
      <c r="Z1596">
        <f>0</f>
        <v>0</v>
      </c>
      <c r="AA1596" t="s">
        <v>158</v>
      </c>
      <c r="AB1596" t="s">
        <v>158</v>
      </c>
      <c r="AD1596">
        <f>0</f>
        <v>0</v>
      </c>
      <c r="AE1596">
        <f>0</f>
        <v>0</v>
      </c>
      <c r="AH1596" t="s">
        <v>157</v>
      </c>
      <c r="AI1596" t="s">
        <v>238</v>
      </c>
      <c r="AL1596" t="s">
        <v>164</v>
      </c>
      <c r="AM1596" t="s">
        <v>165</v>
      </c>
      <c r="AN1596">
        <f>4.4</f>
        <v>4.4000000000000004</v>
      </c>
      <c r="AO1596">
        <f>0.09</f>
        <v>0.09</v>
      </c>
      <c r="AP1596">
        <f>5</f>
        <v>5</v>
      </c>
      <c r="AQ1596">
        <f>5.3</f>
        <v>5.3</v>
      </c>
      <c r="AR1596" t="s">
        <v>157</v>
      </c>
    </row>
    <row r="1597" spans="1:135" x14ac:dyDescent="0.25">
      <c r="A1597" t="s">
        <v>4136</v>
      </c>
      <c r="B1597" t="s">
        <v>148</v>
      </c>
      <c r="C1597" s="1">
        <v>45888</v>
      </c>
      <c r="D1597" t="s">
        <v>175</v>
      </c>
      <c r="E1597" t="s">
        <v>176</v>
      </c>
      <c r="F1597" t="s">
        <v>177</v>
      </c>
      <c r="G1597" t="s">
        <v>2087</v>
      </c>
      <c r="H1597">
        <v>1607</v>
      </c>
      <c r="I1597" t="s">
        <v>2087</v>
      </c>
      <c r="J1597">
        <v>574</v>
      </c>
      <c r="K1597" t="s">
        <v>5254</v>
      </c>
      <c r="L1597" t="s">
        <v>431</v>
      </c>
      <c r="M1597" t="s">
        <v>5502</v>
      </c>
      <c r="N1597" t="s">
        <v>2088</v>
      </c>
      <c r="O1597" t="s">
        <v>2089</v>
      </c>
      <c r="Q1597" t="s">
        <v>4137</v>
      </c>
      <c r="R1597">
        <f>1</f>
        <v>1</v>
      </c>
      <c r="S1597">
        <f>20.8</f>
        <v>20.8</v>
      </c>
      <c r="T1597">
        <f>7.6</f>
        <v>7.6</v>
      </c>
      <c r="U1597">
        <f>434</f>
        <v>434</v>
      </c>
      <c r="V1597">
        <f>0.08</f>
        <v>0.08</v>
      </c>
      <c r="X1597">
        <f>0</f>
        <v>0</v>
      </c>
      <c r="Y1597" t="s">
        <v>157</v>
      </c>
      <c r="Z1597">
        <f>0</f>
        <v>0</v>
      </c>
      <c r="AA1597" t="s">
        <v>158</v>
      </c>
      <c r="AB1597" t="s">
        <v>158</v>
      </c>
      <c r="AD1597">
        <f>0</f>
        <v>0</v>
      </c>
      <c r="AE1597">
        <f>0</f>
        <v>0</v>
      </c>
      <c r="AH1597" t="s">
        <v>157</v>
      </c>
    </row>
    <row r="1598" spans="1:135" x14ac:dyDescent="0.25">
      <c r="A1598" t="s">
        <v>4138</v>
      </c>
      <c r="B1598" t="s">
        <v>148</v>
      </c>
      <c r="C1598" s="1">
        <v>45894</v>
      </c>
      <c r="D1598" t="s">
        <v>317</v>
      </c>
      <c r="E1598" t="s">
        <v>318</v>
      </c>
      <c r="F1598" t="s">
        <v>6564</v>
      </c>
      <c r="G1598" t="s">
        <v>6642</v>
      </c>
      <c r="H1598">
        <v>1620</v>
      </c>
      <c r="I1598" t="s">
        <v>6643</v>
      </c>
      <c r="J1598">
        <v>410</v>
      </c>
      <c r="K1598" t="s">
        <v>5254</v>
      </c>
      <c r="L1598" t="s">
        <v>4966</v>
      </c>
      <c r="M1598" t="s">
        <v>6644</v>
      </c>
      <c r="N1598" t="s">
        <v>6645</v>
      </c>
      <c r="O1598" t="s">
        <v>1592</v>
      </c>
      <c r="Q1598" t="s">
        <v>6340</v>
      </c>
      <c r="R1598">
        <f>1</f>
        <v>1</v>
      </c>
      <c r="S1598">
        <f>17.6</f>
        <v>17.600000000000001</v>
      </c>
      <c r="T1598">
        <f>7.8</f>
        <v>7.8</v>
      </c>
      <c r="U1598">
        <f>243</f>
        <v>243</v>
      </c>
      <c r="X1598">
        <f>0</f>
        <v>0</v>
      </c>
      <c r="Y1598">
        <f>0.11</f>
        <v>0.11</v>
      </c>
      <c r="Z1598">
        <f>0</f>
        <v>0</v>
      </c>
      <c r="AA1598">
        <f>0</f>
        <v>0</v>
      </c>
      <c r="AB1598">
        <f>0</f>
        <v>0</v>
      </c>
      <c r="AD1598">
        <f>0</f>
        <v>0</v>
      </c>
      <c r="AE1598">
        <f>0</f>
        <v>0</v>
      </c>
      <c r="AH1598" t="s">
        <v>157</v>
      </c>
      <c r="AI1598" t="s">
        <v>167</v>
      </c>
      <c r="AL1598" t="s">
        <v>168</v>
      </c>
      <c r="AM1598" t="s">
        <v>216</v>
      </c>
      <c r="AN1598">
        <f>2.7</f>
        <v>2.7</v>
      </c>
      <c r="AO1598">
        <f>0.054</f>
        <v>5.3999999999999999E-2</v>
      </c>
      <c r="AP1598">
        <f>3.9</f>
        <v>3.9</v>
      </c>
      <c r="AQ1598" t="s">
        <v>167</v>
      </c>
      <c r="AR1598" t="s">
        <v>167</v>
      </c>
    </row>
    <row r="1599" spans="1:135" x14ac:dyDescent="0.25">
      <c r="A1599" t="s">
        <v>4139</v>
      </c>
      <c r="B1599" t="s">
        <v>148</v>
      </c>
      <c r="C1599" s="1">
        <v>45891</v>
      </c>
      <c r="D1599" t="s">
        <v>317</v>
      </c>
      <c r="E1599" t="s">
        <v>176</v>
      </c>
      <c r="F1599" t="s">
        <v>1627</v>
      </c>
      <c r="G1599" t="s">
        <v>1628</v>
      </c>
      <c r="H1599">
        <v>1663</v>
      </c>
      <c r="I1599" t="s">
        <v>1629</v>
      </c>
      <c r="J1599">
        <v>430</v>
      </c>
      <c r="K1599" t="s">
        <v>4778</v>
      </c>
      <c r="L1599" t="s">
        <v>4966</v>
      </c>
      <c r="M1599" t="s">
        <v>6652</v>
      </c>
      <c r="N1599" t="s">
        <v>1630</v>
      </c>
      <c r="O1599" t="s">
        <v>1631</v>
      </c>
      <c r="Q1599" t="s">
        <v>6339</v>
      </c>
      <c r="R1599">
        <f>1</f>
        <v>1</v>
      </c>
      <c r="S1599">
        <f>21.1</f>
        <v>21.1</v>
      </c>
      <c r="T1599">
        <f>8.1</f>
        <v>8.1</v>
      </c>
      <c r="U1599">
        <f>244</f>
        <v>244</v>
      </c>
      <c r="V1599" t="s">
        <v>209</v>
      </c>
      <c r="X1599">
        <f>0</f>
        <v>0</v>
      </c>
      <c r="Y1599">
        <f>0.57</f>
        <v>0.56999999999999995</v>
      </c>
      <c r="Z1599">
        <f>0</f>
        <v>0</v>
      </c>
      <c r="AA1599">
        <f>1</f>
        <v>1</v>
      </c>
      <c r="AB1599">
        <f>0</f>
        <v>0</v>
      </c>
      <c r="AC1599">
        <f>0</f>
        <v>0</v>
      </c>
      <c r="AD1599">
        <f>0</f>
        <v>0</v>
      </c>
      <c r="AE1599">
        <f>0</f>
        <v>0</v>
      </c>
      <c r="AH1599" t="s">
        <v>157</v>
      </c>
      <c r="AI1599" t="s">
        <v>167</v>
      </c>
      <c r="AL1599" t="s">
        <v>168</v>
      </c>
      <c r="AM1599" t="s">
        <v>216</v>
      </c>
      <c r="AN1599">
        <f>5</f>
        <v>5</v>
      </c>
      <c r="AO1599">
        <f>0.1</f>
        <v>0.1</v>
      </c>
      <c r="AP1599">
        <f>4.4</f>
        <v>4.4000000000000004</v>
      </c>
      <c r="AQ1599" t="s">
        <v>167</v>
      </c>
      <c r="AR1599" t="s">
        <v>167</v>
      </c>
    </row>
    <row r="1600" spans="1:135" x14ac:dyDescent="0.25">
      <c r="A1600" t="s">
        <v>4140</v>
      </c>
      <c r="B1600" t="s">
        <v>148</v>
      </c>
      <c r="C1600" s="1">
        <v>45719</v>
      </c>
      <c r="D1600" t="s">
        <v>317</v>
      </c>
      <c r="E1600" t="s">
        <v>176</v>
      </c>
      <c r="F1600" t="s">
        <v>4141</v>
      </c>
      <c r="G1600" t="s">
        <v>4142</v>
      </c>
      <c r="H1600">
        <v>1667</v>
      </c>
      <c r="I1600" t="s">
        <v>4143</v>
      </c>
      <c r="J1600">
        <v>470</v>
      </c>
      <c r="K1600" t="s">
        <v>4778</v>
      </c>
      <c r="L1600" t="s">
        <v>431</v>
      </c>
      <c r="M1600" t="s">
        <v>5722</v>
      </c>
      <c r="N1600" t="s">
        <v>4144</v>
      </c>
      <c r="O1600" t="s">
        <v>4145</v>
      </c>
      <c r="Q1600" t="s">
        <v>329</v>
      </c>
      <c r="R1600">
        <f>1</f>
        <v>1</v>
      </c>
      <c r="S1600">
        <f>6.4</f>
        <v>6.4</v>
      </c>
      <c r="T1600">
        <f>7.9</f>
        <v>7.9</v>
      </c>
      <c r="U1600">
        <f>232</f>
        <v>232</v>
      </c>
      <c r="V1600">
        <f>0.24</f>
        <v>0.24</v>
      </c>
      <c r="X1600">
        <f>0</f>
        <v>0</v>
      </c>
      <c r="Y1600" t="s">
        <v>157</v>
      </c>
      <c r="Z1600">
        <f>0</f>
        <v>0</v>
      </c>
      <c r="AA1600">
        <f>0</f>
        <v>0</v>
      </c>
      <c r="AB1600">
        <f>0</f>
        <v>0</v>
      </c>
      <c r="AC1600">
        <f>0</f>
        <v>0</v>
      </c>
      <c r="AD1600">
        <f>0</f>
        <v>0</v>
      </c>
      <c r="AE1600">
        <f>0</f>
        <v>0</v>
      </c>
      <c r="AH1600" t="s">
        <v>157</v>
      </c>
    </row>
    <row r="1601" spans="1:135" x14ac:dyDescent="0.25">
      <c r="A1601" t="s">
        <v>4146</v>
      </c>
      <c r="B1601" t="s">
        <v>148</v>
      </c>
      <c r="C1601" s="1">
        <v>45888</v>
      </c>
      <c r="D1601" t="s">
        <v>175</v>
      </c>
      <c r="E1601" t="s">
        <v>176</v>
      </c>
      <c r="F1601" t="s">
        <v>6615</v>
      </c>
      <c r="G1601" t="s">
        <v>5168</v>
      </c>
      <c r="H1601">
        <v>587</v>
      </c>
      <c r="I1601" t="s">
        <v>5168</v>
      </c>
      <c r="J1601">
        <v>703</v>
      </c>
      <c r="K1601" t="s">
        <v>5254</v>
      </c>
      <c r="L1601" t="s">
        <v>4947</v>
      </c>
      <c r="M1601" t="s">
        <v>6818</v>
      </c>
      <c r="N1601" t="s">
        <v>3769</v>
      </c>
      <c r="O1601" t="s">
        <v>3770</v>
      </c>
      <c r="Q1601" t="s">
        <v>4147</v>
      </c>
      <c r="R1601">
        <f>1</f>
        <v>1</v>
      </c>
      <c r="S1601">
        <f>20.9</f>
        <v>20.9</v>
      </c>
      <c r="T1601">
        <f>7.6</f>
        <v>7.6</v>
      </c>
      <c r="U1601">
        <f>462</f>
        <v>462</v>
      </c>
      <c r="X1601">
        <f>0</f>
        <v>0</v>
      </c>
      <c r="Y1601" t="s">
        <v>157</v>
      </c>
      <c r="Z1601">
        <f>0</f>
        <v>0</v>
      </c>
      <c r="AA1601" t="s">
        <v>158</v>
      </c>
      <c r="AB1601" t="s">
        <v>158</v>
      </c>
      <c r="AD1601">
        <f>0</f>
        <v>0</v>
      </c>
      <c r="AE1601">
        <f>0</f>
        <v>0</v>
      </c>
      <c r="AH1601" t="s">
        <v>157</v>
      </c>
    </row>
    <row r="1602" spans="1:135" x14ac:dyDescent="0.25">
      <c r="A1602" t="s">
        <v>4148</v>
      </c>
      <c r="B1602" t="s">
        <v>148</v>
      </c>
      <c r="C1602" s="1">
        <v>45832</v>
      </c>
      <c r="D1602" t="s">
        <v>222</v>
      </c>
      <c r="E1602" t="s">
        <v>223</v>
      </c>
      <c r="F1602" t="s">
        <v>469</v>
      </c>
      <c r="G1602" t="s">
        <v>4149</v>
      </c>
      <c r="H1602">
        <v>249</v>
      </c>
      <c r="I1602" t="s">
        <v>4149</v>
      </c>
      <c r="J1602">
        <v>315</v>
      </c>
      <c r="K1602" t="s">
        <v>5257</v>
      </c>
      <c r="L1602" t="s">
        <v>431</v>
      </c>
      <c r="M1602" t="s">
        <v>4150</v>
      </c>
      <c r="N1602" t="s">
        <v>4151</v>
      </c>
      <c r="O1602" t="s">
        <v>4152</v>
      </c>
      <c r="R1602">
        <f>1</f>
        <v>1</v>
      </c>
      <c r="S1602">
        <f>21.7</f>
        <v>21.7</v>
      </c>
      <c r="T1602">
        <f>8</f>
        <v>8</v>
      </c>
      <c r="U1602">
        <f>264</f>
        <v>264</v>
      </c>
      <c r="V1602">
        <f>0.05</f>
        <v>0.05</v>
      </c>
      <c r="X1602">
        <f>1</f>
        <v>1</v>
      </c>
      <c r="Y1602">
        <f>0.15</f>
        <v>0.15</v>
      </c>
      <c r="Z1602">
        <f>0</f>
        <v>0</v>
      </c>
      <c r="AA1602">
        <f>1</f>
        <v>1</v>
      </c>
      <c r="AB1602">
        <f>0</f>
        <v>0</v>
      </c>
      <c r="AC1602">
        <f>0</f>
        <v>0</v>
      </c>
      <c r="AD1602">
        <f>0</f>
        <v>0</v>
      </c>
      <c r="AE1602">
        <f>0</f>
        <v>0</v>
      </c>
      <c r="AH1602" t="s">
        <v>166</v>
      </c>
    </row>
    <row r="1603" spans="1:135" x14ac:dyDescent="0.25">
      <c r="A1603" t="s">
        <v>4153</v>
      </c>
      <c r="B1603" t="s">
        <v>268</v>
      </c>
      <c r="C1603" s="1">
        <v>45821</v>
      </c>
      <c r="D1603" t="s">
        <v>242</v>
      </c>
      <c r="E1603" t="s">
        <v>295</v>
      </c>
      <c r="F1603" t="s">
        <v>4944</v>
      </c>
      <c r="G1603" t="s">
        <v>1640</v>
      </c>
      <c r="H1603">
        <v>838</v>
      </c>
      <c r="I1603" t="s">
        <v>1640</v>
      </c>
      <c r="J1603">
        <v>544</v>
      </c>
      <c r="K1603" t="s">
        <v>5254</v>
      </c>
      <c r="L1603" t="s">
        <v>4724</v>
      </c>
      <c r="M1603" t="s">
        <v>1641</v>
      </c>
      <c r="N1603" t="s">
        <v>4779</v>
      </c>
      <c r="O1603" t="s">
        <v>1642</v>
      </c>
      <c r="R1603">
        <f>1</f>
        <v>1</v>
      </c>
      <c r="S1603">
        <f>18.1</f>
        <v>18.100000000000001</v>
      </c>
      <c r="T1603">
        <f>7.6</f>
        <v>7.6</v>
      </c>
      <c r="U1603">
        <f>533</f>
        <v>533</v>
      </c>
      <c r="X1603">
        <f>0</f>
        <v>0</v>
      </c>
      <c r="Y1603">
        <f>0.13</f>
        <v>0.13</v>
      </c>
      <c r="Z1603">
        <f>0</f>
        <v>0</v>
      </c>
      <c r="AA1603">
        <f>107</f>
        <v>107</v>
      </c>
      <c r="AB1603" t="s">
        <v>158</v>
      </c>
      <c r="AD1603">
        <f>0</f>
        <v>0</v>
      </c>
      <c r="AE1603">
        <f>0</f>
        <v>0</v>
      </c>
      <c r="AH1603" t="s">
        <v>166</v>
      </c>
      <c r="AI1603">
        <f>0.32</f>
        <v>0.32</v>
      </c>
      <c r="AL1603" t="s">
        <v>216</v>
      </c>
      <c r="AM1603" t="s">
        <v>266</v>
      </c>
      <c r="AN1603">
        <f>7.03</f>
        <v>7.03</v>
      </c>
      <c r="AO1603">
        <f>0.141</f>
        <v>0.14099999999999999</v>
      </c>
      <c r="AP1603">
        <f>12.1</f>
        <v>12.1</v>
      </c>
      <c r="AQ1603">
        <f>5.7</f>
        <v>5.7</v>
      </c>
      <c r="AR1603" t="s">
        <v>209</v>
      </c>
      <c r="AS1603">
        <f>3.8</f>
        <v>3.8</v>
      </c>
      <c r="AY1603">
        <f>0.12</f>
        <v>0.12</v>
      </c>
      <c r="AZ1603" t="s">
        <v>208</v>
      </c>
      <c r="BA1603">
        <f>0.0038</f>
        <v>3.8E-3</v>
      </c>
      <c r="BB1603">
        <f>1.8</f>
        <v>1.8</v>
      </c>
      <c r="BC1603" t="s">
        <v>209</v>
      </c>
      <c r="BD1603">
        <f>0.18</f>
        <v>0.18</v>
      </c>
      <c r="BE1603">
        <f>0.0032</f>
        <v>3.2000000000000002E-3</v>
      </c>
      <c r="BF1603" t="s">
        <v>168</v>
      </c>
      <c r="BG1603" t="s">
        <v>237</v>
      </c>
      <c r="BH1603">
        <f>0.2</f>
        <v>0.2</v>
      </c>
      <c r="BK1603">
        <f>0.54</f>
        <v>0.54</v>
      </c>
      <c r="BL1603" t="s">
        <v>3641</v>
      </c>
      <c r="BM1603" t="s">
        <v>209</v>
      </c>
      <c r="BN1603" t="s">
        <v>164</v>
      </c>
      <c r="BO1603" t="s">
        <v>164</v>
      </c>
      <c r="BP1603" t="s">
        <v>1921</v>
      </c>
      <c r="BQ1603" t="s">
        <v>164</v>
      </c>
      <c r="BR1603" t="s">
        <v>165</v>
      </c>
      <c r="BS1603" t="s">
        <v>209</v>
      </c>
      <c r="BT1603" t="s">
        <v>266</v>
      </c>
      <c r="BU1603" t="s">
        <v>1922</v>
      </c>
      <c r="BV1603" t="s">
        <v>207</v>
      </c>
      <c r="BW1603" t="s">
        <v>207</v>
      </c>
      <c r="BX1603" t="s">
        <v>207</v>
      </c>
      <c r="BY1603" t="s">
        <v>207</v>
      </c>
      <c r="BZ1603" t="s">
        <v>217</v>
      </c>
      <c r="CA1603" t="s">
        <v>266</v>
      </c>
      <c r="CB1603" t="s">
        <v>1923</v>
      </c>
      <c r="CC1603" t="s">
        <v>1924</v>
      </c>
      <c r="CD1603" t="s">
        <v>216</v>
      </c>
      <c r="CE1603" t="s">
        <v>207</v>
      </c>
      <c r="CF1603" t="s">
        <v>3642</v>
      </c>
      <c r="CG1603" t="s">
        <v>1925</v>
      </c>
      <c r="CH1603" t="s">
        <v>216</v>
      </c>
      <c r="CI1603">
        <f>0.023</f>
        <v>2.3E-2</v>
      </c>
      <c r="CJ1603" t="s">
        <v>216</v>
      </c>
      <c r="CK1603" t="s">
        <v>1924</v>
      </c>
      <c r="CL1603" t="s">
        <v>1926</v>
      </c>
      <c r="CM1603" t="s">
        <v>1924</v>
      </c>
      <c r="CN1603" t="s">
        <v>266</v>
      </c>
      <c r="CO1603" t="s">
        <v>266</v>
      </c>
      <c r="CP1603" t="s">
        <v>216</v>
      </c>
      <c r="CQ1603" t="s">
        <v>217</v>
      </c>
      <c r="CR1603">
        <f>0.059</f>
        <v>5.8999999999999997E-2</v>
      </c>
      <c r="CS1603" t="s">
        <v>1927</v>
      </c>
      <c r="CT1603" t="s">
        <v>1925</v>
      </c>
      <c r="CU1603" t="s">
        <v>1926</v>
      </c>
      <c r="CV1603" t="s">
        <v>266</v>
      </c>
      <c r="CW1603" t="s">
        <v>1928</v>
      </c>
      <c r="CX1603" t="s">
        <v>1924</v>
      </c>
      <c r="CY1603" t="s">
        <v>216</v>
      </c>
      <c r="CZ1603" t="s">
        <v>217</v>
      </c>
      <c r="DA1603" t="s">
        <v>1926</v>
      </c>
      <c r="DB1603" t="s">
        <v>1922</v>
      </c>
      <c r="DC1603" t="s">
        <v>1924</v>
      </c>
      <c r="DD1603" t="s">
        <v>1922</v>
      </c>
      <c r="DE1603" t="s">
        <v>216</v>
      </c>
      <c r="DF1603" t="s">
        <v>216</v>
      </c>
      <c r="DG1603" t="s">
        <v>1924</v>
      </c>
      <c r="DH1603" t="s">
        <v>1928</v>
      </c>
      <c r="DI1603" t="s">
        <v>1922</v>
      </c>
      <c r="DJ1603" t="s">
        <v>249</v>
      </c>
      <c r="DK1603" t="s">
        <v>1928</v>
      </c>
      <c r="DL1603" t="s">
        <v>1929</v>
      </c>
      <c r="DM1603" t="s">
        <v>1922</v>
      </c>
      <c r="DN1603" t="s">
        <v>165</v>
      </c>
      <c r="DO1603" t="s">
        <v>249</v>
      </c>
      <c r="DP1603" t="s">
        <v>165</v>
      </c>
      <c r="DQ1603" t="s">
        <v>1927</v>
      </c>
      <c r="DR1603" t="s">
        <v>1928</v>
      </c>
      <c r="DS1603" t="s">
        <v>1928</v>
      </c>
      <c r="DT1603" t="s">
        <v>249</v>
      </c>
      <c r="DU1603" t="s">
        <v>1922</v>
      </c>
      <c r="DV1603" t="s">
        <v>1930</v>
      </c>
      <c r="DW1603" t="s">
        <v>216</v>
      </c>
      <c r="DX1603" t="s">
        <v>216</v>
      </c>
      <c r="DY1603" t="s">
        <v>216</v>
      </c>
      <c r="DZ1603" t="s">
        <v>157</v>
      </c>
      <c r="EA1603" t="s">
        <v>1922</v>
      </c>
      <c r="EB1603" t="s">
        <v>1927</v>
      </c>
      <c r="EC1603" t="s">
        <v>207</v>
      </c>
      <c r="ED1603" t="s">
        <v>207</v>
      </c>
      <c r="EE1603" t="s">
        <v>1928</v>
      </c>
    </row>
    <row r="1604" spans="1:135" x14ac:dyDescent="0.25">
      <c r="A1604" t="s">
        <v>4154</v>
      </c>
      <c r="B1604" t="s">
        <v>268</v>
      </c>
      <c r="C1604" s="1">
        <v>45895</v>
      </c>
      <c r="D1604" t="s">
        <v>317</v>
      </c>
      <c r="E1604" t="s">
        <v>318</v>
      </c>
      <c r="F1604" t="s">
        <v>5981</v>
      </c>
      <c r="G1604" t="s">
        <v>1649</v>
      </c>
      <c r="H1604">
        <v>1084</v>
      </c>
      <c r="I1604" t="s">
        <v>1649</v>
      </c>
      <c r="J1604">
        <v>380</v>
      </c>
      <c r="K1604" t="s">
        <v>5254</v>
      </c>
      <c r="L1604" t="s">
        <v>180</v>
      </c>
      <c r="M1604" t="s">
        <v>5446</v>
      </c>
      <c r="N1604" t="s">
        <v>5982</v>
      </c>
      <c r="O1604" t="s">
        <v>1650</v>
      </c>
      <c r="Q1604" t="s">
        <v>6506</v>
      </c>
      <c r="R1604">
        <f>1</f>
        <v>1</v>
      </c>
      <c r="S1604">
        <f>14.9</f>
        <v>14.9</v>
      </c>
      <c r="T1604">
        <f>8</f>
        <v>8</v>
      </c>
      <c r="U1604">
        <f>267</f>
        <v>267</v>
      </c>
      <c r="X1604">
        <f>0</f>
        <v>0</v>
      </c>
      <c r="Y1604" t="s">
        <v>157</v>
      </c>
      <c r="Z1604">
        <f>0</f>
        <v>0</v>
      </c>
      <c r="AA1604">
        <f>5</f>
        <v>5</v>
      </c>
      <c r="AB1604">
        <f>1</f>
        <v>1</v>
      </c>
      <c r="AD1604">
        <f>0</f>
        <v>0</v>
      </c>
      <c r="AE1604">
        <f>13</f>
        <v>13</v>
      </c>
      <c r="AH1604" t="s">
        <v>157</v>
      </c>
      <c r="AI1604" t="s">
        <v>167</v>
      </c>
      <c r="AL1604" t="s">
        <v>168</v>
      </c>
      <c r="AM1604" t="s">
        <v>216</v>
      </c>
      <c r="AN1604">
        <f>5.8</f>
        <v>5.8</v>
      </c>
      <c r="AO1604">
        <f>0.145</f>
        <v>0.14499999999999999</v>
      </c>
      <c r="AP1604">
        <f>5</f>
        <v>5</v>
      </c>
      <c r="AQ1604" t="s">
        <v>167</v>
      </c>
      <c r="AR1604" t="s">
        <v>167</v>
      </c>
    </row>
    <row r="1605" spans="1:135" x14ac:dyDescent="0.25">
      <c r="A1605" t="s">
        <v>4155</v>
      </c>
      <c r="B1605" t="s">
        <v>148</v>
      </c>
      <c r="C1605" s="1">
        <v>45898</v>
      </c>
      <c r="D1605" t="s">
        <v>311</v>
      </c>
      <c r="E1605" t="s">
        <v>312</v>
      </c>
      <c r="F1605" t="s">
        <v>424</v>
      </c>
      <c r="G1605" t="s">
        <v>425</v>
      </c>
      <c r="H1605">
        <v>1800</v>
      </c>
      <c r="I1605" t="s">
        <v>6658</v>
      </c>
      <c r="J1605">
        <v>427</v>
      </c>
      <c r="K1605" t="s">
        <v>5257</v>
      </c>
      <c r="L1605" t="s">
        <v>1678</v>
      </c>
      <c r="M1605" t="s">
        <v>5988</v>
      </c>
      <c r="N1605" t="s">
        <v>4785</v>
      </c>
      <c r="O1605" t="s">
        <v>1679</v>
      </c>
      <c r="R1605">
        <f>1</f>
        <v>1</v>
      </c>
      <c r="S1605">
        <f>21.6</f>
        <v>21.6</v>
      </c>
      <c r="T1605">
        <f>7</f>
        <v>7</v>
      </c>
      <c r="U1605">
        <f>592</f>
        <v>592</v>
      </c>
      <c r="X1605">
        <f>0</f>
        <v>0</v>
      </c>
      <c r="Y1605" t="s">
        <v>157</v>
      </c>
      <c r="Z1605">
        <f>0</f>
        <v>0</v>
      </c>
      <c r="AA1605" t="s">
        <v>158</v>
      </c>
      <c r="AB1605" t="s">
        <v>158</v>
      </c>
      <c r="AD1605">
        <f>0</f>
        <v>0</v>
      </c>
      <c r="AE1605">
        <f>0</f>
        <v>0</v>
      </c>
      <c r="AH1605" t="s">
        <v>157</v>
      </c>
      <c r="AI1605">
        <f>0.9</f>
        <v>0.9</v>
      </c>
      <c r="AL1605" t="s">
        <v>164</v>
      </c>
      <c r="AM1605" t="s">
        <v>165</v>
      </c>
      <c r="AN1605">
        <f>27</f>
        <v>27</v>
      </c>
      <c r="AO1605">
        <f>0.54</f>
        <v>0.54</v>
      </c>
      <c r="AP1605">
        <f>16</f>
        <v>16</v>
      </c>
      <c r="AQ1605">
        <f>25</f>
        <v>25</v>
      </c>
      <c r="AR1605" t="s">
        <v>157</v>
      </c>
    </row>
    <row r="1606" spans="1:135" x14ac:dyDescent="0.25">
      <c r="A1606" t="s">
        <v>4156</v>
      </c>
      <c r="B1606" t="s">
        <v>268</v>
      </c>
      <c r="C1606" s="1">
        <v>45897</v>
      </c>
      <c r="D1606" t="s">
        <v>175</v>
      </c>
      <c r="E1606" t="s">
        <v>176</v>
      </c>
      <c r="F1606" t="s">
        <v>1681</v>
      </c>
      <c r="G1606" t="s">
        <v>1682</v>
      </c>
      <c r="H1606">
        <v>2</v>
      </c>
      <c r="I1606" t="s">
        <v>1682</v>
      </c>
      <c r="J1606">
        <v>450</v>
      </c>
      <c r="K1606" t="s">
        <v>5254</v>
      </c>
      <c r="L1606" t="s">
        <v>180</v>
      </c>
      <c r="M1606" t="s">
        <v>1683</v>
      </c>
      <c r="N1606" t="s">
        <v>1684</v>
      </c>
      <c r="O1606" t="s">
        <v>1685</v>
      </c>
      <c r="Q1606" t="s">
        <v>6507</v>
      </c>
      <c r="R1606">
        <f>1</f>
        <v>1</v>
      </c>
      <c r="S1606">
        <f>17.5</f>
        <v>17.5</v>
      </c>
      <c r="T1606">
        <f>7.5</f>
        <v>7.5</v>
      </c>
      <c r="U1606">
        <f>551</f>
        <v>551</v>
      </c>
      <c r="X1606">
        <f>0</f>
        <v>0</v>
      </c>
      <c r="Y1606" t="s">
        <v>157</v>
      </c>
      <c r="Z1606">
        <f>0</f>
        <v>0</v>
      </c>
      <c r="AA1606" t="s">
        <v>158</v>
      </c>
      <c r="AB1606" t="s">
        <v>158</v>
      </c>
      <c r="AD1606">
        <f>0</f>
        <v>0</v>
      </c>
      <c r="AE1606">
        <f>9</f>
        <v>9</v>
      </c>
      <c r="AH1606" t="s">
        <v>157</v>
      </c>
      <c r="AI1606">
        <f>1.1</f>
        <v>1.1000000000000001</v>
      </c>
      <c r="AL1606" t="s">
        <v>164</v>
      </c>
      <c r="AM1606" t="s">
        <v>165</v>
      </c>
      <c r="AN1606">
        <f>9.3</f>
        <v>9.3000000000000007</v>
      </c>
      <c r="AO1606">
        <f>0.19</f>
        <v>0.19</v>
      </c>
      <c r="AP1606">
        <f>5.9</f>
        <v>5.9</v>
      </c>
      <c r="AQ1606">
        <f>1.4</f>
        <v>1.4</v>
      </c>
      <c r="AR1606" t="s">
        <v>157</v>
      </c>
    </row>
    <row r="1607" spans="1:135" x14ac:dyDescent="0.25">
      <c r="A1607" t="s">
        <v>4157</v>
      </c>
      <c r="B1607" t="s">
        <v>268</v>
      </c>
      <c r="C1607" s="1">
        <v>45853</v>
      </c>
      <c r="D1607" t="s">
        <v>149</v>
      </c>
      <c r="E1607" t="s">
        <v>150</v>
      </c>
      <c r="F1607" t="s">
        <v>5770</v>
      </c>
      <c r="G1607" t="s">
        <v>170</v>
      </c>
      <c r="H1607">
        <v>1837</v>
      </c>
      <c r="I1607" t="s">
        <v>171</v>
      </c>
      <c r="J1607">
        <v>13800</v>
      </c>
      <c r="K1607" t="s">
        <v>5254</v>
      </c>
      <c r="M1607" t="s">
        <v>6808</v>
      </c>
      <c r="N1607" t="s">
        <v>6809</v>
      </c>
      <c r="O1607" t="s">
        <v>3250</v>
      </c>
      <c r="R1607">
        <f>1</f>
        <v>1</v>
      </c>
      <c r="S1607">
        <f>23.8</f>
        <v>23.8</v>
      </c>
      <c r="T1607">
        <f>7</f>
        <v>7</v>
      </c>
      <c r="U1607">
        <f>345</f>
        <v>345</v>
      </c>
      <c r="X1607">
        <f>0</f>
        <v>0</v>
      </c>
      <c r="Y1607">
        <f>0.1</f>
        <v>0.1</v>
      </c>
      <c r="Z1607">
        <f>0</f>
        <v>0</v>
      </c>
      <c r="AA1607" t="s">
        <v>158</v>
      </c>
      <c r="AB1607" t="s">
        <v>158</v>
      </c>
      <c r="AD1607">
        <f>0</f>
        <v>0</v>
      </c>
      <c r="AE1607">
        <f>0</f>
        <v>0</v>
      </c>
      <c r="AH1607" t="s">
        <v>157</v>
      </c>
      <c r="BL1607" t="s">
        <v>168</v>
      </c>
      <c r="BM1607" t="s">
        <v>168</v>
      </c>
      <c r="BN1607" t="s">
        <v>168</v>
      </c>
      <c r="BO1607" t="s">
        <v>168</v>
      </c>
      <c r="BP1607" t="s">
        <v>168</v>
      </c>
      <c r="BQ1607" t="s">
        <v>168</v>
      </c>
      <c r="BR1607" t="s">
        <v>168</v>
      </c>
      <c r="BS1607" t="s">
        <v>168</v>
      </c>
      <c r="BT1607" t="s">
        <v>216</v>
      </c>
      <c r="BU1607" t="s">
        <v>168</v>
      </c>
      <c r="BV1607" t="s">
        <v>209</v>
      </c>
      <c r="BW1607" t="s">
        <v>209</v>
      </c>
      <c r="BX1607" t="s">
        <v>209</v>
      </c>
      <c r="BY1607" t="s">
        <v>209</v>
      </c>
      <c r="BZ1607" t="s">
        <v>216</v>
      </c>
      <c r="CA1607" t="s">
        <v>216</v>
      </c>
      <c r="CB1607" t="s">
        <v>168</v>
      </c>
      <c r="CC1607" t="s">
        <v>168</v>
      </c>
      <c r="CD1607" t="s">
        <v>216</v>
      </c>
      <c r="CE1607" t="s">
        <v>209</v>
      </c>
      <c r="CF1607">
        <f>0.33</f>
        <v>0.33</v>
      </c>
      <c r="CG1607">
        <f>0.056</f>
        <v>5.6000000000000001E-2</v>
      </c>
      <c r="CH1607" t="s">
        <v>165</v>
      </c>
      <c r="CI1607" t="s">
        <v>216</v>
      </c>
      <c r="CJ1607" t="s">
        <v>216</v>
      </c>
      <c r="CK1607" t="s">
        <v>216</v>
      </c>
      <c r="CL1607" t="s">
        <v>216</v>
      </c>
      <c r="CM1607" t="s">
        <v>216</v>
      </c>
      <c r="CN1607" t="s">
        <v>216</v>
      </c>
      <c r="CO1607" t="s">
        <v>216</v>
      </c>
      <c r="CP1607" t="s">
        <v>216</v>
      </c>
      <c r="CQ1607" t="s">
        <v>216</v>
      </c>
      <c r="CR1607" t="s">
        <v>216</v>
      </c>
      <c r="CS1607" t="s">
        <v>216</v>
      </c>
      <c r="CT1607" t="s">
        <v>216</v>
      </c>
      <c r="CU1607" t="s">
        <v>216</v>
      </c>
      <c r="CV1607" t="s">
        <v>216</v>
      </c>
      <c r="CW1607" t="s">
        <v>216</v>
      </c>
      <c r="CX1607" t="s">
        <v>216</v>
      </c>
      <c r="CY1607" t="s">
        <v>216</v>
      </c>
      <c r="CZ1607" t="s">
        <v>216</v>
      </c>
      <c r="DA1607" t="s">
        <v>168</v>
      </c>
      <c r="DB1607" t="s">
        <v>216</v>
      </c>
      <c r="DC1607" t="s">
        <v>216</v>
      </c>
      <c r="DD1607" t="s">
        <v>216</v>
      </c>
      <c r="DE1607" t="s">
        <v>168</v>
      </c>
      <c r="DF1607" t="s">
        <v>168</v>
      </c>
      <c r="DG1607" t="s">
        <v>216</v>
      </c>
      <c r="DH1607" t="s">
        <v>216</v>
      </c>
      <c r="DI1607" t="s">
        <v>216</v>
      </c>
      <c r="DJ1607" t="s">
        <v>216</v>
      </c>
      <c r="DK1607" t="s">
        <v>168</v>
      </c>
      <c r="DL1607" t="s">
        <v>216</v>
      </c>
      <c r="DM1607" t="s">
        <v>216</v>
      </c>
      <c r="DN1607" t="s">
        <v>216</v>
      </c>
      <c r="DO1607" t="s">
        <v>216</v>
      </c>
      <c r="DP1607" t="s">
        <v>168</v>
      </c>
      <c r="DQ1607" t="s">
        <v>216</v>
      </c>
      <c r="DR1607" t="s">
        <v>168</v>
      </c>
      <c r="DS1607" t="s">
        <v>168</v>
      </c>
      <c r="DT1607" t="s">
        <v>168</v>
      </c>
      <c r="DU1607" t="s">
        <v>168</v>
      </c>
      <c r="DV1607" t="s">
        <v>168</v>
      </c>
      <c r="DW1607" t="s">
        <v>168</v>
      </c>
      <c r="DX1607" t="s">
        <v>168</v>
      </c>
      <c r="DY1607" t="s">
        <v>168</v>
      </c>
      <c r="DZ1607" t="s">
        <v>209</v>
      </c>
      <c r="EA1607" t="s">
        <v>216</v>
      </c>
      <c r="EB1607" t="s">
        <v>168</v>
      </c>
      <c r="ED1607" t="s">
        <v>209</v>
      </c>
      <c r="EE1607" t="s">
        <v>168</v>
      </c>
    </row>
    <row r="1608" spans="1:135" x14ac:dyDescent="0.25">
      <c r="A1608" t="s">
        <v>4158</v>
      </c>
      <c r="B1608" t="s">
        <v>268</v>
      </c>
      <c r="C1608" s="1">
        <v>45742</v>
      </c>
      <c r="D1608" t="s">
        <v>149</v>
      </c>
      <c r="E1608" t="s">
        <v>150</v>
      </c>
      <c r="F1608" t="s">
        <v>613</v>
      </c>
      <c r="G1608" t="s">
        <v>1689</v>
      </c>
      <c r="H1608">
        <v>323</v>
      </c>
      <c r="I1608" t="s">
        <v>1689</v>
      </c>
      <c r="J1608">
        <v>254</v>
      </c>
      <c r="K1608" t="s">
        <v>5254</v>
      </c>
      <c r="L1608" t="s">
        <v>431</v>
      </c>
      <c r="M1608" t="s">
        <v>1690</v>
      </c>
      <c r="N1608" t="s">
        <v>1691</v>
      </c>
      <c r="O1608" t="s">
        <v>1692</v>
      </c>
      <c r="R1608">
        <f>1</f>
        <v>1</v>
      </c>
      <c r="S1608">
        <f>11.5</f>
        <v>11.5</v>
      </c>
      <c r="T1608">
        <f>7</f>
        <v>7</v>
      </c>
      <c r="U1608">
        <f>343</f>
        <v>343</v>
      </c>
      <c r="X1608">
        <f>0</f>
        <v>0</v>
      </c>
      <c r="Y1608">
        <f>0.1</f>
        <v>0.1</v>
      </c>
      <c r="Z1608">
        <f>0</f>
        <v>0</v>
      </c>
      <c r="AA1608" t="s">
        <v>158</v>
      </c>
      <c r="AB1608" t="s">
        <v>158</v>
      </c>
      <c r="AD1608">
        <f>0</f>
        <v>0</v>
      </c>
      <c r="AE1608">
        <f>0</f>
        <v>0</v>
      </c>
      <c r="AH1608" t="s">
        <v>157</v>
      </c>
      <c r="BL1608" t="s">
        <v>168</v>
      </c>
      <c r="BM1608" t="s">
        <v>168</v>
      </c>
      <c r="BN1608" t="s">
        <v>168</v>
      </c>
      <c r="BO1608" t="s">
        <v>168</v>
      </c>
      <c r="BP1608" t="s">
        <v>168</v>
      </c>
      <c r="BQ1608" t="s">
        <v>168</v>
      </c>
      <c r="BR1608" t="s">
        <v>168</v>
      </c>
      <c r="BS1608" t="s">
        <v>168</v>
      </c>
      <c r="BU1608" t="s">
        <v>168</v>
      </c>
      <c r="BZ1608" t="s">
        <v>216</v>
      </c>
      <c r="CA1608" t="s">
        <v>216</v>
      </c>
      <c r="CB1608" t="s">
        <v>168</v>
      </c>
      <c r="CC1608" t="s">
        <v>168</v>
      </c>
      <c r="CD1608" t="s">
        <v>216</v>
      </c>
      <c r="CF1608">
        <f>1.6</f>
        <v>1.6</v>
      </c>
      <c r="CG1608">
        <f>0.047</f>
        <v>4.7E-2</v>
      </c>
      <c r="CI1608" t="s">
        <v>216</v>
      </c>
      <c r="CJ1608" t="s">
        <v>216</v>
      </c>
      <c r="CK1608" t="s">
        <v>216</v>
      </c>
      <c r="CL1608" t="s">
        <v>216</v>
      </c>
      <c r="CM1608" t="s">
        <v>216</v>
      </c>
      <c r="CN1608" t="s">
        <v>216</v>
      </c>
      <c r="CP1608" t="s">
        <v>216</v>
      </c>
      <c r="CQ1608" t="s">
        <v>216</v>
      </c>
      <c r="CR1608" t="s">
        <v>216</v>
      </c>
      <c r="CS1608" t="s">
        <v>216</v>
      </c>
      <c r="CT1608" t="s">
        <v>216</v>
      </c>
      <c r="CU1608" t="s">
        <v>216</v>
      </c>
      <c r="CV1608" t="s">
        <v>216</v>
      </c>
      <c r="CW1608" t="s">
        <v>216</v>
      </c>
      <c r="CX1608" t="s">
        <v>216</v>
      </c>
      <c r="CY1608" t="s">
        <v>216</v>
      </c>
      <c r="CZ1608" t="s">
        <v>216</v>
      </c>
      <c r="DA1608" t="s">
        <v>168</v>
      </c>
      <c r="DB1608" t="s">
        <v>216</v>
      </c>
      <c r="DC1608" t="s">
        <v>216</v>
      </c>
      <c r="DD1608" t="s">
        <v>216</v>
      </c>
      <c r="DE1608" t="s">
        <v>168</v>
      </c>
      <c r="DF1608" t="s">
        <v>168</v>
      </c>
      <c r="DG1608" t="s">
        <v>216</v>
      </c>
      <c r="DH1608" t="s">
        <v>216</v>
      </c>
      <c r="DI1608" t="s">
        <v>216</v>
      </c>
      <c r="DJ1608" t="s">
        <v>216</v>
      </c>
      <c r="DK1608" t="s">
        <v>168</v>
      </c>
      <c r="DL1608" t="s">
        <v>216</v>
      </c>
      <c r="DM1608" t="s">
        <v>216</v>
      </c>
      <c r="DN1608" t="s">
        <v>216</v>
      </c>
      <c r="DO1608" t="s">
        <v>216</v>
      </c>
      <c r="DP1608" t="s">
        <v>168</v>
      </c>
      <c r="DQ1608" t="s">
        <v>216</v>
      </c>
      <c r="DR1608" t="s">
        <v>168</v>
      </c>
      <c r="DS1608" t="s">
        <v>168</v>
      </c>
      <c r="DT1608" t="s">
        <v>168</v>
      </c>
      <c r="DU1608" t="s">
        <v>168</v>
      </c>
      <c r="DV1608" t="s">
        <v>168</v>
      </c>
      <c r="DW1608" t="s">
        <v>168</v>
      </c>
      <c r="DX1608" t="s">
        <v>168</v>
      </c>
      <c r="DY1608" t="s">
        <v>168</v>
      </c>
      <c r="DZ1608" t="s">
        <v>209</v>
      </c>
      <c r="EA1608" t="s">
        <v>216</v>
      </c>
      <c r="EB1608" t="s">
        <v>168</v>
      </c>
      <c r="EC1608" t="s">
        <v>168</v>
      </c>
      <c r="EE1608" t="s">
        <v>168</v>
      </c>
    </row>
    <row r="1609" spans="1:135" x14ac:dyDescent="0.25">
      <c r="A1609" t="s">
        <v>4159</v>
      </c>
      <c r="B1609" t="s">
        <v>268</v>
      </c>
      <c r="C1609" s="1">
        <v>45735</v>
      </c>
      <c r="D1609" t="s">
        <v>149</v>
      </c>
      <c r="E1609" t="s">
        <v>150</v>
      </c>
      <c r="F1609" t="s">
        <v>4914</v>
      </c>
      <c r="G1609" t="s">
        <v>4160</v>
      </c>
      <c r="H1609">
        <v>699</v>
      </c>
      <c r="I1609" t="s">
        <v>4160</v>
      </c>
      <c r="J1609">
        <v>279</v>
      </c>
      <c r="K1609" t="s">
        <v>5254</v>
      </c>
      <c r="L1609" t="s">
        <v>431</v>
      </c>
      <c r="M1609" t="s">
        <v>4161</v>
      </c>
      <c r="N1609" t="s">
        <v>4162</v>
      </c>
      <c r="O1609" t="s">
        <v>4163</v>
      </c>
      <c r="Q1609" t="s">
        <v>6508</v>
      </c>
      <c r="R1609">
        <f>1</f>
        <v>1</v>
      </c>
      <c r="S1609">
        <f>12</f>
        <v>12</v>
      </c>
      <c r="T1609">
        <f>6.5</f>
        <v>6.5</v>
      </c>
      <c r="U1609">
        <f>339</f>
        <v>339</v>
      </c>
      <c r="V1609" t="s">
        <v>157</v>
      </c>
      <c r="X1609">
        <f>0</f>
        <v>0</v>
      </c>
      <c r="Y1609">
        <f>0.1</f>
        <v>0.1</v>
      </c>
      <c r="Z1609">
        <f>0</f>
        <v>0</v>
      </c>
      <c r="AA1609" t="s">
        <v>158</v>
      </c>
      <c r="AB1609" t="s">
        <v>158</v>
      </c>
      <c r="AD1609">
        <f>0</f>
        <v>0</v>
      </c>
      <c r="AE1609">
        <f>8</f>
        <v>8</v>
      </c>
      <c r="AH1609" t="s">
        <v>157</v>
      </c>
    </row>
    <row r="1610" spans="1:135" x14ac:dyDescent="0.25">
      <c r="A1610" t="s">
        <v>4164</v>
      </c>
      <c r="B1610" t="s">
        <v>148</v>
      </c>
      <c r="C1610" s="1">
        <v>45887</v>
      </c>
      <c r="D1610" t="s">
        <v>242</v>
      </c>
      <c r="E1610" t="s">
        <v>243</v>
      </c>
      <c r="F1610" t="s">
        <v>253</v>
      </c>
      <c r="G1610" t="s">
        <v>5774</v>
      </c>
      <c r="H1610">
        <v>214</v>
      </c>
      <c r="I1610" t="s">
        <v>1702</v>
      </c>
      <c r="J1610">
        <v>305</v>
      </c>
      <c r="K1610" t="s">
        <v>5257</v>
      </c>
      <c r="L1610" t="s">
        <v>393</v>
      </c>
      <c r="M1610" t="s">
        <v>5453</v>
      </c>
      <c r="N1610" t="s">
        <v>5993</v>
      </c>
      <c r="O1610" t="s">
        <v>1703</v>
      </c>
      <c r="R1610">
        <f>1</f>
        <v>1</v>
      </c>
      <c r="S1610">
        <f>19.2</f>
        <v>19.2</v>
      </c>
      <c r="T1610">
        <f>7.8</f>
        <v>7.8</v>
      </c>
      <c r="U1610">
        <f>357</f>
        <v>357</v>
      </c>
      <c r="V1610">
        <f>0.12</f>
        <v>0.12</v>
      </c>
      <c r="X1610">
        <f>1</f>
        <v>1</v>
      </c>
      <c r="Y1610">
        <f>0.2</f>
        <v>0.2</v>
      </c>
      <c r="Z1610">
        <f>0</f>
        <v>0</v>
      </c>
      <c r="AA1610" t="s">
        <v>158</v>
      </c>
      <c r="AB1610" t="s">
        <v>158</v>
      </c>
      <c r="AC1610">
        <f>0</f>
        <v>0</v>
      </c>
      <c r="AD1610">
        <f>0</f>
        <v>0</v>
      </c>
      <c r="AE1610">
        <f>0</f>
        <v>0</v>
      </c>
      <c r="AH1610" t="s">
        <v>157</v>
      </c>
    </row>
    <row r="1611" spans="1:135" x14ac:dyDescent="0.25">
      <c r="A1611" t="s">
        <v>4165</v>
      </c>
      <c r="B1611" t="s">
        <v>268</v>
      </c>
      <c r="C1611" s="1">
        <v>45897</v>
      </c>
      <c r="D1611" t="s">
        <v>175</v>
      </c>
      <c r="E1611" t="s">
        <v>176</v>
      </c>
      <c r="F1611" t="s">
        <v>630</v>
      </c>
      <c r="G1611" t="s">
        <v>1705</v>
      </c>
      <c r="H1611">
        <v>783</v>
      </c>
      <c r="I1611" t="s">
        <v>1705</v>
      </c>
      <c r="J1611">
        <v>406</v>
      </c>
      <c r="K1611" t="s">
        <v>5257</v>
      </c>
      <c r="L1611" t="s">
        <v>154</v>
      </c>
      <c r="M1611" t="s">
        <v>5384</v>
      </c>
      <c r="N1611" t="s">
        <v>1706</v>
      </c>
      <c r="O1611" t="s">
        <v>1707</v>
      </c>
      <c r="R1611">
        <f>1</f>
        <v>1</v>
      </c>
      <c r="S1611">
        <f>19</f>
        <v>19</v>
      </c>
      <c r="T1611">
        <f>7.4</f>
        <v>7.4</v>
      </c>
      <c r="U1611">
        <f>494</f>
        <v>494</v>
      </c>
      <c r="X1611">
        <f>0</f>
        <v>0</v>
      </c>
      <c r="Y1611" t="s">
        <v>157</v>
      </c>
      <c r="Z1611">
        <f>0</f>
        <v>0</v>
      </c>
      <c r="AA1611">
        <f>64</f>
        <v>64</v>
      </c>
      <c r="AB1611">
        <f>18</f>
        <v>18</v>
      </c>
      <c r="AC1611">
        <f>6</f>
        <v>6</v>
      </c>
      <c r="AD1611">
        <f>0</f>
        <v>0</v>
      </c>
      <c r="AE1611">
        <f>0</f>
        <v>0</v>
      </c>
      <c r="AH1611" t="s">
        <v>157</v>
      </c>
      <c r="AI1611" t="s">
        <v>238</v>
      </c>
      <c r="AL1611" t="s">
        <v>164</v>
      </c>
      <c r="AM1611" t="s">
        <v>165</v>
      </c>
      <c r="AN1611">
        <f>4</f>
        <v>4</v>
      </c>
      <c r="AO1611">
        <f>0.08</f>
        <v>0.08</v>
      </c>
      <c r="AP1611">
        <f>4.3</f>
        <v>4.3</v>
      </c>
      <c r="AQ1611">
        <f>7.4</f>
        <v>7.4</v>
      </c>
      <c r="AR1611" t="s">
        <v>157</v>
      </c>
    </row>
    <row r="1612" spans="1:135" x14ac:dyDescent="0.25">
      <c r="A1612" t="s">
        <v>4166</v>
      </c>
      <c r="B1612" t="s">
        <v>148</v>
      </c>
      <c r="C1612" s="1">
        <v>45897</v>
      </c>
      <c r="D1612" t="s">
        <v>175</v>
      </c>
      <c r="E1612" t="s">
        <v>176</v>
      </c>
      <c r="F1612" t="s">
        <v>630</v>
      </c>
      <c r="G1612" t="s">
        <v>1711</v>
      </c>
      <c r="H1612">
        <v>786</v>
      </c>
      <c r="I1612" t="s">
        <v>1711</v>
      </c>
      <c r="J1612">
        <v>358</v>
      </c>
      <c r="K1612" t="s">
        <v>5257</v>
      </c>
      <c r="L1612" t="s">
        <v>154</v>
      </c>
      <c r="M1612" t="s">
        <v>1712</v>
      </c>
      <c r="N1612" t="s">
        <v>4786</v>
      </c>
      <c r="O1612" t="s">
        <v>1713</v>
      </c>
      <c r="Q1612" t="s">
        <v>6472</v>
      </c>
      <c r="R1612">
        <f>1</f>
        <v>1</v>
      </c>
      <c r="S1612">
        <f>19.8</f>
        <v>19.8</v>
      </c>
      <c r="T1612">
        <f>7.7</f>
        <v>7.7</v>
      </c>
      <c r="U1612">
        <f>459</f>
        <v>459</v>
      </c>
      <c r="X1612">
        <f>0</f>
        <v>0</v>
      </c>
      <c r="Y1612" t="s">
        <v>157</v>
      </c>
      <c r="Z1612">
        <f>0</f>
        <v>0</v>
      </c>
      <c r="AA1612">
        <f>88</f>
        <v>88</v>
      </c>
      <c r="AB1612">
        <f>32</f>
        <v>32</v>
      </c>
      <c r="AC1612">
        <f>0</f>
        <v>0</v>
      </c>
      <c r="AD1612">
        <f>0</f>
        <v>0</v>
      </c>
      <c r="AE1612">
        <f>0</f>
        <v>0</v>
      </c>
      <c r="AH1612" t="s">
        <v>157</v>
      </c>
      <c r="AI1612" t="s">
        <v>238</v>
      </c>
      <c r="AL1612" t="s">
        <v>164</v>
      </c>
      <c r="AM1612" t="s">
        <v>165</v>
      </c>
      <c r="AN1612">
        <f>4.4</f>
        <v>4.4000000000000004</v>
      </c>
      <c r="AO1612">
        <f>0.09</f>
        <v>0.09</v>
      </c>
      <c r="AP1612">
        <f>3.1</f>
        <v>3.1</v>
      </c>
      <c r="AQ1612">
        <f>4.4</f>
        <v>4.4000000000000004</v>
      </c>
      <c r="AR1612" t="s">
        <v>157</v>
      </c>
    </row>
    <row r="1613" spans="1:135" x14ac:dyDescent="0.25">
      <c r="A1613" t="s">
        <v>4167</v>
      </c>
      <c r="B1613" t="s">
        <v>148</v>
      </c>
      <c r="C1613" s="1">
        <v>45897</v>
      </c>
      <c r="D1613" t="s">
        <v>175</v>
      </c>
      <c r="E1613" t="s">
        <v>176</v>
      </c>
      <c r="F1613" t="s">
        <v>630</v>
      </c>
      <c r="G1613" t="s">
        <v>1715</v>
      </c>
      <c r="H1613">
        <v>787</v>
      </c>
      <c r="I1613" t="s">
        <v>1715</v>
      </c>
      <c r="J1613">
        <v>422</v>
      </c>
      <c r="K1613" t="s">
        <v>5257</v>
      </c>
      <c r="L1613" t="s">
        <v>154</v>
      </c>
      <c r="M1613" t="s">
        <v>4787</v>
      </c>
      <c r="N1613" t="s">
        <v>1716</v>
      </c>
      <c r="O1613" t="s">
        <v>1717</v>
      </c>
      <c r="R1613">
        <f>1</f>
        <v>1</v>
      </c>
      <c r="S1613">
        <f>19.7</f>
        <v>19.7</v>
      </c>
      <c r="T1613">
        <f>7.7</f>
        <v>7.7</v>
      </c>
      <c r="U1613">
        <f>480</f>
        <v>480</v>
      </c>
      <c r="X1613">
        <f>0</f>
        <v>0</v>
      </c>
      <c r="Y1613" t="s">
        <v>157</v>
      </c>
      <c r="Z1613">
        <f>0</f>
        <v>0</v>
      </c>
      <c r="AA1613">
        <f>84</f>
        <v>84</v>
      </c>
      <c r="AB1613" t="s">
        <v>158</v>
      </c>
      <c r="AC1613">
        <f>0</f>
        <v>0</v>
      </c>
      <c r="AD1613">
        <f>0</f>
        <v>0</v>
      </c>
      <c r="AE1613">
        <f>0</f>
        <v>0</v>
      </c>
      <c r="AH1613" t="s">
        <v>157</v>
      </c>
      <c r="AI1613">
        <f>0.9</f>
        <v>0.9</v>
      </c>
      <c r="AL1613" t="s">
        <v>164</v>
      </c>
      <c r="AM1613" t="s">
        <v>165</v>
      </c>
      <c r="AN1613">
        <f>5.8</f>
        <v>5.8</v>
      </c>
      <c r="AO1613">
        <f>0.12</f>
        <v>0.12</v>
      </c>
      <c r="AP1613">
        <f>7.3</f>
        <v>7.3</v>
      </c>
      <c r="AQ1613">
        <f>4</f>
        <v>4</v>
      </c>
      <c r="AR1613" t="s">
        <v>157</v>
      </c>
    </row>
    <row r="1614" spans="1:135" x14ac:dyDescent="0.25">
      <c r="A1614" t="s">
        <v>4168</v>
      </c>
      <c r="B1614" t="s">
        <v>268</v>
      </c>
      <c r="C1614" s="1">
        <v>45896</v>
      </c>
      <c r="D1614" t="s">
        <v>189</v>
      </c>
      <c r="E1614" t="s">
        <v>284</v>
      </c>
      <c r="F1614" t="s">
        <v>1739</v>
      </c>
      <c r="G1614" t="s">
        <v>1740</v>
      </c>
      <c r="H1614">
        <v>765</v>
      </c>
      <c r="I1614" t="s">
        <v>1740</v>
      </c>
      <c r="J1614">
        <v>168</v>
      </c>
      <c r="K1614" t="s">
        <v>5257</v>
      </c>
      <c r="L1614" t="s">
        <v>4966</v>
      </c>
      <c r="M1614" t="s">
        <v>1741</v>
      </c>
      <c r="N1614" t="s">
        <v>5455</v>
      </c>
      <c r="O1614" t="s">
        <v>1742</v>
      </c>
      <c r="R1614">
        <f>1</f>
        <v>1</v>
      </c>
      <c r="S1614">
        <f>19.9</f>
        <v>19.899999999999999</v>
      </c>
      <c r="T1614">
        <f>7.9</f>
        <v>7.9</v>
      </c>
      <c r="U1614">
        <f>274</f>
        <v>274</v>
      </c>
      <c r="X1614">
        <f>0</f>
        <v>0</v>
      </c>
      <c r="Y1614">
        <f>0.17</f>
        <v>0.17</v>
      </c>
      <c r="Z1614">
        <f>0</f>
        <v>0</v>
      </c>
      <c r="AA1614" t="s">
        <v>705</v>
      </c>
      <c r="AB1614">
        <f>29</f>
        <v>29</v>
      </c>
      <c r="AC1614">
        <f>0</f>
        <v>0</v>
      </c>
      <c r="AD1614">
        <f>0</f>
        <v>0</v>
      </c>
      <c r="AE1614">
        <f>0</f>
        <v>0</v>
      </c>
      <c r="AH1614" t="s">
        <v>157</v>
      </c>
    </row>
    <row r="1615" spans="1:135" x14ac:dyDescent="0.25">
      <c r="A1615" t="s">
        <v>4169</v>
      </c>
      <c r="B1615" t="s">
        <v>268</v>
      </c>
      <c r="C1615" s="1">
        <v>45845</v>
      </c>
      <c r="D1615" t="s">
        <v>242</v>
      </c>
      <c r="E1615" t="s">
        <v>295</v>
      </c>
      <c r="F1615" t="s">
        <v>4944</v>
      </c>
      <c r="G1615" t="s">
        <v>5092</v>
      </c>
      <c r="H1615">
        <v>316</v>
      </c>
      <c r="I1615" t="s">
        <v>5092</v>
      </c>
      <c r="J1615">
        <v>18031</v>
      </c>
      <c r="K1615" t="s">
        <v>5254</v>
      </c>
      <c r="L1615" t="s">
        <v>154</v>
      </c>
      <c r="M1615" t="s">
        <v>5782</v>
      </c>
      <c r="N1615" t="s">
        <v>4945</v>
      </c>
      <c r="O1615" t="s">
        <v>296</v>
      </c>
      <c r="R1615">
        <f>1</f>
        <v>1</v>
      </c>
      <c r="S1615">
        <f>22.4</f>
        <v>22.4</v>
      </c>
      <c r="T1615">
        <f>7.5</f>
        <v>7.5</v>
      </c>
      <c r="U1615">
        <f>341</f>
        <v>341</v>
      </c>
      <c r="V1615" t="s">
        <v>1723</v>
      </c>
      <c r="X1615">
        <f>0</f>
        <v>0</v>
      </c>
      <c r="Y1615">
        <f>0.77</f>
        <v>0.77</v>
      </c>
      <c r="Z1615">
        <f>0</f>
        <v>0</v>
      </c>
      <c r="AA1615">
        <f>176</f>
        <v>176</v>
      </c>
      <c r="AB1615">
        <f>211</f>
        <v>211</v>
      </c>
      <c r="AD1615">
        <f>0</f>
        <v>0</v>
      </c>
      <c r="AE1615">
        <f>1</f>
        <v>1</v>
      </c>
      <c r="AH1615" t="s">
        <v>166</v>
      </c>
    </row>
    <row r="1616" spans="1:135" x14ac:dyDescent="0.25">
      <c r="A1616" t="s">
        <v>4170</v>
      </c>
      <c r="B1616" t="s">
        <v>148</v>
      </c>
      <c r="C1616" s="1">
        <v>45726</v>
      </c>
      <c r="D1616" t="s">
        <v>269</v>
      </c>
      <c r="E1616" t="s">
        <v>270</v>
      </c>
      <c r="F1616" t="s">
        <v>754</v>
      </c>
      <c r="G1616" t="s">
        <v>4171</v>
      </c>
      <c r="H1616">
        <v>137</v>
      </c>
      <c r="I1616" t="s">
        <v>4171</v>
      </c>
      <c r="J1616">
        <v>300</v>
      </c>
      <c r="K1616" t="s">
        <v>5254</v>
      </c>
      <c r="L1616" t="s">
        <v>431</v>
      </c>
      <c r="M1616" t="s">
        <v>6224</v>
      </c>
      <c r="N1616" t="s">
        <v>4172</v>
      </c>
      <c r="O1616" t="s">
        <v>4173</v>
      </c>
      <c r="R1616">
        <f>1</f>
        <v>1</v>
      </c>
      <c r="S1616">
        <f>10.2</f>
        <v>10.199999999999999</v>
      </c>
      <c r="T1616">
        <f>7.6</f>
        <v>7.6</v>
      </c>
      <c r="U1616">
        <f>498</f>
        <v>498</v>
      </c>
      <c r="V1616" t="s">
        <v>207</v>
      </c>
      <c r="X1616">
        <f>0</f>
        <v>0</v>
      </c>
      <c r="Y1616">
        <f>0.06</f>
        <v>0.06</v>
      </c>
      <c r="Z1616">
        <f>0</f>
        <v>0</v>
      </c>
      <c r="AA1616" t="s">
        <v>158</v>
      </c>
      <c r="AB1616" t="s">
        <v>158</v>
      </c>
      <c r="AD1616">
        <f>0</f>
        <v>0</v>
      </c>
      <c r="AE1616">
        <f>0</f>
        <v>0</v>
      </c>
    </row>
    <row r="1617" spans="1:54" x14ac:dyDescent="0.25">
      <c r="A1617" t="s">
        <v>4174</v>
      </c>
      <c r="B1617" t="s">
        <v>148</v>
      </c>
      <c r="C1617" s="1">
        <v>45890</v>
      </c>
      <c r="D1617" t="s">
        <v>242</v>
      </c>
      <c r="E1617" t="s">
        <v>243</v>
      </c>
      <c r="F1617" t="s">
        <v>5349</v>
      </c>
      <c r="G1617" t="s">
        <v>1788</v>
      </c>
      <c r="H1617">
        <v>874</v>
      </c>
      <c r="I1617" t="s">
        <v>1788</v>
      </c>
      <c r="J1617">
        <v>348</v>
      </c>
      <c r="K1617" t="s">
        <v>5254</v>
      </c>
      <c r="L1617" t="s">
        <v>431</v>
      </c>
      <c r="M1617" t="s">
        <v>1789</v>
      </c>
      <c r="N1617" t="s">
        <v>5459</v>
      </c>
      <c r="O1617" t="s">
        <v>1790</v>
      </c>
      <c r="R1617">
        <f>1</f>
        <v>1</v>
      </c>
      <c r="S1617">
        <f>20</f>
        <v>20</v>
      </c>
      <c r="T1617">
        <f>7.9</f>
        <v>7.9</v>
      </c>
      <c r="U1617">
        <f>395</f>
        <v>395</v>
      </c>
      <c r="X1617">
        <f>0</f>
        <v>0</v>
      </c>
      <c r="Y1617" t="s">
        <v>157</v>
      </c>
      <c r="Z1617">
        <f>0</f>
        <v>0</v>
      </c>
      <c r="AA1617" t="s">
        <v>158</v>
      </c>
      <c r="AB1617" t="s">
        <v>158</v>
      </c>
      <c r="AD1617">
        <f>0</f>
        <v>0</v>
      </c>
      <c r="AE1617">
        <f>0</f>
        <v>0</v>
      </c>
      <c r="AH1617" t="s">
        <v>157</v>
      </c>
    </row>
    <row r="1618" spans="1:54" x14ac:dyDescent="0.25">
      <c r="A1618" t="s">
        <v>4175</v>
      </c>
      <c r="B1618" t="s">
        <v>148</v>
      </c>
      <c r="C1618" s="1">
        <v>45876</v>
      </c>
      <c r="D1618" t="s">
        <v>222</v>
      </c>
      <c r="E1618" t="s">
        <v>223</v>
      </c>
      <c r="F1618" t="s">
        <v>469</v>
      </c>
      <c r="G1618" t="s">
        <v>6669</v>
      </c>
      <c r="H1618">
        <v>386</v>
      </c>
      <c r="I1618" t="s">
        <v>6669</v>
      </c>
      <c r="J1618">
        <v>176</v>
      </c>
      <c r="K1618" t="s">
        <v>5257</v>
      </c>
      <c r="L1618" t="s">
        <v>431</v>
      </c>
      <c r="M1618" t="s">
        <v>5384</v>
      </c>
      <c r="N1618" t="s">
        <v>6670</v>
      </c>
      <c r="O1618" t="s">
        <v>1796</v>
      </c>
      <c r="Q1618" t="s">
        <v>5425</v>
      </c>
      <c r="R1618">
        <f>1</f>
        <v>1</v>
      </c>
      <c r="S1618">
        <f>22</f>
        <v>22</v>
      </c>
      <c r="T1618">
        <f>8</f>
        <v>8</v>
      </c>
      <c r="U1618">
        <f>254</f>
        <v>254</v>
      </c>
      <c r="V1618">
        <f>0.05</f>
        <v>0.05</v>
      </c>
      <c r="X1618">
        <f>1</f>
        <v>1</v>
      </c>
      <c r="Y1618">
        <f>0.06</f>
        <v>0.06</v>
      </c>
      <c r="Z1618">
        <f>0</f>
        <v>0</v>
      </c>
      <c r="AA1618">
        <f>4</f>
        <v>4</v>
      </c>
      <c r="AB1618">
        <f>0</f>
        <v>0</v>
      </c>
      <c r="AC1618">
        <f>0</f>
        <v>0</v>
      </c>
      <c r="AD1618">
        <f>0</f>
        <v>0</v>
      </c>
      <c r="AE1618">
        <f>0</f>
        <v>0</v>
      </c>
      <c r="AH1618" t="s">
        <v>166</v>
      </c>
    </row>
    <row r="1619" spans="1:54" x14ac:dyDescent="0.25">
      <c r="A1619" t="s">
        <v>4176</v>
      </c>
      <c r="B1619" t="s">
        <v>148</v>
      </c>
      <c r="C1619" s="1">
        <v>45897</v>
      </c>
      <c r="D1619" t="s">
        <v>222</v>
      </c>
      <c r="E1619" t="s">
        <v>223</v>
      </c>
      <c r="F1619" t="s">
        <v>469</v>
      </c>
      <c r="G1619" t="s">
        <v>6671</v>
      </c>
      <c r="H1619">
        <v>261</v>
      </c>
      <c r="I1619" t="s">
        <v>6671</v>
      </c>
      <c r="J1619">
        <v>153</v>
      </c>
      <c r="K1619" t="s">
        <v>5257</v>
      </c>
      <c r="L1619" t="s">
        <v>431</v>
      </c>
      <c r="M1619" t="s">
        <v>5460</v>
      </c>
      <c r="N1619" t="s">
        <v>5461</v>
      </c>
      <c r="O1619" t="s">
        <v>1798</v>
      </c>
      <c r="R1619">
        <f>1</f>
        <v>1</v>
      </c>
      <c r="S1619">
        <f>20.9</f>
        <v>20.9</v>
      </c>
      <c r="T1619">
        <f>8.1</f>
        <v>8.1</v>
      </c>
      <c r="U1619">
        <f>298</f>
        <v>298</v>
      </c>
      <c r="X1619">
        <f>1</f>
        <v>1</v>
      </c>
      <c r="Y1619">
        <f>0.2</f>
        <v>0.2</v>
      </c>
      <c r="Z1619">
        <f>0</f>
        <v>0</v>
      </c>
      <c r="AA1619">
        <f>0</f>
        <v>0</v>
      </c>
      <c r="AB1619">
        <f>0</f>
        <v>0</v>
      </c>
      <c r="AC1619">
        <f>0</f>
        <v>0</v>
      </c>
      <c r="AD1619">
        <f>0</f>
        <v>0</v>
      </c>
      <c r="AE1619">
        <f>0</f>
        <v>0</v>
      </c>
      <c r="AH1619" t="s">
        <v>166</v>
      </c>
    </row>
    <row r="1620" spans="1:54" x14ac:dyDescent="0.25">
      <c r="A1620" t="s">
        <v>4177</v>
      </c>
      <c r="B1620" t="s">
        <v>148</v>
      </c>
      <c r="C1620" s="1">
        <v>45891</v>
      </c>
      <c r="D1620" t="s">
        <v>175</v>
      </c>
      <c r="E1620" t="s">
        <v>176</v>
      </c>
      <c r="F1620" t="s">
        <v>370</v>
      </c>
      <c r="G1620" t="s">
        <v>5792</v>
      </c>
      <c r="H1620">
        <v>334</v>
      </c>
      <c r="I1620" t="s">
        <v>5793</v>
      </c>
      <c r="J1620">
        <v>36614</v>
      </c>
      <c r="K1620" t="s">
        <v>5254</v>
      </c>
      <c r="L1620" t="s">
        <v>4697</v>
      </c>
      <c r="M1620" t="s">
        <v>4950</v>
      </c>
      <c r="N1620" t="s">
        <v>4951</v>
      </c>
      <c r="O1620" t="s">
        <v>373</v>
      </c>
      <c r="Q1620" t="s">
        <v>6509</v>
      </c>
      <c r="R1620">
        <f>1</f>
        <v>1</v>
      </c>
      <c r="S1620">
        <f>19.2</f>
        <v>19.2</v>
      </c>
      <c r="T1620">
        <f>7.3</f>
        <v>7.3</v>
      </c>
      <c r="U1620">
        <f>562</f>
        <v>562</v>
      </c>
      <c r="X1620">
        <f>0</f>
        <v>0</v>
      </c>
      <c r="Y1620">
        <f>0.67</f>
        <v>0.67</v>
      </c>
      <c r="Z1620">
        <f>0</f>
        <v>0</v>
      </c>
      <c r="AA1620">
        <f>0</f>
        <v>0</v>
      </c>
      <c r="AB1620">
        <f>0</f>
        <v>0</v>
      </c>
      <c r="AD1620">
        <f>0</f>
        <v>0</v>
      </c>
      <c r="AE1620">
        <f>0</f>
        <v>0</v>
      </c>
      <c r="AH1620" t="s">
        <v>157</v>
      </c>
    </row>
    <row r="1621" spans="1:54" x14ac:dyDescent="0.25">
      <c r="A1621" t="s">
        <v>4178</v>
      </c>
      <c r="B1621" t="s">
        <v>148</v>
      </c>
      <c r="C1621" s="1">
        <v>45897</v>
      </c>
      <c r="D1621" t="s">
        <v>242</v>
      </c>
      <c r="E1621" t="s">
        <v>243</v>
      </c>
      <c r="F1621" t="s">
        <v>5284</v>
      </c>
      <c r="G1621" t="s">
        <v>1827</v>
      </c>
      <c r="H1621">
        <v>984</v>
      </c>
      <c r="I1621" t="s">
        <v>1827</v>
      </c>
      <c r="J1621">
        <v>289</v>
      </c>
      <c r="K1621" t="s">
        <v>5254</v>
      </c>
      <c r="L1621" t="s">
        <v>393</v>
      </c>
      <c r="M1621" t="s">
        <v>6009</v>
      </c>
      <c r="N1621" t="s">
        <v>6010</v>
      </c>
      <c r="O1621" t="s">
        <v>1828</v>
      </c>
      <c r="R1621">
        <f>1</f>
        <v>1</v>
      </c>
      <c r="S1621">
        <f>19.5</f>
        <v>19.5</v>
      </c>
      <c r="T1621">
        <f>7.8</f>
        <v>7.8</v>
      </c>
      <c r="U1621">
        <f>512</f>
        <v>512</v>
      </c>
      <c r="X1621">
        <f>0</f>
        <v>0</v>
      </c>
      <c r="Y1621">
        <f>0.2</f>
        <v>0.2</v>
      </c>
      <c r="Z1621">
        <f>0</f>
        <v>0</v>
      </c>
      <c r="AA1621" t="s">
        <v>158</v>
      </c>
      <c r="AB1621">
        <f>45</f>
        <v>45</v>
      </c>
      <c r="AD1621">
        <f>0</f>
        <v>0</v>
      </c>
      <c r="AE1621">
        <f>0</f>
        <v>0</v>
      </c>
      <c r="AH1621" t="s">
        <v>157</v>
      </c>
    </row>
    <row r="1622" spans="1:54" x14ac:dyDescent="0.25">
      <c r="A1622" t="s">
        <v>4179</v>
      </c>
      <c r="B1622" t="s">
        <v>148</v>
      </c>
      <c r="C1622" s="1">
        <v>45894</v>
      </c>
      <c r="D1622" t="s">
        <v>242</v>
      </c>
      <c r="E1622" t="s">
        <v>243</v>
      </c>
      <c r="F1622" t="s">
        <v>1835</v>
      </c>
      <c r="G1622" t="s">
        <v>1836</v>
      </c>
      <c r="H1622">
        <v>1051</v>
      </c>
      <c r="I1622" t="s">
        <v>1836</v>
      </c>
      <c r="J1622">
        <v>400</v>
      </c>
      <c r="K1622" t="s">
        <v>5254</v>
      </c>
      <c r="L1622" t="s">
        <v>4758</v>
      </c>
      <c r="M1622" t="s">
        <v>5466</v>
      </c>
      <c r="N1622" t="s">
        <v>1837</v>
      </c>
      <c r="O1622" t="s">
        <v>1838</v>
      </c>
      <c r="R1622">
        <f>1</f>
        <v>1</v>
      </c>
      <c r="S1622">
        <f>19.8</f>
        <v>19.8</v>
      </c>
      <c r="T1622">
        <f>7.9</f>
        <v>7.9</v>
      </c>
      <c r="U1622">
        <f>294</f>
        <v>294</v>
      </c>
      <c r="X1622">
        <f>0</f>
        <v>0</v>
      </c>
      <c r="Y1622" t="s">
        <v>157</v>
      </c>
      <c r="Z1622">
        <f>0</f>
        <v>0</v>
      </c>
      <c r="AA1622" t="s">
        <v>158</v>
      </c>
      <c r="AB1622" t="s">
        <v>158</v>
      </c>
      <c r="AD1622">
        <f>0</f>
        <v>0</v>
      </c>
      <c r="AE1622">
        <f>0</f>
        <v>0</v>
      </c>
      <c r="AH1622" t="s">
        <v>157</v>
      </c>
      <c r="AI1622" t="s">
        <v>238</v>
      </c>
      <c r="AL1622" t="s">
        <v>164</v>
      </c>
      <c r="AM1622" t="s">
        <v>165</v>
      </c>
      <c r="AN1622">
        <f>3.5</f>
        <v>3.5</v>
      </c>
      <c r="AO1622">
        <f>0.07</f>
        <v>7.0000000000000007E-2</v>
      </c>
      <c r="AP1622">
        <f>12</f>
        <v>12</v>
      </c>
      <c r="AQ1622">
        <f>1.7</f>
        <v>1.7</v>
      </c>
      <c r="AR1622" t="s">
        <v>157</v>
      </c>
    </row>
    <row r="1623" spans="1:54" x14ac:dyDescent="0.25">
      <c r="A1623" t="s">
        <v>4180</v>
      </c>
      <c r="B1623" t="s">
        <v>148</v>
      </c>
      <c r="C1623" s="1">
        <v>45785</v>
      </c>
      <c r="D1623" t="s">
        <v>311</v>
      </c>
      <c r="E1623" t="s">
        <v>312</v>
      </c>
      <c r="F1623" t="s">
        <v>4181</v>
      </c>
      <c r="G1623" t="s">
        <v>4182</v>
      </c>
      <c r="H1623">
        <v>1039</v>
      </c>
      <c r="I1623" t="s">
        <v>4183</v>
      </c>
      <c r="J1623">
        <v>270</v>
      </c>
      <c r="K1623" t="s">
        <v>5254</v>
      </c>
      <c r="L1623" t="s">
        <v>393</v>
      </c>
      <c r="M1623" t="s">
        <v>4184</v>
      </c>
      <c r="N1623" t="s">
        <v>4915</v>
      </c>
      <c r="O1623" t="s">
        <v>4185</v>
      </c>
      <c r="R1623">
        <f>1</f>
        <v>1</v>
      </c>
      <c r="S1623">
        <f>15</f>
        <v>15</v>
      </c>
      <c r="T1623">
        <f>6.7</f>
        <v>6.7</v>
      </c>
      <c r="U1623">
        <f>450</f>
        <v>450</v>
      </c>
      <c r="X1623">
        <f>0</f>
        <v>0</v>
      </c>
      <c r="Y1623" t="s">
        <v>157</v>
      </c>
      <c r="Z1623">
        <f>0</f>
        <v>0</v>
      </c>
      <c r="AA1623" t="s">
        <v>158</v>
      </c>
      <c r="AB1623" t="s">
        <v>158</v>
      </c>
      <c r="AD1623">
        <f>0</f>
        <v>0</v>
      </c>
      <c r="AE1623">
        <f>0</f>
        <v>0</v>
      </c>
      <c r="AH1623" t="s">
        <v>157</v>
      </c>
    </row>
    <row r="1624" spans="1:54" x14ac:dyDescent="0.25">
      <c r="A1624" t="s">
        <v>4186</v>
      </c>
      <c r="B1624" t="s">
        <v>148</v>
      </c>
      <c r="C1624" s="1">
        <v>45880</v>
      </c>
      <c r="D1624" t="s">
        <v>242</v>
      </c>
      <c r="E1624" t="s">
        <v>295</v>
      </c>
      <c r="F1624" t="s">
        <v>4944</v>
      </c>
      <c r="G1624" t="s">
        <v>5092</v>
      </c>
      <c r="H1624">
        <v>316</v>
      </c>
      <c r="I1624" t="s">
        <v>5092</v>
      </c>
      <c r="J1624">
        <v>18031</v>
      </c>
      <c r="K1624" t="s">
        <v>5254</v>
      </c>
      <c r="L1624" t="s">
        <v>154</v>
      </c>
      <c r="M1624" t="s">
        <v>5287</v>
      </c>
      <c r="N1624" t="s">
        <v>5288</v>
      </c>
      <c r="O1624" t="s">
        <v>408</v>
      </c>
      <c r="R1624">
        <f>1</f>
        <v>1</v>
      </c>
      <c r="S1624">
        <f>19.5</f>
        <v>19.5</v>
      </c>
      <c r="T1624">
        <f>7.6</f>
        <v>7.6</v>
      </c>
      <c r="U1624">
        <f>535</f>
        <v>535</v>
      </c>
      <c r="X1624">
        <f>0</f>
        <v>0</v>
      </c>
      <c r="Y1624">
        <f>0.3</f>
        <v>0.3</v>
      </c>
      <c r="Z1624">
        <f>0</f>
        <v>0</v>
      </c>
      <c r="AA1624" t="s">
        <v>158</v>
      </c>
      <c r="AB1624" t="s">
        <v>158</v>
      </c>
      <c r="AD1624">
        <f>0</f>
        <v>0</v>
      </c>
      <c r="AE1624">
        <f>0</f>
        <v>0</v>
      </c>
      <c r="AH1624" t="s">
        <v>166</v>
      </c>
    </row>
    <row r="1625" spans="1:54" x14ac:dyDescent="0.25">
      <c r="A1625" t="s">
        <v>4187</v>
      </c>
      <c r="B1625" t="s">
        <v>148</v>
      </c>
      <c r="C1625" s="1">
        <v>45888</v>
      </c>
      <c r="D1625" t="s">
        <v>242</v>
      </c>
      <c r="E1625" t="s">
        <v>295</v>
      </c>
      <c r="F1625" t="s">
        <v>1890</v>
      </c>
      <c r="G1625" t="s">
        <v>1890</v>
      </c>
      <c r="H1625">
        <v>1176</v>
      </c>
      <c r="I1625" t="s">
        <v>1890</v>
      </c>
      <c r="J1625">
        <v>350</v>
      </c>
      <c r="K1625" t="s">
        <v>5254</v>
      </c>
      <c r="L1625" t="s">
        <v>393</v>
      </c>
      <c r="M1625" t="s">
        <v>4796</v>
      </c>
      <c r="N1625" t="s">
        <v>1891</v>
      </c>
      <c r="O1625" t="s">
        <v>1892</v>
      </c>
      <c r="R1625">
        <f>1</f>
        <v>1</v>
      </c>
      <c r="S1625">
        <f>18.8</f>
        <v>18.8</v>
      </c>
      <c r="T1625">
        <f>7.3</f>
        <v>7.3</v>
      </c>
      <c r="U1625">
        <f>451</f>
        <v>451</v>
      </c>
      <c r="X1625">
        <f>1</f>
        <v>1</v>
      </c>
      <c r="Y1625" t="s">
        <v>157</v>
      </c>
      <c r="Z1625">
        <f>0</f>
        <v>0</v>
      </c>
      <c r="AA1625" t="s">
        <v>158</v>
      </c>
      <c r="AB1625" t="s">
        <v>158</v>
      </c>
      <c r="AD1625">
        <f>0</f>
        <v>0</v>
      </c>
      <c r="AE1625">
        <f>0</f>
        <v>0</v>
      </c>
      <c r="AH1625" t="s">
        <v>157</v>
      </c>
    </row>
    <row r="1626" spans="1:54" x14ac:dyDescent="0.25">
      <c r="A1626" t="s">
        <v>4188</v>
      </c>
      <c r="B1626" t="s">
        <v>148</v>
      </c>
      <c r="C1626" s="1">
        <v>45876</v>
      </c>
      <c r="D1626" t="s">
        <v>618</v>
      </c>
      <c r="E1626" t="s">
        <v>619</v>
      </c>
      <c r="F1626" t="s">
        <v>620</v>
      </c>
      <c r="G1626" t="s">
        <v>1080</v>
      </c>
      <c r="H1626">
        <v>47</v>
      </c>
      <c r="I1626" t="s">
        <v>1932</v>
      </c>
      <c r="J1626">
        <v>320</v>
      </c>
      <c r="K1626" t="s">
        <v>5254</v>
      </c>
      <c r="L1626" t="s">
        <v>180</v>
      </c>
      <c r="M1626" t="s">
        <v>1933</v>
      </c>
      <c r="N1626" t="s">
        <v>1934</v>
      </c>
      <c r="O1626" t="s">
        <v>1935</v>
      </c>
      <c r="R1626">
        <f>1</f>
        <v>1</v>
      </c>
      <c r="S1626">
        <f>20.1</f>
        <v>20.100000000000001</v>
      </c>
      <c r="T1626">
        <f>7.7</f>
        <v>7.7</v>
      </c>
      <c r="U1626">
        <f>468</f>
        <v>468</v>
      </c>
      <c r="X1626">
        <f>0</f>
        <v>0</v>
      </c>
      <c r="Y1626" t="s">
        <v>157</v>
      </c>
      <c r="Z1626">
        <f>0</f>
        <v>0</v>
      </c>
      <c r="AA1626" t="s">
        <v>158</v>
      </c>
      <c r="AB1626" t="s">
        <v>158</v>
      </c>
      <c r="AD1626">
        <f>0</f>
        <v>0</v>
      </c>
      <c r="AE1626">
        <f>0</f>
        <v>0</v>
      </c>
      <c r="AH1626" t="s">
        <v>157</v>
      </c>
    </row>
    <row r="1627" spans="1:54" x14ac:dyDescent="0.25">
      <c r="A1627" t="s">
        <v>4189</v>
      </c>
      <c r="B1627" t="s">
        <v>148</v>
      </c>
      <c r="C1627" s="1">
        <v>45890</v>
      </c>
      <c r="D1627" t="s">
        <v>222</v>
      </c>
      <c r="E1627" t="s">
        <v>223</v>
      </c>
      <c r="F1627" t="s">
        <v>4938</v>
      </c>
      <c r="G1627" t="s">
        <v>5291</v>
      </c>
      <c r="H1627">
        <v>1471</v>
      </c>
      <c r="I1627" t="s">
        <v>5291</v>
      </c>
      <c r="J1627">
        <v>14988</v>
      </c>
      <c r="K1627" t="s">
        <v>5257</v>
      </c>
      <c r="L1627" t="s">
        <v>191</v>
      </c>
      <c r="M1627" t="s">
        <v>5292</v>
      </c>
      <c r="N1627" t="s">
        <v>5293</v>
      </c>
      <c r="O1627" t="s">
        <v>475</v>
      </c>
      <c r="Q1627" t="s">
        <v>6298</v>
      </c>
      <c r="R1627">
        <f>1</f>
        <v>1</v>
      </c>
      <c r="S1627">
        <f>19.7</f>
        <v>19.7</v>
      </c>
      <c r="T1627">
        <f>8</f>
        <v>8</v>
      </c>
      <c r="U1627">
        <f>230</f>
        <v>230</v>
      </c>
      <c r="X1627">
        <f>1</f>
        <v>1</v>
      </c>
      <c r="Y1627">
        <f>0.06</f>
        <v>0.06</v>
      </c>
      <c r="Z1627">
        <f>0</f>
        <v>0</v>
      </c>
      <c r="AA1627">
        <f>1</f>
        <v>1</v>
      </c>
      <c r="AB1627">
        <f>0</f>
        <v>0</v>
      </c>
      <c r="AC1627">
        <f>0</f>
        <v>0</v>
      </c>
      <c r="AD1627">
        <f>0</f>
        <v>0</v>
      </c>
      <c r="AE1627">
        <f>0</f>
        <v>0</v>
      </c>
      <c r="AH1627" t="s">
        <v>166</v>
      </c>
    </row>
    <row r="1628" spans="1:54" x14ac:dyDescent="0.25">
      <c r="A1628" t="s">
        <v>4190</v>
      </c>
      <c r="B1628" t="s">
        <v>148</v>
      </c>
      <c r="C1628" s="1">
        <v>45874</v>
      </c>
      <c r="D1628" t="s">
        <v>317</v>
      </c>
      <c r="E1628" t="s">
        <v>318</v>
      </c>
      <c r="F1628" t="s">
        <v>4800</v>
      </c>
      <c r="G1628" t="s">
        <v>6690</v>
      </c>
      <c r="H1628">
        <v>1064</v>
      </c>
      <c r="I1628" t="s">
        <v>6691</v>
      </c>
      <c r="J1628">
        <v>315</v>
      </c>
      <c r="K1628" t="s">
        <v>5257</v>
      </c>
      <c r="L1628" t="s">
        <v>180</v>
      </c>
      <c r="M1628" t="s">
        <v>6024</v>
      </c>
      <c r="N1628" t="s">
        <v>5007</v>
      </c>
      <c r="O1628" t="s">
        <v>1941</v>
      </c>
      <c r="Q1628" t="s">
        <v>1942</v>
      </c>
      <c r="R1628">
        <f>1</f>
        <v>1</v>
      </c>
      <c r="S1628">
        <f>15.2</f>
        <v>15.2</v>
      </c>
      <c r="T1628">
        <f>7.8</f>
        <v>7.8</v>
      </c>
      <c r="U1628">
        <f>324</f>
        <v>324</v>
      </c>
      <c r="X1628">
        <f>0</f>
        <v>0</v>
      </c>
      <c r="Y1628" t="s">
        <v>157</v>
      </c>
      <c r="Z1628">
        <f>0</f>
        <v>0</v>
      </c>
      <c r="AA1628">
        <f>5</f>
        <v>5</v>
      </c>
      <c r="AB1628">
        <f>0</f>
        <v>0</v>
      </c>
      <c r="AC1628">
        <f>0</f>
        <v>0</v>
      </c>
      <c r="AD1628">
        <f>0</f>
        <v>0</v>
      </c>
      <c r="AE1628">
        <f>0</f>
        <v>0</v>
      </c>
      <c r="AH1628" t="s">
        <v>157</v>
      </c>
    </row>
    <row r="1629" spans="1:54" x14ac:dyDescent="0.25">
      <c r="A1629" t="s">
        <v>4191</v>
      </c>
      <c r="B1629" t="s">
        <v>148</v>
      </c>
      <c r="C1629" s="1">
        <v>45891</v>
      </c>
      <c r="D1629" t="s">
        <v>242</v>
      </c>
      <c r="E1629" t="s">
        <v>243</v>
      </c>
      <c r="F1629" t="s">
        <v>244</v>
      </c>
      <c r="G1629" t="s">
        <v>245</v>
      </c>
      <c r="H1629">
        <v>154</v>
      </c>
      <c r="I1629" t="s">
        <v>4695</v>
      </c>
      <c r="J1629">
        <v>54400</v>
      </c>
      <c r="K1629" t="s">
        <v>5257</v>
      </c>
      <c r="L1629" t="s">
        <v>246</v>
      </c>
      <c r="M1629" t="s">
        <v>3371</v>
      </c>
      <c r="N1629" t="s">
        <v>3372</v>
      </c>
      <c r="O1629" t="s">
        <v>3373</v>
      </c>
      <c r="Q1629" t="s">
        <v>6480</v>
      </c>
      <c r="R1629">
        <f>1</f>
        <v>1</v>
      </c>
      <c r="S1629">
        <f>16</f>
        <v>16</v>
      </c>
      <c r="T1629">
        <f>7.6</f>
        <v>7.6</v>
      </c>
      <c r="U1629">
        <f>507</f>
        <v>507</v>
      </c>
      <c r="V1629">
        <f>0.22</f>
        <v>0.22</v>
      </c>
      <c r="X1629">
        <f>0</f>
        <v>0</v>
      </c>
      <c r="Y1629" t="s">
        <v>157</v>
      </c>
      <c r="Z1629">
        <f>0</f>
        <v>0</v>
      </c>
      <c r="AA1629" t="s">
        <v>158</v>
      </c>
      <c r="AB1629" t="s">
        <v>158</v>
      </c>
      <c r="AC1629">
        <f>0</f>
        <v>0</v>
      </c>
      <c r="AD1629">
        <f>0</f>
        <v>0</v>
      </c>
      <c r="AE1629">
        <f>0</f>
        <v>0</v>
      </c>
      <c r="AH1629" t="s">
        <v>157</v>
      </c>
    </row>
    <row r="1630" spans="1:54" x14ac:dyDescent="0.25">
      <c r="A1630" t="s">
        <v>4192</v>
      </c>
      <c r="B1630" t="s">
        <v>148</v>
      </c>
      <c r="C1630" s="1">
        <v>45891</v>
      </c>
      <c r="D1630" t="s">
        <v>242</v>
      </c>
      <c r="E1630" t="s">
        <v>243</v>
      </c>
      <c r="F1630" t="s">
        <v>244</v>
      </c>
      <c r="G1630" t="s">
        <v>245</v>
      </c>
      <c r="H1630">
        <v>154</v>
      </c>
      <c r="I1630" t="s">
        <v>4695</v>
      </c>
      <c r="J1630">
        <v>54400</v>
      </c>
      <c r="K1630" t="s">
        <v>5257</v>
      </c>
      <c r="L1630" t="s">
        <v>246</v>
      </c>
      <c r="M1630" t="s">
        <v>499</v>
      </c>
      <c r="N1630" t="s">
        <v>5819</v>
      </c>
      <c r="O1630" t="s">
        <v>500</v>
      </c>
      <c r="R1630">
        <f>1</f>
        <v>1</v>
      </c>
      <c r="S1630">
        <f>17.5</f>
        <v>17.5</v>
      </c>
      <c r="T1630">
        <f>7.6</f>
        <v>7.6</v>
      </c>
      <c r="U1630">
        <f>511</f>
        <v>511</v>
      </c>
      <c r="X1630">
        <f>0</f>
        <v>0</v>
      </c>
      <c r="Y1630">
        <f>0.2</f>
        <v>0.2</v>
      </c>
      <c r="Z1630">
        <f>0</f>
        <v>0</v>
      </c>
      <c r="AA1630" t="s">
        <v>158</v>
      </c>
      <c r="AB1630" t="s">
        <v>158</v>
      </c>
      <c r="AC1630">
        <f>0</f>
        <v>0</v>
      </c>
      <c r="AD1630">
        <f>0</f>
        <v>0</v>
      </c>
      <c r="AE1630">
        <f>0</f>
        <v>0</v>
      </c>
      <c r="AH1630" t="s">
        <v>157</v>
      </c>
    </row>
    <row r="1631" spans="1:54" x14ac:dyDescent="0.25">
      <c r="A1631" t="s">
        <v>4193</v>
      </c>
      <c r="B1631" t="s">
        <v>148</v>
      </c>
      <c r="C1631" s="1">
        <v>45890</v>
      </c>
      <c r="D1631" t="s">
        <v>222</v>
      </c>
      <c r="E1631" t="s">
        <v>223</v>
      </c>
      <c r="F1631" t="s">
        <v>224</v>
      </c>
      <c r="G1631" t="s">
        <v>229</v>
      </c>
      <c r="H1631">
        <v>367</v>
      </c>
      <c r="I1631" t="s">
        <v>495</v>
      </c>
      <c r="J1631">
        <v>29670</v>
      </c>
      <c r="K1631" t="s">
        <v>5257</v>
      </c>
      <c r="L1631" t="s">
        <v>4956</v>
      </c>
      <c r="M1631" t="s">
        <v>4907</v>
      </c>
      <c r="N1631" t="s">
        <v>3378</v>
      </c>
      <c r="Q1631" t="s">
        <v>1280</v>
      </c>
      <c r="R1631">
        <f>1</f>
        <v>1</v>
      </c>
      <c r="S1631">
        <f>24.1</f>
        <v>24.1</v>
      </c>
      <c r="T1631">
        <f>8</f>
        <v>8</v>
      </c>
      <c r="U1631">
        <f>243</f>
        <v>243</v>
      </c>
      <c r="V1631">
        <f>0.06</f>
        <v>0.06</v>
      </c>
      <c r="X1631">
        <f>1</f>
        <v>1</v>
      </c>
      <c r="Y1631">
        <f>0.11</f>
        <v>0.11</v>
      </c>
      <c r="Z1631">
        <f>0</f>
        <v>0</v>
      </c>
      <c r="AA1631">
        <f>13</f>
        <v>13</v>
      </c>
      <c r="AB1631">
        <f>0</f>
        <v>0</v>
      </c>
      <c r="AC1631">
        <f>0</f>
        <v>0</v>
      </c>
      <c r="AD1631">
        <f>0</f>
        <v>0</v>
      </c>
      <c r="AE1631">
        <f>0</f>
        <v>0</v>
      </c>
      <c r="AH1631" t="s">
        <v>166</v>
      </c>
      <c r="BB1631">
        <f>19</f>
        <v>19</v>
      </c>
    </row>
    <row r="1632" spans="1:54" x14ac:dyDescent="0.25">
      <c r="A1632" t="s">
        <v>4194</v>
      </c>
      <c r="B1632" t="s">
        <v>148</v>
      </c>
      <c r="C1632" s="1">
        <v>45887</v>
      </c>
      <c r="D1632" t="s">
        <v>222</v>
      </c>
      <c r="E1632" t="s">
        <v>223</v>
      </c>
      <c r="F1632" t="s">
        <v>224</v>
      </c>
      <c r="G1632" t="s">
        <v>229</v>
      </c>
      <c r="H1632">
        <v>367</v>
      </c>
      <c r="I1632" t="s">
        <v>495</v>
      </c>
      <c r="J1632">
        <v>29670</v>
      </c>
      <c r="K1632" t="s">
        <v>5257</v>
      </c>
      <c r="L1632" t="s">
        <v>4956</v>
      </c>
      <c r="M1632" t="s">
        <v>5705</v>
      </c>
      <c r="N1632" t="s">
        <v>3381</v>
      </c>
      <c r="R1632">
        <f>1</f>
        <v>1</v>
      </c>
      <c r="S1632">
        <f>15.2</f>
        <v>15.2</v>
      </c>
      <c r="T1632">
        <f>7.9</f>
        <v>7.9</v>
      </c>
      <c r="U1632">
        <f>255</f>
        <v>255</v>
      </c>
      <c r="V1632">
        <f>0.2</f>
        <v>0.2</v>
      </c>
      <c r="X1632">
        <f>1</f>
        <v>1</v>
      </c>
      <c r="Y1632">
        <f>0.04</f>
        <v>0.04</v>
      </c>
      <c r="Z1632">
        <f>0</f>
        <v>0</v>
      </c>
      <c r="AA1632">
        <f>0</f>
        <v>0</v>
      </c>
      <c r="AB1632">
        <f>0</f>
        <v>0</v>
      </c>
      <c r="AC1632">
        <f>0</f>
        <v>0</v>
      </c>
      <c r="AD1632">
        <f>0</f>
        <v>0</v>
      </c>
      <c r="AE1632">
        <f>0</f>
        <v>0</v>
      </c>
      <c r="AH1632" t="s">
        <v>166</v>
      </c>
      <c r="BB1632">
        <f>15</f>
        <v>15</v>
      </c>
    </row>
    <row r="1633" spans="1:63" x14ac:dyDescent="0.25">
      <c r="A1633" t="s">
        <v>4195</v>
      </c>
      <c r="B1633" t="s">
        <v>148</v>
      </c>
      <c r="C1633" s="1">
        <v>45896</v>
      </c>
      <c r="D1633" t="s">
        <v>317</v>
      </c>
      <c r="E1633" t="s">
        <v>318</v>
      </c>
      <c r="F1633" t="s">
        <v>5796</v>
      </c>
      <c r="G1633" t="s">
        <v>5280</v>
      </c>
      <c r="H1633">
        <v>68</v>
      </c>
      <c r="I1633" t="s">
        <v>5797</v>
      </c>
      <c r="J1633">
        <v>19626</v>
      </c>
      <c r="K1633" t="s">
        <v>5254</v>
      </c>
      <c r="L1633" t="s">
        <v>4953</v>
      </c>
      <c r="M1633" t="s">
        <v>5822</v>
      </c>
      <c r="N1633" t="s">
        <v>5823</v>
      </c>
      <c r="O1633" t="s">
        <v>507</v>
      </c>
      <c r="Q1633" t="s">
        <v>6307</v>
      </c>
      <c r="R1633">
        <f>1</f>
        <v>1</v>
      </c>
      <c r="S1633">
        <f>14.4</f>
        <v>14.4</v>
      </c>
      <c r="T1633">
        <f>7.9</f>
        <v>7.9</v>
      </c>
      <c r="U1633">
        <f>277</f>
        <v>277</v>
      </c>
      <c r="V1633">
        <f>0.17</f>
        <v>0.17</v>
      </c>
      <c r="X1633">
        <f>0</f>
        <v>0</v>
      </c>
      <c r="Y1633">
        <f>0.36</f>
        <v>0.36</v>
      </c>
      <c r="Z1633">
        <f>0</f>
        <v>0</v>
      </c>
      <c r="AA1633">
        <f>0</f>
        <v>0</v>
      </c>
      <c r="AB1633">
        <f>0</f>
        <v>0</v>
      </c>
      <c r="AD1633">
        <f>0</f>
        <v>0</v>
      </c>
      <c r="AE1633">
        <f>0</f>
        <v>0</v>
      </c>
      <c r="AH1633" t="s">
        <v>157</v>
      </c>
    </row>
    <row r="1634" spans="1:63" x14ac:dyDescent="0.25">
      <c r="A1634" t="s">
        <v>4196</v>
      </c>
      <c r="B1634" t="s">
        <v>148</v>
      </c>
      <c r="C1634" s="1">
        <v>45873</v>
      </c>
      <c r="D1634" t="s">
        <v>317</v>
      </c>
      <c r="E1634" t="s">
        <v>318</v>
      </c>
      <c r="F1634" t="s">
        <v>338</v>
      </c>
      <c r="G1634" t="s">
        <v>6538</v>
      </c>
      <c r="H1634">
        <v>854</v>
      </c>
      <c r="I1634" t="s">
        <v>6538</v>
      </c>
      <c r="J1634">
        <v>16473</v>
      </c>
      <c r="K1634" t="s">
        <v>5254</v>
      </c>
      <c r="L1634" t="s">
        <v>4948</v>
      </c>
      <c r="M1634" t="s">
        <v>511</v>
      </c>
      <c r="N1634" t="s">
        <v>512</v>
      </c>
      <c r="O1634" t="s">
        <v>513</v>
      </c>
      <c r="Q1634" t="s">
        <v>329</v>
      </c>
      <c r="R1634">
        <f>1</f>
        <v>1</v>
      </c>
      <c r="S1634">
        <f>16.5</f>
        <v>16.5</v>
      </c>
      <c r="T1634">
        <f>8</f>
        <v>8</v>
      </c>
      <c r="U1634">
        <f>184</f>
        <v>184</v>
      </c>
      <c r="X1634">
        <f>0</f>
        <v>0</v>
      </c>
      <c r="Y1634" t="s">
        <v>157</v>
      </c>
      <c r="Z1634">
        <f>0</f>
        <v>0</v>
      </c>
      <c r="AA1634">
        <f>0</f>
        <v>0</v>
      </c>
      <c r="AB1634">
        <f>0</f>
        <v>0</v>
      </c>
      <c r="AD1634">
        <f>0</f>
        <v>0</v>
      </c>
      <c r="AE1634">
        <f>0</f>
        <v>0</v>
      </c>
      <c r="AH1634" t="s">
        <v>157</v>
      </c>
    </row>
    <row r="1635" spans="1:63" x14ac:dyDescent="0.25">
      <c r="A1635" t="s">
        <v>4197</v>
      </c>
      <c r="B1635" t="s">
        <v>268</v>
      </c>
      <c r="C1635" s="1">
        <v>45897</v>
      </c>
      <c r="D1635" t="s">
        <v>175</v>
      </c>
      <c r="E1635" t="s">
        <v>176</v>
      </c>
      <c r="F1635" t="s">
        <v>630</v>
      </c>
      <c r="G1635" t="s">
        <v>1983</v>
      </c>
      <c r="H1635">
        <v>1486</v>
      </c>
      <c r="I1635" t="s">
        <v>1983</v>
      </c>
      <c r="J1635">
        <v>484</v>
      </c>
      <c r="K1635" t="s">
        <v>5254</v>
      </c>
      <c r="L1635" t="s">
        <v>154</v>
      </c>
      <c r="M1635" t="s">
        <v>1984</v>
      </c>
      <c r="N1635" t="s">
        <v>1985</v>
      </c>
      <c r="O1635" t="s">
        <v>1986</v>
      </c>
      <c r="R1635">
        <f>1</f>
        <v>1</v>
      </c>
      <c r="S1635">
        <f>21.3</f>
        <v>21.3</v>
      </c>
      <c r="T1635">
        <f>7.7</f>
        <v>7.7</v>
      </c>
      <c r="U1635">
        <f>481</f>
        <v>481</v>
      </c>
      <c r="X1635">
        <f>0</f>
        <v>0</v>
      </c>
      <c r="Y1635">
        <f>0.5</f>
        <v>0.5</v>
      </c>
      <c r="Z1635">
        <f>1</f>
        <v>1</v>
      </c>
      <c r="AA1635" t="s">
        <v>705</v>
      </c>
      <c r="AB1635" t="s">
        <v>705</v>
      </c>
      <c r="AD1635">
        <f>13</f>
        <v>13</v>
      </c>
      <c r="AE1635" t="s">
        <v>1845</v>
      </c>
      <c r="AH1635" t="s">
        <v>157</v>
      </c>
      <c r="AI1635" t="s">
        <v>238</v>
      </c>
      <c r="AL1635">
        <f>0.026</f>
        <v>2.5999999999999999E-2</v>
      </c>
      <c r="AM1635" t="s">
        <v>165</v>
      </c>
      <c r="AN1635">
        <f>2.7</f>
        <v>2.7</v>
      </c>
      <c r="AO1635">
        <f>0.05</f>
        <v>0.05</v>
      </c>
      <c r="AP1635" t="s">
        <v>167</v>
      </c>
      <c r="AQ1635" t="s">
        <v>238</v>
      </c>
      <c r="AR1635" t="s">
        <v>157</v>
      </c>
    </row>
    <row r="1636" spans="1:63" x14ac:dyDescent="0.25">
      <c r="A1636" t="s">
        <v>4198</v>
      </c>
      <c r="B1636" t="s">
        <v>148</v>
      </c>
      <c r="C1636" s="1">
        <v>45888</v>
      </c>
      <c r="D1636" t="s">
        <v>175</v>
      </c>
      <c r="E1636" t="s">
        <v>176</v>
      </c>
      <c r="F1636" t="s">
        <v>1332</v>
      </c>
      <c r="G1636" t="s">
        <v>2012</v>
      </c>
      <c r="H1636">
        <v>571</v>
      </c>
      <c r="I1636" t="s">
        <v>2012</v>
      </c>
      <c r="J1636">
        <v>376</v>
      </c>
      <c r="K1636" t="s">
        <v>5257</v>
      </c>
      <c r="L1636" t="s">
        <v>180</v>
      </c>
      <c r="M1636" t="s">
        <v>2013</v>
      </c>
      <c r="N1636" t="s">
        <v>2014</v>
      </c>
      <c r="O1636" t="s">
        <v>2015</v>
      </c>
      <c r="Q1636" t="s">
        <v>6510</v>
      </c>
      <c r="R1636">
        <f>1</f>
        <v>1</v>
      </c>
      <c r="S1636">
        <f>20.4</f>
        <v>20.399999999999999</v>
      </c>
      <c r="T1636">
        <f>7.8</f>
        <v>7.8</v>
      </c>
      <c r="U1636">
        <f>419</f>
        <v>419</v>
      </c>
      <c r="X1636">
        <f>0</f>
        <v>0</v>
      </c>
      <c r="Y1636" t="s">
        <v>157</v>
      </c>
      <c r="Z1636">
        <f>0</f>
        <v>0</v>
      </c>
      <c r="AA1636" t="s">
        <v>158</v>
      </c>
      <c r="AB1636" t="s">
        <v>158</v>
      </c>
      <c r="AC1636">
        <f>0</f>
        <v>0</v>
      </c>
      <c r="AD1636">
        <f>0</f>
        <v>0</v>
      </c>
      <c r="AE1636">
        <f>0</f>
        <v>0</v>
      </c>
      <c r="AH1636" t="s">
        <v>157</v>
      </c>
      <c r="AI1636">
        <f>0.9</f>
        <v>0.9</v>
      </c>
      <c r="AL1636" t="s">
        <v>164</v>
      </c>
      <c r="AM1636" t="s">
        <v>165</v>
      </c>
      <c r="AN1636">
        <f>4.2</f>
        <v>4.2</v>
      </c>
      <c r="AO1636">
        <f>0.08</f>
        <v>0.08</v>
      </c>
      <c r="AP1636">
        <f>5.6</f>
        <v>5.6</v>
      </c>
      <c r="AQ1636">
        <f>1.3</f>
        <v>1.3</v>
      </c>
      <c r="AR1636" t="s">
        <v>157</v>
      </c>
    </row>
    <row r="1637" spans="1:63" x14ac:dyDescent="0.25">
      <c r="A1637" t="s">
        <v>4199</v>
      </c>
      <c r="B1637" t="s">
        <v>148</v>
      </c>
      <c r="C1637" s="1">
        <v>45881</v>
      </c>
      <c r="D1637" t="s">
        <v>242</v>
      </c>
      <c r="E1637" t="s">
        <v>243</v>
      </c>
      <c r="F1637" t="s">
        <v>884</v>
      </c>
      <c r="G1637" t="s">
        <v>6579</v>
      </c>
      <c r="H1637">
        <v>1809</v>
      </c>
      <c r="I1637" t="s">
        <v>6708</v>
      </c>
      <c r="J1637">
        <v>280</v>
      </c>
      <c r="K1637" t="s">
        <v>5254</v>
      </c>
      <c r="L1637" t="s">
        <v>393</v>
      </c>
      <c r="M1637" t="s">
        <v>5519</v>
      </c>
      <c r="N1637" t="s">
        <v>6055</v>
      </c>
      <c r="O1637" t="s">
        <v>2131</v>
      </c>
      <c r="R1637">
        <f>1</f>
        <v>1</v>
      </c>
      <c r="S1637">
        <f>18.5</f>
        <v>18.5</v>
      </c>
      <c r="T1637">
        <f>7.7</f>
        <v>7.7</v>
      </c>
      <c r="U1637">
        <f>489</f>
        <v>489</v>
      </c>
      <c r="V1637">
        <f>0.2</f>
        <v>0.2</v>
      </c>
      <c r="X1637">
        <f>1</f>
        <v>1</v>
      </c>
      <c r="Y1637" t="s">
        <v>157</v>
      </c>
      <c r="Z1637">
        <f>0</f>
        <v>0</v>
      </c>
      <c r="AA1637" t="s">
        <v>158</v>
      </c>
      <c r="AB1637" t="s">
        <v>158</v>
      </c>
      <c r="AD1637">
        <f>0</f>
        <v>0</v>
      </c>
      <c r="AE1637">
        <f>0</f>
        <v>0</v>
      </c>
      <c r="AH1637" t="s">
        <v>157</v>
      </c>
    </row>
    <row r="1638" spans="1:63" x14ac:dyDescent="0.25">
      <c r="A1638" t="s">
        <v>4200</v>
      </c>
      <c r="B1638" t="s">
        <v>148</v>
      </c>
      <c r="C1638" s="1">
        <v>45896</v>
      </c>
      <c r="D1638" t="s">
        <v>175</v>
      </c>
      <c r="E1638" t="s">
        <v>176</v>
      </c>
      <c r="F1638" t="s">
        <v>4773</v>
      </c>
      <c r="G1638" t="s">
        <v>2140</v>
      </c>
      <c r="H1638">
        <v>1018</v>
      </c>
      <c r="I1638" t="s">
        <v>2141</v>
      </c>
      <c r="J1638">
        <v>326</v>
      </c>
      <c r="K1638" t="s">
        <v>5254</v>
      </c>
      <c r="L1638" t="s">
        <v>4966</v>
      </c>
      <c r="M1638" t="s">
        <v>5521</v>
      </c>
      <c r="N1638" t="s">
        <v>2142</v>
      </c>
      <c r="O1638" t="s">
        <v>2143</v>
      </c>
      <c r="Q1638" t="s">
        <v>1097</v>
      </c>
      <c r="R1638">
        <f>1</f>
        <v>1</v>
      </c>
      <c r="S1638">
        <f>20.5</f>
        <v>20.5</v>
      </c>
      <c r="T1638">
        <f>7.3</f>
        <v>7.3</v>
      </c>
      <c r="U1638">
        <f>597</f>
        <v>597</v>
      </c>
      <c r="X1638">
        <f>0</f>
        <v>0</v>
      </c>
      <c r="Y1638" t="s">
        <v>157</v>
      </c>
      <c r="Z1638">
        <f>0</f>
        <v>0</v>
      </c>
      <c r="AA1638" t="s">
        <v>158</v>
      </c>
      <c r="AB1638" t="s">
        <v>158</v>
      </c>
      <c r="AD1638">
        <f>0</f>
        <v>0</v>
      </c>
      <c r="AE1638">
        <f>0</f>
        <v>0</v>
      </c>
      <c r="AH1638" t="s">
        <v>157</v>
      </c>
    </row>
    <row r="1639" spans="1:63" x14ac:dyDescent="0.25">
      <c r="A1639" t="s">
        <v>4201</v>
      </c>
      <c r="B1639" t="s">
        <v>268</v>
      </c>
      <c r="C1639" s="1">
        <v>45880</v>
      </c>
      <c r="D1639" t="s">
        <v>311</v>
      </c>
      <c r="E1639" t="s">
        <v>312</v>
      </c>
      <c r="F1639" t="s">
        <v>1465</v>
      </c>
      <c r="G1639" t="s">
        <v>5522</v>
      </c>
      <c r="H1639">
        <v>1678</v>
      </c>
      <c r="I1639" t="s">
        <v>5522</v>
      </c>
      <c r="J1639">
        <v>240</v>
      </c>
      <c r="K1639" t="s">
        <v>5257</v>
      </c>
      <c r="M1639" t="s">
        <v>5523</v>
      </c>
      <c r="N1639" t="s">
        <v>2145</v>
      </c>
      <c r="O1639" t="s">
        <v>2146</v>
      </c>
      <c r="R1639">
        <f>1</f>
        <v>1</v>
      </c>
      <c r="S1639">
        <f>23.1</f>
        <v>23.1</v>
      </c>
      <c r="T1639">
        <f>6.5</f>
        <v>6.5</v>
      </c>
      <c r="U1639">
        <f>229</f>
        <v>229</v>
      </c>
      <c r="X1639">
        <f>0</f>
        <v>0</v>
      </c>
      <c r="Y1639" t="s">
        <v>157</v>
      </c>
      <c r="Z1639">
        <f>1</f>
        <v>1</v>
      </c>
      <c r="AA1639">
        <f>35</f>
        <v>35</v>
      </c>
      <c r="AB1639">
        <f>32</f>
        <v>32</v>
      </c>
      <c r="AC1639">
        <f>0</f>
        <v>0</v>
      </c>
      <c r="AD1639">
        <f>0</f>
        <v>0</v>
      </c>
      <c r="AE1639">
        <f>30</f>
        <v>30</v>
      </c>
      <c r="AH1639" t="s">
        <v>157</v>
      </c>
    </row>
    <row r="1640" spans="1:63" x14ac:dyDescent="0.25">
      <c r="A1640" t="s">
        <v>4202</v>
      </c>
      <c r="B1640" t="s">
        <v>148</v>
      </c>
      <c r="C1640" s="1">
        <v>45888</v>
      </c>
      <c r="D1640" t="s">
        <v>222</v>
      </c>
      <c r="E1640" t="s">
        <v>223</v>
      </c>
      <c r="F1640" t="s">
        <v>469</v>
      </c>
      <c r="G1640" t="s">
        <v>5170</v>
      </c>
      <c r="H1640">
        <v>418</v>
      </c>
      <c r="I1640" t="s">
        <v>5170</v>
      </c>
      <c r="J1640">
        <v>172</v>
      </c>
      <c r="K1640" t="s">
        <v>5257</v>
      </c>
      <c r="L1640" t="s">
        <v>393</v>
      </c>
      <c r="M1640" t="s">
        <v>5527</v>
      </c>
      <c r="N1640" t="s">
        <v>4823</v>
      </c>
      <c r="O1640" t="s">
        <v>2169</v>
      </c>
      <c r="R1640">
        <f>1</f>
        <v>1</v>
      </c>
      <c r="S1640">
        <f>22.1</f>
        <v>22.1</v>
      </c>
      <c r="T1640">
        <f>7.9</f>
        <v>7.9</v>
      </c>
      <c r="U1640">
        <f>354</f>
        <v>354</v>
      </c>
      <c r="V1640">
        <f>0.08</f>
        <v>0.08</v>
      </c>
      <c r="X1640">
        <f>1</f>
        <v>1</v>
      </c>
      <c r="Y1640">
        <f>0.16</f>
        <v>0.16</v>
      </c>
      <c r="Z1640">
        <f>0</f>
        <v>0</v>
      </c>
      <c r="AA1640">
        <f>0</f>
        <v>0</v>
      </c>
      <c r="AB1640">
        <f>2</f>
        <v>2</v>
      </c>
      <c r="AC1640">
        <f>0</f>
        <v>0</v>
      </c>
      <c r="AD1640">
        <f>0</f>
        <v>0</v>
      </c>
      <c r="AE1640">
        <f>0</f>
        <v>0</v>
      </c>
      <c r="AH1640" t="s">
        <v>166</v>
      </c>
    </row>
    <row r="1641" spans="1:63" x14ac:dyDescent="0.25">
      <c r="A1641" t="s">
        <v>4203</v>
      </c>
      <c r="B1641" t="s">
        <v>148</v>
      </c>
      <c r="C1641" s="1">
        <v>45810</v>
      </c>
      <c r="D1641" t="s">
        <v>269</v>
      </c>
      <c r="E1641" t="s">
        <v>270</v>
      </c>
      <c r="F1641" t="s">
        <v>271</v>
      </c>
      <c r="G1641" t="s">
        <v>272</v>
      </c>
      <c r="H1641">
        <v>132</v>
      </c>
      <c r="I1641" t="s">
        <v>272</v>
      </c>
      <c r="J1641">
        <v>22721</v>
      </c>
      <c r="K1641" t="s">
        <v>5257</v>
      </c>
      <c r="L1641" t="s">
        <v>154</v>
      </c>
      <c r="M1641" t="s">
        <v>6225</v>
      </c>
      <c r="N1641" t="s">
        <v>5073</v>
      </c>
      <c r="O1641" t="s">
        <v>4204</v>
      </c>
      <c r="R1641">
        <f>1</f>
        <v>1</v>
      </c>
      <c r="S1641">
        <f>18.8</f>
        <v>18.8</v>
      </c>
      <c r="T1641">
        <f>7.7</f>
        <v>7.7</v>
      </c>
      <c r="U1641">
        <f>435</f>
        <v>435</v>
      </c>
      <c r="V1641">
        <f>0.2</f>
        <v>0.2</v>
      </c>
      <c r="X1641">
        <f>0</f>
        <v>0</v>
      </c>
      <c r="Y1641" t="s">
        <v>207</v>
      </c>
      <c r="Z1641">
        <f>0</f>
        <v>0</v>
      </c>
      <c r="AA1641" t="s">
        <v>158</v>
      </c>
      <c r="AB1641" t="s">
        <v>158</v>
      </c>
      <c r="AC1641">
        <f>0</f>
        <v>0</v>
      </c>
      <c r="AD1641">
        <f>0</f>
        <v>0</v>
      </c>
      <c r="AE1641">
        <f>0</f>
        <v>0</v>
      </c>
      <c r="AH1641" t="s">
        <v>166</v>
      </c>
    </row>
    <row r="1642" spans="1:63" x14ac:dyDescent="0.25">
      <c r="A1642" t="s">
        <v>4205</v>
      </c>
      <c r="B1642" t="s">
        <v>148</v>
      </c>
      <c r="C1642" s="1">
        <v>45880</v>
      </c>
      <c r="D1642" t="s">
        <v>618</v>
      </c>
      <c r="E1642" t="s">
        <v>619</v>
      </c>
      <c r="F1642" t="s">
        <v>620</v>
      </c>
      <c r="G1642" t="s">
        <v>1080</v>
      </c>
      <c r="H1642">
        <v>45</v>
      </c>
      <c r="I1642" t="s">
        <v>2204</v>
      </c>
      <c r="J1642">
        <v>250</v>
      </c>
      <c r="K1642" t="s">
        <v>5254</v>
      </c>
      <c r="L1642" t="s">
        <v>180</v>
      </c>
      <c r="M1642" t="s">
        <v>2205</v>
      </c>
      <c r="N1642" t="s">
        <v>2206</v>
      </c>
      <c r="O1642" t="s">
        <v>2207</v>
      </c>
      <c r="R1642">
        <f>1</f>
        <v>1</v>
      </c>
      <c r="S1642">
        <f>18.1</f>
        <v>18.100000000000001</v>
      </c>
      <c r="T1642">
        <f>7.8</f>
        <v>7.8</v>
      </c>
      <c r="U1642">
        <f>459</f>
        <v>459</v>
      </c>
      <c r="X1642">
        <f>0</f>
        <v>0</v>
      </c>
      <c r="Y1642" t="s">
        <v>157</v>
      </c>
      <c r="Z1642">
        <f>0</f>
        <v>0</v>
      </c>
      <c r="AA1642" t="s">
        <v>158</v>
      </c>
      <c r="AB1642" t="s">
        <v>158</v>
      </c>
      <c r="AD1642">
        <f>0</f>
        <v>0</v>
      </c>
      <c r="AE1642">
        <f>0</f>
        <v>0</v>
      </c>
      <c r="AH1642" t="s">
        <v>157</v>
      </c>
    </row>
    <row r="1643" spans="1:63" x14ac:dyDescent="0.25">
      <c r="A1643" t="s">
        <v>4206</v>
      </c>
      <c r="B1643" t="s">
        <v>148</v>
      </c>
      <c r="C1643" s="1">
        <v>45898</v>
      </c>
      <c r="D1643" t="s">
        <v>175</v>
      </c>
      <c r="E1643" t="s">
        <v>176</v>
      </c>
      <c r="F1643" t="s">
        <v>556</v>
      </c>
      <c r="G1643" t="s">
        <v>557</v>
      </c>
      <c r="H1643">
        <v>1702</v>
      </c>
      <c r="I1643" t="s">
        <v>5831</v>
      </c>
      <c r="J1643">
        <v>37633</v>
      </c>
      <c r="K1643" t="s">
        <v>5254</v>
      </c>
      <c r="L1643" t="s">
        <v>180</v>
      </c>
      <c r="M1643" t="s">
        <v>590</v>
      </c>
      <c r="N1643" t="s">
        <v>591</v>
      </c>
      <c r="O1643" t="s">
        <v>592</v>
      </c>
      <c r="R1643">
        <f>1</f>
        <v>1</v>
      </c>
      <c r="S1643">
        <f>18.4</f>
        <v>18.399999999999999</v>
      </c>
      <c r="T1643">
        <f>7.4</f>
        <v>7.4</v>
      </c>
      <c r="U1643">
        <f>469</f>
        <v>469</v>
      </c>
      <c r="X1643">
        <f>0</f>
        <v>0</v>
      </c>
      <c r="Y1643" t="s">
        <v>157</v>
      </c>
      <c r="Z1643">
        <f>0</f>
        <v>0</v>
      </c>
      <c r="AA1643">
        <f>39</f>
        <v>39</v>
      </c>
      <c r="AB1643">
        <f>67</f>
        <v>67</v>
      </c>
      <c r="AD1643">
        <f>0</f>
        <v>0</v>
      </c>
      <c r="AE1643">
        <f>0</f>
        <v>0</v>
      </c>
      <c r="AH1643" t="s">
        <v>157</v>
      </c>
    </row>
    <row r="1644" spans="1:63" x14ac:dyDescent="0.25">
      <c r="A1644" t="s">
        <v>4207</v>
      </c>
      <c r="B1644" t="s">
        <v>148</v>
      </c>
      <c r="C1644" s="1">
        <v>45806</v>
      </c>
      <c r="D1644" t="s">
        <v>175</v>
      </c>
      <c r="E1644" t="s">
        <v>176</v>
      </c>
      <c r="F1644" t="s">
        <v>556</v>
      </c>
      <c r="G1644" t="s">
        <v>557</v>
      </c>
      <c r="H1644">
        <v>1709</v>
      </c>
      <c r="I1644" t="s">
        <v>6555</v>
      </c>
      <c r="J1644">
        <v>38347</v>
      </c>
      <c r="K1644" t="s">
        <v>5254</v>
      </c>
      <c r="L1644" t="s">
        <v>180</v>
      </c>
      <c r="M1644" t="s">
        <v>4962</v>
      </c>
      <c r="N1644" t="s">
        <v>5312</v>
      </c>
      <c r="O1644" t="s">
        <v>609</v>
      </c>
      <c r="Q1644" t="s">
        <v>6311</v>
      </c>
      <c r="R1644">
        <f>1</f>
        <v>1</v>
      </c>
      <c r="S1644">
        <f>15.3</f>
        <v>15.3</v>
      </c>
      <c r="T1644">
        <f>7.4</f>
        <v>7.4</v>
      </c>
      <c r="U1644">
        <f>541</f>
        <v>541</v>
      </c>
      <c r="X1644">
        <f>0</f>
        <v>0</v>
      </c>
      <c r="Y1644" t="s">
        <v>157</v>
      </c>
      <c r="Z1644">
        <f>0</f>
        <v>0</v>
      </c>
      <c r="AA1644" t="s">
        <v>158</v>
      </c>
      <c r="AB1644" t="s">
        <v>158</v>
      </c>
      <c r="AD1644">
        <f>0</f>
        <v>0</v>
      </c>
      <c r="AE1644">
        <f>0</f>
        <v>0</v>
      </c>
      <c r="AH1644" t="s">
        <v>157</v>
      </c>
      <c r="AI1644" t="s">
        <v>238</v>
      </c>
      <c r="AL1644" t="s">
        <v>164</v>
      </c>
      <c r="AM1644" t="s">
        <v>165</v>
      </c>
      <c r="AN1644">
        <f>19</f>
        <v>19</v>
      </c>
      <c r="AO1644">
        <f>0.38</f>
        <v>0.38</v>
      </c>
      <c r="AP1644">
        <f>18</f>
        <v>18</v>
      </c>
      <c r="AQ1644">
        <f>28</f>
        <v>28</v>
      </c>
      <c r="AR1644" t="s">
        <v>157</v>
      </c>
      <c r="AS1644">
        <f>17</f>
        <v>17</v>
      </c>
      <c r="AY1644" t="s">
        <v>167</v>
      </c>
      <c r="AZ1644" t="s">
        <v>158</v>
      </c>
      <c r="BA1644">
        <f>0.04</f>
        <v>0.04</v>
      </c>
      <c r="BB1644" t="s">
        <v>158</v>
      </c>
      <c r="BC1644" t="s">
        <v>166</v>
      </c>
      <c r="BD1644" t="s">
        <v>167</v>
      </c>
      <c r="BE1644">
        <f>0.005</f>
        <v>5.0000000000000001E-3</v>
      </c>
      <c r="BF1644" t="s">
        <v>168</v>
      </c>
      <c r="BG1644">
        <f>11</f>
        <v>11</v>
      </c>
      <c r="BH1644" t="s">
        <v>167</v>
      </c>
      <c r="BK1644">
        <f>0.55</f>
        <v>0.55000000000000004</v>
      </c>
    </row>
    <row r="1645" spans="1:63" x14ac:dyDescent="0.25">
      <c r="A1645" t="s">
        <v>4208</v>
      </c>
      <c r="B1645" t="s">
        <v>268</v>
      </c>
      <c r="C1645" s="1">
        <v>45889</v>
      </c>
      <c r="D1645" t="s">
        <v>222</v>
      </c>
      <c r="E1645" t="s">
        <v>223</v>
      </c>
      <c r="F1645" t="s">
        <v>4723</v>
      </c>
      <c r="G1645" t="s">
        <v>2224</v>
      </c>
      <c r="H1645">
        <v>415</v>
      </c>
      <c r="I1645" t="s">
        <v>2224</v>
      </c>
      <c r="J1645">
        <v>148</v>
      </c>
      <c r="K1645" t="s">
        <v>5257</v>
      </c>
      <c r="L1645" t="s">
        <v>431</v>
      </c>
      <c r="M1645" t="s">
        <v>6061</v>
      </c>
      <c r="N1645" t="s">
        <v>2225</v>
      </c>
      <c r="Q1645" t="s">
        <v>5532</v>
      </c>
      <c r="R1645">
        <f>1</f>
        <v>1</v>
      </c>
      <c r="S1645">
        <f>22</f>
        <v>22</v>
      </c>
      <c r="T1645">
        <f>7.4</f>
        <v>7.4</v>
      </c>
      <c r="U1645">
        <f>390</f>
        <v>390</v>
      </c>
      <c r="X1645">
        <f>1</f>
        <v>1</v>
      </c>
      <c r="Y1645">
        <f>0.21</f>
        <v>0.21</v>
      </c>
      <c r="Z1645">
        <f>0</f>
        <v>0</v>
      </c>
      <c r="AA1645">
        <f>0</f>
        <v>0</v>
      </c>
      <c r="AB1645">
        <f>0</f>
        <v>0</v>
      </c>
      <c r="AD1645">
        <f>0</f>
        <v>0</v>
      </c>
      <c r="AE1645">
        <f>3</f>
        <v>3</v>
      </c>
      <c r="AH1645" t="s">
        <v>166</v>
      </c>
    </row>
    <row r="1646" spans="1:63" x14ac:dyDescent="0.25">
      <c r="A1646" t="s">
        <v>4209</v>
      </c>
      <c r="B1646" t="s">
        <v>148</v>
      </c>
      <c r="C1646" s="1">
        <v>45790</v>
      </c>
      <c r="D1646" t="s">
        <v>149</v>
      </c>
      <c r="E1646" t="s">
        <v>150</v>
      </c>
      <c r="F1646" t="s">
        <v>613</v>
      </c>
      <c r="G1646" t="s">
        <v>6226</v>
      </c>
      <c r="H1646">
        <v>325</v>
      </c>
      <c r="I1646" t="s">
        <v>6226</v>
      </c>
      <c r="J1646">
        <v>130</v>
      </c>
      <c r="K1646" t="s">
        <v>5254</v>
      </c>
      <c r="L1646" t="s">
        <v>431</v>
      </c>
      <c r="M1646" t="s">
        <v>4210</v>
      </c>
      <c r="N1646" t="s">
        <v>4211</v>
      </c>
      <c r="R1646">
        <f>1</f>
        <v>1</v>
      </c>
      <c r="S1646">
        <f>14.2</f>
        <v>14.2</v>
      </c>
      <c r="T1646">
        <f>7.2</f>
        <v>7.2</v>
      </c>
      <c r="U1646">
        <f>525</f>
        <v>525</v>
      </c>
      <c r="X1646">
        <f>0</f>
        <v>0</v>
      </c>
      <c r="Y1646">
        <f>0.1</f>
        <v>0.1</v>
      </c>
      <c r="Z1646">
        <f>0</f>
        <v>0</v>
      </c>
      <c r="AA1646" t="s">
        <v>158</v>
      </c>
      <c r="AB1646" t="s">
        <v>158</v>
      </c>
      <c r="AD1646">
        <f>0</f>
        <v>0</v>
      </c>
      <c r="AE1646">
        <f>0</f>
        <v>0</v>
      </c>
      <c r="AH1646" t="s">
        <v>157</v>
      </c>
    </row>
    <row r="1647" spans="1:63" x14ac:dyDescent="0.25">
      <c r="A1647" t="s">
        <v>4212</v>
      </c>
      <c r="B1647" t="s">
        <v>148</v>
      </c>
      <c r="C1647" s="1">
        <v>45726</v>
      </c>
      <c r="D1647" t="s">
        <v>149</v>
      </c>
      <c r="E1647" t="s">
        <v>150</v>
      </c>
      <c r="F1647" t="s">
        <v>4916</v>
      </c>
      <c r="G1647" t="s">
        <v>4213</v>
      </c>
      <c r="H1647">
        <v>616</v>
      </c>
      <c r="I1647" t="s">
        <v>4213</v>
      </c>
      <c r="J1647">
        <v>220</v>
      </c>
      <c r="K1647" t="s">
        <v>5254</v>
      </c>
      <c r="L1647" t="s">
        <v>431</v>
      </c>
      <c r="M1647" t="s">
        <v>4917</v>
      </c>
      <c r="N1647" t="s">
        <v>4214</v>
      </c>
      <c r="O1647" t="s">
        <v>4215</v>
      </c>
      <c r="R1647">
        <f>1</f>
        <v>1</v>
      </c>
      <c r="S1647">
        <f>9</f>
        <v>9</v>
      </c>
      <c r="T1647">
        <f>7.1</f>
        <v>7.1</v>
      </c>
      <c r="U1647">
        <f>338</f>
        <v>338</v>
      </c>
      <c r="V1647" t="s">
        <v>157</v>
      </c>
      <c r="X1647">
        <f>0</f>
        <v>0</v>
      </c>
      <c r="Y1647">
        <f>0.1</f>
        <v>0.1</v>
      </c>
      <c r="Z1647">
        <f>0</f>
        <v>0</v>
      </c>
      <c r="AA1647" t="s">
        <v>158</v>
      </c>
      <c r="AB1647" t="s">
        <v>158</v>
      </c>
      <c r="AD1647">
        <f>0</f>
        <v>0</v>
      </c>
      <c r="AE1647">
        <f>0</f>
        <v>0</v>
      </c>
      <c r="AH1647" t="s">
        <v>157</v>
      </c>
    </row>
    <row r="1648" spans="1:63" x14ac:dyDescent="0.25">
      <c r="A1648" t="s">
        <v>4216</v>
      </c>
      <c r="B1648" t="s">
        <v>148</v>
      </c>
      <c r="C1648" s="1">
        <v>45733</v>
      </c>
      <c r="D1648" t="s">
        <v>269</v>
      </c>
      <c r="E1648" t="s">
        <v>270</v>
      </c>
      <c r="F1648" t="s">
        <v>271</v>
      </c>
      <c r="G1648" t="s">
        <v>4217</v>
      </c>
      <c r="H1648">
        <v>188</v>
      </c>
      <c r="I1648" t="s">
        <v>4217</v>
      </c>
      <c r="J1648">
        <v>163</v>
      </c>
      <c r="K1648" t="s">
        <v>5257</v>
      </c>
      <c r="L1648" t="s">
        <v>4947</v>
      </c>
      <c r="M1648" t="s">
        <v>5723</v>
      </c>
      <c r="N1648" t="s">
        <v>4218</v>
      </c>
      <c r="O1648" t="s">
        <v>4219</v>
      </c>
      <c r="R1648">
        <f>1</f>
        <v>1</v>
      </c>
      <c r="S1648">
        <f>8.8</f>
        <v>8.8000000000000007</v>
      </c>
      <c r="T1648">
        <f>7.5</f>
        <v>7.5</v>
      </c>
      <c r="U1648">
        <f>428</f>
        <v>428</v>
      </c>
      <c r="V1648">
        <f>0.32</f>
        <v>0.32</v>
      </c>
      <c r="X1648">
        <f>0</f>
        <v>0</v>
      </c>
      <c r="Y1648">
        <f>0.22</f>
        <v>0.22</v>
      </c>
      <c r="Z1648">
        <f>0</f>
        <v>0</v>
      </c>
      <c r="AA1648" t="s">
        <v>158</v>
      </c>
      <c r="AB1648" t="s">
        <v>158</v>
      </c>
      <c r="AC1648">
        <f>0</f>
        <v>0</v>
      </c>
      <c r="AD1648">
        <f>0</f>
        <v>0</v>
      </c>
      <c r="AE1648">
        <f>0</f>
        <v>0</v>
      </c>
    </row>
    <row r="1649" spans="1:34" x14ac:dyDescent="0.25">
      <c r="A1649" t="s">
        <v>4220</v>
      </c>
      <c r="B1649" t="s">
        <v>148</v>
      </c>
      <c r="C1649" s="1">
        <v>45754</v>
      </c>
      <c r="D1649" t="s">
        <v>175</v>
      </c>
      <c r="E1649" t="s">
        <v>176</v>
      </c>
      <c r="F1649" t="s">
        <v>343</v>
      </c>
      <c r="G1649" t="s">
        <v>4221</v>
      </c>
      <c r="H1649">
        <v>347</v>
      </c>
      <c r="I1649" t="s">
        <v>4221</v>
      </c>
      <c r="J1649">
        <v>180</v>
      </c>
      <c r="K1649" t="s">
        <v>5257</v>
      </c>
      <c r="L1649" t="s">
        <v>431</v>
      </c>
      <c r="M1649" t="s">
        <v>4222</v>
      </c>
      <c r="N1649" t="s">
        <v>4223</v>
      </c>
      <c r="O1649" t="s">
        <v>4224</v>
      </c>
      <c r="Q1649" t="s">
        <v>6372</v>
      </c>
      <c r="R1649">
        <f>1</f>
        <v>1</v>
      </c>
      <c r="S1649">
        <f>11.5</f>
        <v>11.5</v>
      </c>
      <c r="T1649">
        <f>7.6</f>
        <v>7.6</v>
      </c>
      <c r="U1649">
        <f>57</f>
        <v>57</v>
      </c>
      <c r="V1649">
        <f>0.14</f>
        <v>0.14000000000000001</v>
      </c>
      <c r="X1649">
        <f>0</f>
        <v>0</v>
      </c>
      <c r="Y1649">
        <f>0.13</f>
        <v>0.13</v>
      </c>
      <c r="Z1649">
        <f>0</f>
        <v>0</v>
      </c>
      <c r="AA1649">
        <f>0</f>
        <v>0</v>
      </c>
      <c r="AB1649">
        <f>0</f>
        <v>0</v>
      </c>
      <c r="AC1649">
        <f>0</f>
        <v>0</v>
      </c>
      <c r="AD1649">
        <f>0</f>
        <v>0</v>
      </c>
      <c r="AE1649">
        <f>0</f>
        <v>0</v>
      </c>
      <c r="AH1649" t="s">
        <v>157</v>
      </c>
    </row>
    <row r="1650" spans="1:34" x14ac:dyDescent="0.25">
      <c r="A1650" t="s">
        <v>4225</v>
      </c>
      <c r="B1650" t="s">
        <v>148</v>
      </c>
      <c r="C1650" s="1">
        <v>45748</v>
      </c>
      <c r="D1650" t="s">
        <v>175</v>
      </c>
      <c r="E1650" t="s">
        <v>270</v>
      </c>
      <c r="F1650" t="s">
        <v>354</v>
      </c>
      <c r="G1650" t="s">
        <v>6822</v>
      </c>
      <c r="H1650">
        <v>679</v>
      </c>
      <c r="I1650" t="s">
        <v>6822</v>
      </c>
      <c r="J1650">
        <v>168</v>
      </c>
      <c r="K1650" t="s">
        <v>5257</v>
      </c>
      <c r="L1650" t="s">
        <v>4947</v>
      </c>
      <c r="M1650" t="s">
        <v>4226</v>
      </c>
      <c r="N1650" t="s">
        <v>4227</v>
      </c>
      <c r="O1650" t="s">
        <v>4228</v>
      </c>
      <c r="R1650">
        <f>1</f>
        <v>1</v>
      </c>
      <c r="S1650">
        <f>10.5</f>
        <v>10.5</v>
      </c>
      <c r="T1650">
        <f>7.8</f>
        <v>7.8</v>
      </c>
      <c r="U1650">
        <f>559</f>
        <v>559</v>
      </c>
      <c r="X1650">
        <f>0</f>
        <v>0</v>
      </c>
      <c r="Y1650">
        <f>0.13</f>
        <v>0.13</v>
      </c>
      <c r="Z1650">
        <f>0</f>
        <v>0</v>
      </c>
      <c r="AA1650" t="s">
        <v>158</v>
      </c>
      <c r="AB1650" t="s">
        <v>158</v>
      </c>
      <c r="AC1650">
        <f>0</f>
        <v>0</v>
      </c>
      <c r="AD1650">
        <f>0</f>
        <v>0</v>
      </c>
      <c r="AE1650">
        <f>0</f>
        <v>0</v>
      </c>
    </row>
    <row r="1651" spans="1:34" x14ac:dyDescent="0.25">
      <c r="A1651" t="s">
        <v>4229</v>
      </c>
      <c r="B1651" t="s">
        <v>148</v>
      </c>
      <c r="C1651" s="1">
        <v>45758</v>
      </c>
      <c r="D1651" t="s">
        <v>222</v>
      </c>
      <c r="E1651" t="s">
        <v>223</v>
      </c>
      <c r="F1651" t="s">
        <v>469</v>
      </c>
      <c r="G1651" t="s">
        <v>2266</v>
      </c>
      <c r="H1651">
        <v>414</v>
      </c>
      <c r="I1651" t="s">
        <v>2266</v>
      </c>
      <c r="J1651">
        <v>126</v>
      </c>
      <c r="K1651" t="s">
        <v>5257</v>
      </c>
      <c r="L1651" t="s">
        <v>431</v>
      </c>
      <c r="M1651" t="s">
        <v>790</v>
      </c>
      <c r="N1651" t="s">
        <v>5540</v>
      </c>
      <c r="O1651" t="s">
        <v>2267</v>
      </c>
      <c r="R1651">
        <f>1</f>
        <v>1</v>
      </c>
      <c r="S1651">
        <f>10.3</f>
        <v>10.3</v>
      </c>
      <c r="T1651">
        <f>8.2</f>
        <v>8.1999999999999993</v>
      </c>
      <c r="U1651">
        <f>210</f>
        <v>210</v>
      </c>
      <c r="X1651">
        <f>1</f>
        <v>1</v>
      </c>
      <c r="Y1651">
        <f>0.15</f>
        <v>0.15</v>
      </c>
      <c r="Z1651">
        <f>0</f>
        <v>0</v>
      </c>
      <c r="AA1651">
        <f>0</f>
        <v>0</v>
      </c>
      <c r="AB1651">
        <f>5</f>
        <v>5</v>
      </c>
      <c r="AC1651">
        <f>0</f>
        <v>0</v>
      </c>
      <c r="AD1651">
        <f>0</f>
        <v>0</v>
      </c>
      <c r="AE1651">
        <f>0</f>
        <v>0</v>
      </c>
      <c r="AH1651" t="s">
        <v>166</v>
      </c>
    </row>
    <row r="1652" spans="1:34" x14ac:dyDescent="0.25">
      <c r="A1652" t="s">
        <v>4230</v>
      </c>
      <c r="B1652" t="s">
        <v>148</v>
      </c>
      <c r="C1652" s="1">
        <v>45734</v>
      </c>
      <c r="D1652" t="s">
        <v>175</v>
      </c>
      <c r="E1652" t="s">
        <v>270</v>
      </c>
      <c r="F1652" t="s">
        <v>354</v>
      </c>
      <c r="G1652" t="s">
        <v>4231</v>
      </c>
      <c r="H1652">
        <v>685</v>
      </c>
      <c r="I1652" t="s">
        <v>4231</v>
      </c>
      <c r="J1652">
        <v>304</v>
      </c>
      <c r="K1652" t="s">
        <v>5257</v>
      </c>
      <c r="L1652" t="s">
        <v>431</v>
      </c>
      <c r="M1652" t="s">
        <v>4918</v>
      </c>
      <c r="N1652" t="s">
        <v>4232</v>
      </c>
      <c r="O1652" t="s">
        <v>4233</v>
      </c>
      <c r="R1652">
        <f>1</f>
        <v>1</v>
      </c>
      <c r="S1652">
        <f>8.6</f>
        <v>8.6</v>
      </c>
      <c r="T1652">
        <f>7.9</f>
        <v>7.9</v>
      </c>
      <c r="U1652">
        <f>387</f>
        <v>387</v>
      </c>
      <c r="X1652">
        <f>0</f>
        <v>0</v>
      </c>
      <c r="Y1652" t="s">
        <v>207</v>
      </c>
      <c r="Z1652">
        <f>0</f>
        <v>0</v>
      </c>
      <c r="AA1652" t="s">
        <v>158</v>
      </c>
      <c r="AB1652" t="s">
        <v>158</v>
      </c>
      <c r="AC1652">
        <f>0</f>
        <v>0</v>
      </c>
      <c r="AD1652">
        <f>0</f>
        <v>0</v>
      </c>
      <c r="AE1652">
        <f>0</f>
        <v>0</v>
      </c>
    </row>
    <row r="1653" spans="1:34" x14ac:dyDescent="0.25">
      <c r="A1653" t="s">
        <v>4234</v>
      </c>
      <c r="B1653" t="s">
        <v>148</v>
      </c>
      <c r="C1653" s="1">
        <v>45798</v>
      </c>
      <c r="D1653" t="s">
        <v>175</v>
      </c>
      <c r="E1653" t="s">
        <v>176</v>
      </c>
      <c r="F1653" t="s">
        <v>556</v>
      </c>
      <c r="G1653" t="s">
        <v>2272</v>
      </c>
      <c r="H1653">
        <v>345</v>
      </c>
      <c r="I1653" t="s">
        <v>2273</v>
      </c>
      <c r="J1653">
        <v>204</v>
      </c>
      <c r="K1653" t="s">
        <v>5331</v>
      </c>
      <c r="L1653" t="s">
        <v>393</v>
      </c>
      <c r="M1653" t="s">
        <v>5541</v>
      </c>
      <c r="N1653" t="s">
        <v>2274</v>
      </c>
      <c r="O1653" t="s">
        <v>2275</v>
      </c>
      <c r="Q1653" t="s">
        <v>6446</v>
      </c>
      <c r="R1653">
        <f>1</f>
        <v>1</v>
      </c>
      <c r="S1653">
        <f>13.1</f>
        <v>13.1</v>
      </c>
      <c r="T1653">
        <f>7.1</f>
        <v>7.1</v>
      </c>
      <c r="U1653">
        <f>196</f>
        <v>196</v>
      </c>
      <c r="V1653">
        <f>0.16</f>
        <v>0.16</v>
      </c>
      <c r="X1653">
        <f>0</f>
        <v>0</v>
      </c>
      <c r="Y1653">
        <f>0.1</f>
        <v>0.1</v>
      </c>
      <c r="Z1653">
        <f>0</f>
        <v>0</v>
      </c>
      <c r="AA1653" t="s">
        <v>158</v>
      </c>
      <c r="AB1653" t="s">
        <v>158</v>
      </c>
      <c r="AC1653">
        <f>0</f>
        <v>0</v>
      </c>
      <c r="AD1653">
        <f>0</f>
        <v>0</v>
      </c>
      <c r="AE1653">
        <f>0</f>
        <v>0</v>
      </c>
      <c r="AH1653" t="s">
        <v>157</v>
      </c>
    </row>
    <row r="1654" spans="1:34" x14ac:dyDescent="0.25">
      <c r="A1654" t="s">
        <v>4235</v>
      </c>
      <c r="B1654" t="s">
        <v>148</v>
      </c>
      <c r="C1654" s="1">
        <v>45728</v>
      </c>
      <c r="D1654" t="s">
        <v>618</v>
      </c>
      <c r="E1654" t="s">
        <v>619</v>
      </c>
      <c r="F1654" t="s">
        <v>730</v>
      </c>
      <c r="G1654" t="s">
        <v>4236</v>
      </c>
      <c r="H1654">
        <v>973</v>
      </c>
      <c r="I1654" t="s">
        <v>4236</v>
      </c>
      <c r="J1654">
        <v>150</v>
      </c>
      <c r="K1654" t="s">
        <v>5254</v>
      </c>
      <c r="L1654" t="s">
        <v>431</v>
      </c>
      <c r="M1654" t="s">
        <v>6227</v>
      </c>
      <c r="N1654" t="s">
        <v>4237</v>
      </c>
      <c r="O1654" t="s">
        <v>4238</v>
      </c>
      <c r="R1654">
        <f>1</f>
        <v>1</v>
      </c>
      <c r="S1654">
        <f>7.4</f>
        <v>7.4</v>
      </c>
      <c r="T1654">
        <f>7.8</f>
        <v>7.8</v>
      </c>
      <c r="U1654">
        <f>352</f>
        <v>352</v>
      </c>
      <c r="X1654">
        <f>0</f>
        <v>0</v>
      </c>
      <c r="Y1654">
        <f>0.1</f>
        <v>0.1</v>
      </c>
      <c r="Z1654">
        <f>0</f>
        <v>0</v>
      </c>
      <c r="AA1654" t="s">
        <v>158</v>
      </c>
      <c r="AB1654" t="s">
        <v>158</v>
      </c>
      <c r="AD1654">
        <f>0</f>
        <v>0</v>
      </c>
      <c r="AE1654">
        <f>0</f>
        <v>0</v>
      </c>
      <c r="AH1654" t="s">
        <v>157</v>
      </c>
    </row>
    <row r="1655" spans="1:34" x14ac:dyDescent="0.25">
      <c r="A1655" t="s">
        <v>4239</v>
      </c>
      <c r="B1655" t="s">
        <v>148</v>
      </c>
      <c r="C1655" s="1">
        <v>45743</v>
      </c>
      <c r="D1655" t="s">
        <v>175</v>
      </c>
      <c r="E1655" t="s">
        <v>649</v>
      </c>
      <c r="F1655" t="s">
        <v>2477</v>
      </c>
      <c r="G1655" t="s">
        <v>6228</v>
      </c>
      <c r="H1655">
        <v>981</v>
      </c>
      <c r="I1655" t="s">
        <v>6228</v>
      </c>
      <c r="J1655">
        <v>167</v>
      </c>
      <c r="K1655" t="s">
        <v>5254</v>
      </c>
      <c r="L1655" t="s">
        <v>431</v>
      </c>
      <c r="M1655" t="s">
        <v>6229</v>
      </c>
      <c r="N1655" t="s">
        <v>5724</v>
      </c>
      <c r="O1655" t="s">
        <v>4240</v>
      </c>
      <c r="R1655">
        <f>1</f>
        <v>1</v>
      </c>
      <c r="S1655">
        <f>10</f>
        <v>10</v>
      </c>
      <c r="T1655">
        <f>7.6</f>
        <v>7.6</v>
      </c>
      <c r="U1655">
        <f>522</f>
        <v>522</v>
      </c>
      <c r="X1655">
        <f>0</f>
        <v>0</v>
      </c>
      <c r="Y1655" t="s">
        <v>157</v>
      </c>
      <c r="Z1655">
        <f>0</f>
        <v>0</v>
      </c>
      <c r="AA1655" t="s">
        <v>158</v>
      </c>
      <c r="AB1655" t="s">
        <v>158</v>
      </c>
      <c r="AD1655">
        <f>0</f>
        <v>0</v>
      </c>
      <c r="AE1655">
        <f>0</f>
        <v>0</v>
      </c>
      <c r="AH1655" t="s">
        <v>157</v>
      </c>
    </row>
    <row r="1656" spans="1:34" x14ac:dyDescent="0.25">
      <c r="A1656" t="s">
        <v>4241</v>
      </c>
      <c r="B1656" t="s">
        <v>148</v>
      </c>
      <c r="C1656" s="1">
        <v>45733</v>
      </c>
      <c r="D1656" t="s">
        <v>175</v>
      </c>
      <c r="E1656" t="s">
        <v>176</v>
      </c>
      <c r="F1656" t="s">
        <v>6615</v>
      </c>
      <c r="G1656" t="s">
        <v>4242</v>
      </c>
      <c r="H1656">
        <v>584</v>
      </c>
      <c r="I1656" t="s">
        <v>4242</v>
      </c>
      <c r="J1656">
        <v>166</v>
      </c>
      <c r="K1656" t="s">
        <v>5257</v>
      </c>
      <c r="L1656" t="s">
        <v>4947</v>
      </c>
      <c r="M1656" t="s">
        <v>4243</v>
      </c>
      <c r="N1656" t="s">
        <v>4244</v>
      </c>
      <c r="O1656" t="s">
        <v>4245</v>
      </c>
      <c r="R1656">
        <f>1</f>
        <v>1</v>
      </c>
      <c r="S1656">
        <f>7.9</f>
        <v>7.9</v>
      </c>
      <c r="T1656">
        <f>7.9</f>
        <v>7.9</v>
      </c>
      <c r="U1656">
        <f>371</f>
        <v>371</v>
      </c>
      <c r="X1656">
        <f>0</f>
        <v>0</v>
      </c>
      <c r="Y1656">
        <f>0.2</f>
        <v>0.2</v>
      </c>
      <c r="Z1656">
        <f>0</f>
        <v>0</v>
      </c>
      <c r="AA1656" t="s">
        <v>158</v>
      </c>
      <c r="AB1656" t="s">
        <v>158</v>
      </c>
      <c r="AC1656">
        <f>0</f>
        <v>0</v>
      </c>
      <c r="AD1656">
        <f>0</f>
        <v>0</v>
      </c>
      <c r="AE1656">
        <f>0</f>
        <v>0</v>
      </c>
    </row>
    <row r="1657" spans="1:34" x14ac:dyDescent="0.25">
      <c r="A1657" t="s">
        <v>4246</v>
      </c>
      <c r="B1657" t="s">
        <v>148</v>
      </c>
      <c r="C1657" s="1">
        <v>45754</v>
      </c>
      <c r="D1657" t="s">
        <v>175</v>
      </c>
      <c r="E1657" t="s">
        <v>176</v>
      </c>
      <c r="F1657" t="s">
        <v>343</v>
      </c>
      <c r="G1657" t="s">
        <v>6823</v>
      </c>
      <c r="H1657">
        <v>1099</v>
      </c>
      <c r="I1657" t="s">
        <v>6823</v>
      </c>
      <c r="J1657">
        <v>300</v>
      </c>
      <c r="K1657" t="s">
        <v>5257</v>
      </c>
      <c r="L1657" t="s">
        <v>431</v>
      </c>
      <c r="M1657" t="s">
        <v>5725</v>
      </c>
      <c r="N1657" t="s">
        <v>4919</v>
      </c>
      <c r="O1657" t="s">
        <v>4247</v>
      </c>
      <c r="Q1657" t="s">
        <v>347</v>
      </c>
      <c r="R1657">
        <f>1</f>
        <v>1</v>
      </c>
      <c r="S1657">
        <f>10.4</f>
        <v>10.4</v>
      </c>
      <c r="T1657">
        <f>8</f>
        <v>8</v>
      </c>
      <c r="U1657">
        <f>272</f>
        <v>272</v>
      </c>
      <c r="X1657">
        <f>0</f>
        <v>0</v>
      </c>
      <c r="Y1657">
        <f>0.19</f>
        <v>0.19</v>
      </c>
      <c r="Z1657">
        <f>0</f>
        <v>0</v>
      </c>
      <c r="AA1657">
        <f>0</f>
        <v>0</v>
      </c>
      <c r="AB1657">
        <f>6</f>
        <v>6</v>
      </c>
      <c r="AC1657">
        <f>0</f>
        <v>0</v>
      </c>
      <c r="AD1657">
        <f>0</f>
        <v>0</v>
      </c>
      <c r="AE1657">
        <f>0</f>
        <v>0</v>
      </c>
      <c r="AH1657" t="s">
        <v>157</v>
      </c>
    </row>
    <row r="1658" spans="1:34" x14ac:dyDescent="0.25">
      <c r="A1658" t="s">
        <v>4248</v>
      </c>
      <c r="B1658" t="s">
        <v>148</v>
      </c>
      <c r="C1658" s="1">
        <v>45754</v>
      </c>
      <c r="D1658" t="s">
        <v>242</v>
      </c>
      <c r="E1658" t="s">
        <v>295</v>
      </c>
      <c r="F1658" t="s">
        <v>6577</v>
      </c>
      <c r="G1658" t="s">
        <v>4249</v>
      </c>
      <c r="H1658">
        <v>1131</v>
      </c>
      <c r="I1658" t="s">
        <v>4249</v>
      </c>
      <c r="J1658">
        <v>150</v>
      </c>
      <c r="K1658" t="s">
        <v>5254</v>
      </c>
      <c r="L1658" t="s">
        <v>431</v>
      </c>
      <c r="M1658" t="s">
        <v>5726</v>
      </c>
      <c r="N1658" t="s">
        <v>4920</v>
      </c>
      <c r="O1658" t="s">
        <v>4250</v>
      </c>
      <c r="R1658">
        <f>1</f>
        <v>1</v>
      </c>
      <c r="S1658">
        <f>10.8</f>
        <v>10.8</v>
      </c>
      <c r="T1658">
        <f>7.8</f>
        <v>7.8</v>
      </c>
      <c r="U1658">
        <f>378</f>
        <v>378</v>
      </c>
      <c r="V1658">
        <f>0.23</f>
        <v>0.23</v>
      </c>
      <c r="X1658">
        <f>1</f>
        <v>1</v>
      </c>
      <c r="Y1658" t="s">
        <v>157</v>
      </c>
      <c r="Z1658">
        <f>0</f>
        <v>0</v>
      </c>
      <c r="AA1658" t="s">
        <v>158</v>
      </c>
      <c r="AB1658" t="s">
        <v>158</v>
      </c>
      <c r="AD1658">
        <f>0</f>
        <v>0</v>
      </c>
      <c r="AE1658">
        <f>0</f>
        <v>0</v>
      </c>
      <c r="AH1658" t="s">
        <v>157</v>
      </c>
    </row>
    <row r="1659" spans="1:34" x14ac:dyDescent="0.25">
      <c r="A1659" t="s">
        <v>4251</v>
      </c>
      <c r="B1659" t="s">
        <v>148</v>
      </c>
      <c r="C1659" s="1">
        <v>45734</v>
      </c>
      <c r="D1659" t="s">
        <v>242</v>
      </c>
      <c r="E1659" t="s">
        <v>243</v>
      </c>
      <c r="F1659" t="s">
        <v>5284</v>
      </c>
      <c r="G1659" t="s">
        <v>4252</v>
      </c>
      <c r="H1659">
        <v>1150</v>
      </c>
      <c r="I1659" t="s">
        <v>4252</v>
      </c>
      <c r="J1659">
        <v>192</v>
      </c>
      <c r="K1659" t="s">
        <v>5257</v>
      </c>
      <c r="L1659" t="s">
        <v>393</v>
      </c>
      <c r="M1659" t="s">
        <v>4921</v>
      </c>
      <c r="N1659" t="s">
        <v>4253</v>
      </c>
      <c r="O1659" t="s">
        <v>4254</v>
      </c>
      <c r="R1659">
        <f>1</f>
        <v>1</v>
      </c>
      <c r="S1659">
        <f>11</f>
        <v>11</v>
      </c>
      <c r="T1659">
        <f>7.7</f>
        <v>7.7</v>
      </c>
      <c r="U1659">
        <f>505</f>
        <v>505</v>
      </c>
      <c r="V1659">
        <f>0.07</f>
        <v>7.0000000000000007E-2</v>
      </c>
      <c r="X1659">
        <f>0</f>
        <v>0</v>
      </c>
      <c r="Y1659" t="s">
        <v>157</v>
      </c>
      <c r="Z1659">
        <f>0</f>
        <v>0</v>
      </c>
      <c r="AA1659" t="s">
        <v>158</v>
      </c>
      <c r="AB1659" t="s">
        <v>158</v>
      </c>
      <c r="AC1659">
        <f>0</f>
        <v>0</v>
      </c>
      <c r="AD1659">
        <f>0</f>
        <v>0</v>
      </c>
      <c r="AE1659">
        <f>0</f>
        <v>0</v>
      </c>
      <c r="AH1659" t="s">
        <v>157</v>
      </c>
    </row>
    <row r="1660" spans="1:34" x14ac:dyDescent="0.25">
      <c r="A1660" t="s">
        <v>4255</v>
      </c>
      <c r="B1660" t="s">
        <v>268</v>
      </c>
      <c r="C1660" s="1">
        <v>45734</v>
      </c>
      <c r="D1660" t="s">
        <v>175</v>
      </c>
      <c r="E1660" t="s">
        <v>270</v>
      </c>
      <c r="F1660" t="s">
        <v>4256</v>
      </c>
      <c r="G1660" t="s">
        <v>4257</v>
      </c>
      <c r="H1660">
        <v>1158</v>
      </c>
      <c r="I1660" t="s">
        <v>4257</v>
      </c>
      <c r="J1660">
        <v>262</v>
      </c>
      <c r="K1660" t="s">
        <v>5257</v>
      </c>
      <c r="L1660" t="s">
        <v>431</v>
      </c>
      <c r="M1660" t="s">
        <v>4258</v>
      </c>
      <c r="N1660" t="s">
        <v>4259</v>
      </c>
      <c r="O1660" t="s">
        <v>4260</v>
      </c>
      <c r="R1660">
        <f>1</f>
        <v>1</v>
      </c>
      <c r="S1660">
        <f>6.9</f>
        <v>6.9</v>
      </c>
      <c r="T1660">
        <f>7.9</f>
        <v>7.9</v>
      </c>
      <c r="U1660">
        <f>391</f>
        <v>391</v>
      </c>
      <c r="V1660">
        <f>0.04</f>
        <v>0.04</v>
      </c>
      <c r="X1660">
        <f>0</f>
        <v>0</v>
      </c>
      <c r="Y1660">
        <f>6.13</f>
        <v>6.13</v>
      </c>
      <c r="Z1660">
        <f>0</f>
        <v>0</v>
      </c>
      <c r="AA1660">
        <f>134</f>
        <v>134</v>
      </c>
      <c r="AB1660">
        <f>42</f>
        <v>42</v>
      </c>
      <c r="AC1660">
        <f>13</f>
        <v>13</v>
      </c>
      <c r="AD1660">
        <f>0</f>
        <v>0</v>
      </c>
      <c r="AE1660">
        <f>0</f>
        <v>0</v>
      </c>
    </row>
    <row r="1661" spans="1:34" x14ac:dyDescent="0.25">
      <c r="A1661" t="s">
        <v>4261</v>
      </c>
      <c r="B1661" t="s">
        <v>148</v>
      </c>
      <c r="C1661" s="1">
        <v>45749</v>
      </c>
      <c r="D1661" t="s">
        <v>269</v>
      </c>
      <c r="E1661" t="s">
        <v>270</v>
      </c>
      <c r="F1661" t="s">
        <v>6531</v>
      </c>
      <c r="G1661" t="s">
        <v>6824</v>
      </c>
      <c r="H1661">
        <v>144</v>
      </c>
      <c r="I1661" t="s">
        <v>6825</v>
      </c>
      <c r="J1661">
        <v>190</v>
      </c>
      <c r="K1661" t="s">
        <v>5257</v>
      </c>
      <c r="L1661" t="s">
        <v>431</v>
      </c>
      <c r="M1661" t="s">
        <v>6826</v>
      </c>
      <c r="N1661" t="s">
        <v>6827</v>
      </c>
      <c r="O1661" t="s">
        <v>4262</v>
      </c>
      <c r="R1661">
        <f>1</f>
        <v>1</v>
      </c>
      <c r="S1661">
        <f>9.7</f>
        <v>9.6999999999999993</v>
      </c>
      <c r="T1661">
        <f>7.5</f>
        <v>7.5</v>
      </c>
      <c r="U1661">
        <f>497</f>
        <v>497</v>
      </c>
      <c r="X1661">
        <f>0</f>
        <v>0</v>
      </c>
      <c r="Y1661">
        <f>0.11</f>
        <v>0.11</v>
      </c>
      <c r="Z1661">
        <f>0</f>
        <v>0</v>
      </c>
      <c r="AA1661" t="s">
        <v>158</v>
      </c>
      <c r="AB1661" t="s">
        <v>158</v>
      </c>
      <c r="AC1661">
        <f>0</f>
        <v>0</v>
      </c>
      <c r="AD1661">
        <f>0</f>
        <v>0</v>
      </c>
      <c r="AE1661">
        <f>0</f>
        <v>0</v>
      </c>
    </row>
    <row r="1662" spans="1:34" x14ac:dyDescent="0.25">
      <c r="A1662" t="s">
        <v>4263</v>
      </c>
      <c r="B1662" t="s">
        <v>148</v>
      </c>
      <c r="C1662" s="1">
        <v>45729</v>
      </c>
      <c r="D1662" t="s">
        <v>242</v>
      </c>
      <c r="E1662" t="s">
        <v>243</v>
      </c>
      <c r="F1662" t="s">
        <v>5349</v>
      </c>
      <c r="G1662" t="s">
        <v>4264</v>
      </c>
      <c r="H1662">
        <v>1345</v>
      </c>
      <c r="I1662" t="s">
        <v>4264</v>
      </c>
      <c r="J1662">
        <v>175</v>
      </c>
      <c r="K1662" t="s">
        <v>5254</v>
      </c>
      <c r="L1662" t="s">
        <v>4724</v>
      </c>
      <c r="M1662" t="s">
        <v>4265</v>
      </c>
      <c r="N1662" t="s">
        <v>4266</v>
      </c>
      <c r="O1662" t="s">
        <v>4267</v>
      </c>
      <c r="R1662">
        <f>1</f>
        <v>1</v>
      </c>
      <c r="S1662">
        <f>10.7</f>
        <v>10.7</v>
      </c>
      <c r="T1662">
        <f>7.9</f>
        <v>7.9</v>
      </c>
      <c r="U1662">
        <f>471</f>
        <v>471</v>
      </c>
      <c r="X1662">
        <f>0</f>
        <v>0</v>
      </c>
      <c r="Y1662" t="s">
        <v>157</v>
      </c>
      <c r="Z1662">
        <f>0</f>
        <v>0</v>
      </c>
      <c r="AA1662" t="s">
        <v>158</v>
      </c>
      <c r="AB1662" t="s">
        <v>158</v>
      </c>
      <c r="AD1662">
        <f>0</f>
        <v>0</v>
      </c>
      <c r="AE1662">
        <f>0</f>
        <v>0</v>
      </c>
      <c r="AH1662" t="s">
        <v>157</v>
      </c>
    </row>
    <row r="1663" spans="1:34" x14ac:dyDescent="0.25">
      <c r="A1663" t="s">
        <v>4268</v>
      </c>
      <c r="B1663" t="s">
        <v>148</v>
      </c>
      <c r="C1663" s="1">
        <v>45726</v>
      </c>
      <c r="D1663" t="s">
        <v>269</v>
      </c>
      <c r="E1663" t="s">
        <v>270</v>
      </c>
      <c r="F1663" t="s">
        <v>754</v>
      </c>
      <c r="G1663" t="s">
        <v>2753</v>
      </c>
      <c r="H1663">
        <v>1301</v>
      </c>
      <c r="I1663" t="s">
        <v>2753</v>
      </c>
      <c r="J1663">
        <v>180</v>
      </c>
      <c r="K1663" t="s">
        <v>5257</v>
      </c>
      <c r="L1663" t="s">
        <v>431</v>
      </c>
      <c r="M1663" t="s">
        <v>4269</v>
      </c>
      <c r="N1663" t="s">
        <v>4270</v>
      </c>
      <c r="O1663" t="s">
        <v>4271</v>
      </c>
      <c r="R1663">
        <f>1</f>
        <v>1</v>
      </c>
      <c r="S1663">
        <f>8.7</f>
        <v>8.6999999999999993</v>
      </c>
      <c r="T1663">
        <f>7.6</f>
        <v>7.6</v>
      </c>
      <c r="U1663">
        <f>472</f>
        <v>472</v>
      </c>
      <c r="V1663">
        <f>0.2</f>
        <v>0.2</v>
      </c>
      <c r="X1663">
        <f>0</f>
        <v>0</v>
      </c>
      <c r="Y1663">
        <f>0.31</f>
        <v>0.31</v>
      </c>
      <c r="Z1663">
        <f>0</f>
        <v>0</v>
      </c>
      <c r="AA1663" t="s">
        <v>158</v>
      </c>
      <c r="AB1663">
        <f>10</f>
        <v>10</v>
      </c>
      <c r="AC1663">
        <f>0</f>
        <v>0</v>
      </c>
      <c r="AD1663">
        <f>0</f>
        <v>0</v>
      </c>
      <c r="AE1663">
        <f>0</f>
        <v>0</v>
      </c>
    </row>
    <row r="1664" spans="1:34" x14ac:dyDescent="0.25">
      <c r="A1664" t="s">
        <v>4272</v>
      </c>
      <c r="B1664" t="s">
        <v>148</v>
      </c>
      <c r="C1664" s="1">
        <v>45727</v>
      </c>
      <c r="D1664" t="s">
        <v>269</v>
      </c>
      <c r="E1664" t="s">
        <v>295</v>
      </c>
      <c r="F1664" t="s">
        <v>4273</v>
      </c>
      <c r="G1664" t="s">
        <v>5240</v>
      </c>
      <c r="H1664">
        <v>446</v>
      </c>
      <c r="I1664" t="s">
        <v>5240</v>
      </c>
      <c r="J1664">
        <v>150</v>
      </c>
      <c r="K1664" t="s">
        <v>5257</v>
      </c>
      <c r="L1664" t="s">
        <v>431</v>
      </c>
      <c r="M1664" t="s">
        <v>4274</v>
      </c>
      <c r="N1664" t="s">
        <v>4275</v>
      </c>
      <c r="O1664" t="s">
        <v>4276</v>
      </c>
      <c r="R1664">
        <f>1</f>
        <v>1</v>
      </c>
      <c r="S1664">
        <f>6.9</f>
        <v>6.9</v>
      </c>
      <c r="T1664">
        <f>7.8</f>
        <v>7.8</v>
      </c>
      <c r="U1664">
        <f>445</f>
        <v>445</v>
      </c>
      <c r="V1664">
        <f>0.06</f>
        <v>0.06</v>
      </c>
      <c r="X1664">
        <f>0</f>
        <v>0</v>
      </c>
      <c r="Y1664">
        <f>0.54</f>
        <v>0.54</v>
      </c>
      <c r="Z1664">
        <f>0</f>
        <v>0</v>
      </c>
      <c r="AA1664" t="s">
        <v>158</v>
      </c>
      <c r="AB1664" t="s">
        <v>158</v>
      </c>
      <c r="AC1664">
        <f>0</f>
        <v>0</v>
      </c>
      <c r="AD1664">
        <f>0</f>
        <v>0</v>
      </c>
      <c r="AE1664">
        <f>0</f>
        <v>0</v>
      </c>
    </row>
    <row r="1665" spans="1:44" x14ac:dyDescent="0.25">
      <c r="A1665" t="s">
        <v>4277</v>
      </c>
      <c r="B1665" t="s">
        <v>148</v>
      </c>
      <c r="C1665" s="1">
        <v>45727</v>
      </c>
      <c r="D1665" t="s">
        <v>269</v>
      </c>
      <c r="E1665" t="s">
        <v>295</v>
      </c>
      <c r="F1665" t="s">
        <v>4278</v>
      </c>
      <c r="G1665" t="s">
        <v>6230</v>
      </c>
      <c r="H1665">
        <v>447</v>
      </c>
      <c r="I1665" t="s">
        <v>4279</v>
      </c>
      <c r="J1665">
        <v>175</v>
      </c>
      <c r="K1665" t="s">
        <v>5257</v>
      </c>
      <c r="L1665" t="s">
        <v>431</v>
      </c>
      <c r="M1665" t="s">
        <v>4280</v>
      </c>
      <c r="N1665" t="s">
        <v>4281</v>
      </c>
      <c r="O1665" t="s">
        <v>4282</v>
      </c>
      <c r="Q1665" t="s">
        <v>4283</v>
      </c>
      <c r="R1665">
        <f>1</f>
        <v>1</v>
      </c>
      <c r="S1665">
        <f>8.6</f>
        <v>8.6</v>
      </c>
      <c r="T1665">
        <f>7.7</f>
        <v>7.7</v>
      </c>
      <c r="U1665">
        <f>406</f>
        <v>406</v>
      </c>
      <c r="V1665">
        <f>0.1</f>
        <v>0.1</v>
      </c>
      <c r="X1665">
        <f>0</f>
        <v>0</v>
      </c>
      <c r="Y1665">
        <f>0.77</f>
        <v>0.77</v>
      </c>
      <c r="Z1665">
        <f>0</f>
        <v>0</v>
      </c>
      <c r="AA1665" t="s">
        <v>158</v>
      </c>
      <c r="AB1665" t="s">
        <v>158</v>
      </c>
      <c r="AC1665">
        <f>0</f>
        <v>0</v>
      </c>
      <c r="AD1665">
        <f>0</f>
        <v>0</v>
      </c>
      <c r="AE1665">
        <f>0</f>
        <v>0</v>
      </c>
    </row>
    <row r="1666" spans="1:44" x14ac:dyDescent="0.25">
      <c r="A1666" t="s">
        <v>4284</v>
      </c>
      <c r="B1666" t="s">
        <v>148</v>
      </c>
      <c r="C1666" s="1">
        <v>45726</v>
      </c>
      <c r="D1666" t="s">
        <v>269</v>
      </c>
      <c r="E1666" t="s">
        <v>270</v>
      </c>
      <c r="F1666" t="s">
        <v>6231</v>
      </c>
      <c r="G1666" t="s">
        <v>4285</v>
      </c>
      <c r="H1666">
        <v>1819</v>
      </c>
      <c r="I1666" t="s">
        <v>4286</v>
      </c>
      <c r="J1666">
        <v>160</v>
      </c>
      <c r="K1666" t="s">
        <v>5254</v>
      </c>
      <c r="L1666" t="s">
        <v>431</v>
      </c>
      <c r="M1666" t="s">
        <v>5727</v>
      </c>
      <c r="N1666" t="s">
        <v>4287</v>
      </c>
      <c r="O1666" t="s">
        <v>4288</v>
      </c>
      <c r="R1666">
        <f>1</f>
        <v>1</v>
      </c>
      <c r="S1666">
        <f>8.7</f>
        <v>8.6999999999999993</v>
      </c>
      <c r="T1666">
        <f>7.9</f>
        <v>7.9</v>
      </c>
      <c r="U1666">
        <f>438</f>
        <v>438</v>
      </c>
      <c r="V1666">
        <f>0.22</f>
        <v>0.22</v>
      </c>
      <c r="X1666">
        <f>0</f>
        <v>0</v>
      </c>
      <c r="Y1666">
        <f>0.39</f>
        <v>0.39</v>
      </c>
      <c r="Z1666">
        <f>0</f>
        <v>0</v>
      </c>
      <c r="AA1666" t="s">
        <v>158</v>
      </c>
      <c r="AB1666" t="s">
        <v>158</v>
      </c>
      <c r="AC1666">
        <f>0</f>
        <v>0</v>
      </c>
      <c r="AD1666">
        <f>0</f>
        <v>0</v>
      </c>
      <c r="AE1666">
        <f>0</f>
        <v>0</v>
      </c>
    </row>
    <row r="1667" spans="1:44" x14ac:dyDescent="0.25">
      <c r="A1667" t="s">
        <v>4289</v>
      </c>
      <c r="B1667" t="s">
        <v>148</v>
      </c>
      <c r="C1667" s="1">
        <v>45734</v>
      </c>
      <c r="D1667" t="s">
        <v>242</v>
      </c>
      <c r="E1667" t="s">
        <v>243</v>
      </c>
      <c r="F1667" t="s">
        <v>5284</v>
      </c>
      <c r="G1667" t="s">
        <v>2353</v>
      </c>
      <c r="H1667">
        <v>1343</v>
      </c>
      <c r="I1667" t="s">
        <v>2353</v>
      </c>
      <c r="J1667">
        <v>168</v>
      </c>
      <c r="K1667" t="s">
        <v>5257</v>
      </c>
      <c r="L1667" t="s">
        <v>393</v>
      </c>
      <c r="M1667" t="s">
        <v>2354</v>
      </c>
      <c r="N1667" t="s">
        <v>5551</v>
      </c>
      <c r="O1667" t="s">
        <v>2355</v>
      </c>
      <c r="Q1667" t="s">
        <v>6511</v>
      </c>
      <c r="R1667">
        <f>1</f>
        <v>1</v>
      </c>
      <c r="S1667">
        <f>19.7</f>
        <v>19.7</v>
      </c>
      <c r="T1667">
        <f>7.8</f>
        <v>7.8</v>
      </c>
      <c r="U1667">
        <f>455</f>
        <v>455</v>
      </c>
      <c r="V1667" t="s">
        <v>209</v>
      </c>
      <c r="X1667">
        <f>0</f>
        <v>0</v>
      </c>
      <c r="Y1667" t="s">
        <v>157</v>
      </c>
      <c r="Z1667">
        <f>0</f>
        <v>0</v>
      </c>
      <c r="AA1667" t="s">
        <v>158</v>
      </c>
      <c r="AB1667" t="s">
        <v>158</v>
      </c>
      <c r="AC1667">
        <f>0</f>
        <v>0</v>
      </c>
      <c r="AD1667">
        <f>0</f>
        <v>0</v>
      </c>
      <c r="AE1667">
        <f>0</f>
        <v>0</v>
      </c>
      <c r="AH1667" t="s">
        <v>157</v>
      </c>
    </row>
    <row r="1668" spans="1:44" x14ac:dyDescent="0.25">
      <c r="A1668" t="s">
        <v>4290</v>
      </c>
      <c r="B1668" t="s">
        <v>148</v>
      </c>
      <c r="C1668" s="1">
        <v>45876</v>
      </c>
      <c r="D1668" t="s">
        <v>618</v>
      </c>
      <c r="E1668" t="s">
        <v>619</v>
      </c>
      <c r="F1668" t="s">
        <v>620</v>
      </c>
      <c r="G1668" t="s">
        <v>2360</v>
      </c>
      <c r="H1668">
        <v>1360</v>
      </c>
      <c r="I1668" t="s">
        <v>2361</v>
      </c>
      <c r="J1668">
        <v>120</v>
      </c>
      <c r="K1668" t="s">
        <v>5257</v>
      </c>
      <c r="L1668" t="s">
        <v>180</v>
      </c>
      <c r="M1668" t="s">
        <v>2362</v>
      </c>
      <c r="N1668" t="s">
        <v>2363</v>
      </c>
      <c r="O1668" t="s">
        <v>2364</v>
      </c>
      <c r="R1668">
        <f>1</f>
        <v>1</v>
      </c>
      <c r="S1668">
        <f>19.8</f>
        <v>19.8</v>
      </c>
      <c r="T1668">
        <f>7.8</f>
        <v>7.8</v>
      </c>
      <c r="U1668">
        <f>466</f>
        <v>466</v>
      </c>
      <c r="X1668">
        <f>0</f>
        <v>0</v>
      </c>
      <c r="Y1668" t="s">
        <v>157</v>
      </c>
      <c r="Z1668">
        <f>0</f>
        <v>0</v>
      </c>
      <c r="AA1668">
        <f>28</f>
        <v>28</v>
      </c>
      <c r="AB1668" t="s">
        <v>158</v>
      </c>
      <c r="AC1668">
        <f>0</f>
        <v>0</v>
      </c>
      <c r="AD1668">
        <f>0</f>
        <v>0</v>
      </c>
      <c r="AE1668">
        <f>0</f>
        <v>0</v>
      </c>
      <c r="AH1668" t="s">
        <v>157</v>
      </c>
    </row>
    <row r="1669" spans="1:44" x14ac:dyDescent="0.25">
      <c r="A1669" t="s">
        <v>4291</v>
      </c>
      <c r="B1669" t="s">
        <v>268</v>
      </c>
      <c r="C1669" s="1">
        <v>45748</v>
      </c>
      <c r="D1669" t="s">
        <v>175</v>
      </c>
      <c r="E1669" t="s">
        <v>270</v>
      </c>
      <c r="F1669" t="s">
        <v>4887</v>
      </c>
      <c r="G1669" t="s">
        <v>4292</v>
      </c>
      <c r="H1669">
        <v>1305</v>
      </c>
      <c r="I1669" t="s">
        <v>4292</v>
      </c>
      <c r="J1669">
        <v>232</v>
      </c>
      <c r="K1669" t="s">
        <v>5257</v>
      </c>
      <c r="L1669" t="s">
        <v>431</v>
      </c>
      <c r="M1669" t="s">
        <v>4922</v>
      </c>
      <c r="N1669" t="s">
        <v>4293</v>
      </c>
      <c r="O1669" t="s">
        <v>4294</v>
      </c>
      <c r="R1669">
        <f>1</f>
        <v>1</v>
      </c>
      <c r="S1669">
        <f>11.6</f>
        <v>11.6</v>
      </c>
      <c r="T1669">
        <f>7.9</f>
        <v>7.9</v>
      </c>
      <c r="U1669">
        <f>433</f>
        <v>433</v>
      </c>
      <c r="V1669">
        <f>0.17</f>
        <v>0.17</v>
      </c>
      <c r="X1669">
        <f>0</f>
        <v>0</v>
      </c>
      <c r="Y1669" t="s">
        <v>207</v>
      </c>
      <c r="Z1669">
        <f>0</f>
        <v>0</v>
      </c>
      <c r="AA1669">
        <f>144</f>
        <v>144</v>
      </c>
      <c r="AB1669">
        <f>105</f>
        <v>105</v>
      </c>
      <c r="AC1669">
        <f>0</f>
        <v>0</v>
      </c>
      <c r="AD1669">
        <f>0</f>
        <v>0</v>
      </c>
      <c r="AE1669">
        <f>4</f>
        <v>4</v>
      </c>
    </row>
    <row r="1670" spans="1:44" x14ac:dyDescent="0.25">
      <c r="A1670" t="s">
        <v>4295</v>
      </c>
      <c r="B1670" t="s">
        <v>148</v>
      </c>
      <c r="C1670" s="1">
        <v>45758</v>
      </c>
      <c r="D1670" t="s">
        <v>242</v>
      </c>
      <c r="E1670" t="s">
        <v>243</v>
      </c>
      <c r="F1670" t="s">
        <v>4727</v>
      </c>
      <c r="G1670" t="s">
        <v>4296</v>
      </c>
      <c r="H1670">
        <v>1190</v>
      </c>
      <c r="I1670" t="s">
        <v>4296</v>
      </c>
      <c r="J1670">
        <v>172</v>
      </c>
      <c r="K1670" t="s">
        <v>5254</v>
      </c>
      <c r="L1670" t="s">
        <v>2720</v>
      </c>
      <c r="M1670" t="s">
        <v>5728</v>
      </c>
      <c r="N1670" t="s">
        <v>4923</v>
      </c>
      <c r="O1670" t="s">
        <v>4297</v>
      </c>
      <c r="R1670">
        <f>1</f>
        <v>1</v>
      </c>
      <c r="S1670">
        <f>8.8</f>
        <v>8.8000000000000007</v>
      </c>
      <c r="T1670">
        <f>7.1</f>
        <v>7.1</v>
      </c>
      <c r="U1670">
        <f>186</f>
        <v>186</v>
      </c>
      <c r="X1670">
        <f>1</f>
        <v>1</v>
      </c>
      <c r="Y1670" t="s">
        <v>157</v>
      </c>
      <c r="Z1670">
        <f>0</f>
        <v>0</v>
      </c>
      <c r="AA1670" t="s">
        <v>158</v>
      </c>
      <c r="AB1670" t="s">
        <v>158</v>
      </c>
      <c r="AD1670">
        <f>0</f>
        <v>0</v>
      </c>
      <c r="AE1670">
        <f>0</f>
        <v>0</v>
      </c>
      <c r="AH1670" t="s">
        <v>157</v>
      </c>
    </row>
    <row r="1671" spans="1:44" x14ac:dyDescent="0.25">
      <c r="A1671" t="s">
        <v>4298</v>
      </c>
      <c r="B1671" t="s">
        <v>268</v>
      </c>
      <c r="C1671" s="1">
        <v>45749</v>
      </c>
      <c r="D1671" t="s">
        <v>269</v>
      </c>
      <c r="E1671" t="s">
        <v>270</v>
      </c>
      <c r="F1671" t="s">
        <v>6531</v>
      </c>
      <c r="G1671" t="s">
        <v>5241</v>
      </c>
      <c r="H1671">
        <v>1488</v>
      </c>
      <c r="I1671" t="s">
        <v>5241</v>
      </c>
      <c r="J1671">
        <v>113</v>
      </c>
      <c r="K1671" t="s">
        <v>5257</v>
      </c>
      <c r="L1671" t="s">
        <v>431</v>
      </c>
      <c r="M1671" t="s">
        <v>5729</v>
      </c>
      <c r="N1671" t="s">
        <v>4924</v>
      </c>
      <c r="O1671" t="s">
        <v>4299</v>
      </c>
      <c r="R1671">
        <f>1</f>
        <v>1</v>
      </c>
      <c r="S1671">
        <f>10</f>
        <v>10</v>
      </c>
      <c r="T1671">
        <f>7.5</f>
        <v>7.5</v>
      </c>
      <c r="U1671">
        <f>533</f>
        <v>533</v>
      </c>
      <c r="V1671">
        <f>0.31</f>
        <v>0.31</v>
      </c>
      <c r="X1671">
        <f>0</f>
        <v>0</v>
      </c>
      <c r="Y1671">
        <f>0.08</f>
        <v>0.08</v>
      </c>
      <c r="Z1671">
        <f>0</f>
        <v>0</v>
      </c>
      <c r="AA1671">
        <f>146</f>
        <v>146</v>
      </c>
      <c r="AB1671">
        <f>95</f>
        <v>95</v>
      </c>
      <c r="AC1671">
        <f>0</f>
        <v>0</v>
      </c>
      <c r="AD1671">
        <f>0</f>
        <v>0</v>
      </c>
      <c r="AE1671">
        <f>0</f>
        <v>0</v>
      </c>
    </row>
    <row r="1672" spans="1:44" x14ac:dyDescent="0.25">
      <c r="A1672" t="s">
        <v>4300</v>
      </c>
      <c r="B1672" t="s">
        <v>148</v>
      </c>
      <c r="C1672" s="1">
        <v>45758</v>
      </c>
      <c r="D1672" t="s">
        <v>242</v>
      </c>
      <c r="E1672" t="s">
        <v>243</v>
      </c>
      <c r="F1672" t="s">
        <v>4727</v>
      </c>
      <c r="G1672" t="s">
        <v>4301</v>
      </c>
      <c r="H1672">
        <v>853</v>
      </c>
      <c r="I1672" t="s">
        <v>4301</v>
      </c>
      <c r="J1672">
        <v>168</v>
      </c>
      <c r="K1672" t="s">
        <v>5254</v>
      </c>
      <c r="L1672" t="s">
        <v>2720</v>
      </c>
      <c r="M1672" t="s">
        <v>5730</v>
      </c>
      <c r="N1672" t="s">
        <v>4925</v>
      </c>
      <c r="O1672" t="s">
        <v>4302</v>
      </c>
      <c r="Q1672" t="s">
        <v>6340</v>
      </c>
      <c r="R1672">
        <f>1</f>
        <v>1</v>
      </c>
      <c r="S1672">
        <f>11.8</f>
        <v>11.8</v>
      </c>
      <c r="T1672">
        <f>7.2</f>
        <v>7.2</v>
      </c>
      <c r="U1672">
        <f>182</f>
        <v>182</v>
      </c>
      <c r="X1672">
        <f>1</f>
        <v>1</v>
      </c>
      <c r="Y1672">
        <f>0.83</f>
        <v>0.83</v>
      </c>
      <c r="Z1672">
        <f>0</f>
        <v>0</v>
      </c>
      <c r="AA1672" t="s">
        <v>158</v>
      </c>
      <c r="AB1672" t="s">
        <v>158</v>
      </c>
      <c r="AD1672">
        <f>0</f>
        <v>0</v>
      </c>
      <c r="AE1672">
        <f>0</f>
        <v>0</v>
      </c>
      <c r="AH1672" t="s">
        <v>157</v>
      </c>
    </row>
    <row r="1673" spans="1:44" x14ac:dyDescent="0.25">
      <c r="A1673" t="s">
        <v>4303</v>
      </c>
      <c r="B1673" t="s">
        <v>148</v>
      </c>
      <c r="C1673" s="1">
        <v>45894</v>
      </c>
      <c r="D1673" t="s">
        <v>317</v>
      </c>
      <c r="E1673" t="s">
        <v>318</v>
      </c>
      <c r="F1673" t="s">
        <v>6564</v>
      </c>
      <c r="G1673" t="s">
        <v>1988</v>
      </c>
      <c r="H1673">
        <v>1490</v>
      </c>
      <c r="I1673" t="s">
        <v>1989</v>
      </c>
      <c r="J1673">
        <v>194</v>
      </c>
      <c r="K1673" t="s">
        <v>5254</v>
      </c>
      <c r="M1673" t="s">
        <v>1990</v>
      </c>
      <c r="N1673" t="s">
        <v>1991</v>
      </c>
      <c r="O1673" t="s">
        <v>1992</v>
      </c>
      <c r="Q1673" t="s">
        <v>6340</v>
      </c>
      <c r="R1673">
        <f>1</f>
        <v>1</v>
      </c>
      <c r="S1673">
        <f>17.3</f>
        <v>17.3</v>
      </c>
      <c r="T1673">
        <f>7.6</f>
        <v>7.6</v>
      </c>
      <c r="U1673">
        <f>334</f>
        <v>334</v>
      </c>
      <c r="X1673">
        <f>0</f>
        <v>0</v>
      </c>
      <c r="Y1673">
        <f>0.14</f>
        <v>0.14000000000000001</v>
      </c>
      <c r="Z1673">
        <f>0</f>
        <v>0</v>
      </c>
      <c r="AA1673">
        <f>4</f>
        <v>4</v>
      </c>
      <c r="AB1673">
        <f>3</f>
        <v>3</v>
      </c>
      <c r="AD1673">
        <f>0</f>
        <v>0</v>
      </c>
      <c r="AE1673">
        <f>0</f>
        <v>0</v>
      </c>
      <c r="AH1673" t="s">
        <v>157</v>
      </c>
    </row>
    <row r="1674" spans="1:44" x14ac:dyDescent="0.25">
      <c r="A1674" t="s">
        <v>4304</v>
      </c>
      <c r="B1674" t="s">
        <v>148</v>
      </c>
      <c r="C1674" s="1">
        <v>45748</v>
      </c>
      <c r="D1674" t="s">
        <v>175</v>
      </c>
      <c r="E1674" t="s">
        <v>270</v>
      </c>
      <c r="F1674" t="s">
        <v>354</v>
      </c>
      <c r="G1674" t="s">
        <v>4305</v>
      </c>
      <c r="H1674">
        <v>684</v>
      </c>
      <c r="I1674" t="s">
        <v>4305</v>
      </c>
      <c r="J1674">
        <v>188</v>
      </c>
      <c r="K1674" t="s">
        <v>5254</v>
      </c>
      <c r="L1674" t="s">
        <v>4947</v>
      </c>
      <c r="M1674" t="s">
        <v>6232</v>
      </c>
      <c r="N1674" t="s">
        <v>4306</v>
      </c>
      <c r="O1674" t="s">
        <v>4307</v>
      </c>
      <c r="R1674">
        <f>1</f>
        <v>1</v>
      </c>
      <c r="S1674">
        <f>11.9</f>
        <v>11.9</v>
      </c>
      <c r="T1674">
        <f>7.6</f>
        <v>7.6</v>
      </c>
      <c r="U1674">
        <f>375</f>
        <v>375</v>
      </c>
      <c r="X1674">
        <f>0</f>
        <v>0</v>
      </c>
      <c r="Y1674">
        <f>0.61</f>
        <v>0.61</v>
      </c>
      <c r="Z1674">
        <f>0</f>
        <v>0</v>
      </c>
      <c r="AA1674" t="s">
        <v>158</v>
      </c>
      <c r="AB1674" t="s">
        <v>158</v>
      </c>
      <c r="AD1674">
        <f>0</f>
        <v>0</v>
      </c>
      <c r="AE1674">
        <f>0</f>
        <v>0</v>
      </c>
    </row>
    <row r="1675" spans="1:44" x14ac:dyDescent="0.25">
      <c r="A1675" t="s">
        <v>4308</v>
      </c>
      <c r="B1675" t="s">
        <v>148</v>
      </c>
      <c r="C1675" s="1">
        <v>45897</v>
      </c>
      <c r="D1675" t="s">
        <v>175</v>
      </c>
      <c r="E1675" t="s">
        <v>649</v>
      </c>
      <c r="F1675" t="s">
        <v>6085</v>
      </c>
      <c r="G1675" t="s">
        <v>5558</v>
      </c>
      <c r="H1675">
        <v>1524</v>
      </c>
      <c r="I1675" t="s">
        <v>5558</v>
      </c>
      <c r="J1675">
        <v>241</v>
      </c>
      <c r="K1675" t="s">
        <v>5257</v>
      </c>
      <c r="M1675" t="s">
        <v>5434</v>
      </c>
      <c r="N1675" t="s">
        <v>6086</v>
      </c>
      <c r="O1675" t="s">
        <v>2406</v>
      </c>
      <c r="R1675">
        <f>1</f>
        <v>1</v>
      </c>
      <c r="S1675">
        <f>16.2</f>
        <v>16.2</v>
      </c>
      <c r="T1675">
        <f>7.8</f>
        <v>7.8</v>
      </c>
      <c r="U1675">
        <f>412</f>
        <v>412</v>
      </c>
      <c r="X1675">
        <f>0</f>
        <v>0</v>
      </c>
      <c r="Y1675" t="s">
        <v>157</v>
      </c>
      <c r="Z1675">
        <f>0</f>
        <v>0</v>
      </c>
      <c r="AA1675" t="s">
        <v>158</v>
      </c>
      <c r="AB1675" t="s">
        <v>158</v>
      </c>
      <c r="AC1675">
        <f>0</f>
        <v>0</v>
      </c>
      <c r="AD1675">
        <f>0</f>
        <v>0</v>
      </c>
      <c r="AE1675">
        <f>0</f>
        <v>0</v>
      </c>
      <c r="AH1675" t="s">
        <v>157</v>
      </c>
    </row>
    <row r="1676" spans="1:44" x14ac:dyDescent="0.25">
      <c r="A1676" t="s">
        <v>4309</v>
      </c>
      <c r="B1676" t="s">
        <v>148</v>
      </c>
      <c r="C1676" s="1">
        <v>45747</v>
      </c>
      <c r="D1676" t="s">
        <v>222</v>
      </c>
      <c r="E1676" t="s">
        <v>223</v>
      </c>
      <c r="F1676" t="s">
        <v>469</v>
      </c>
      <c r="G1676" t="s">
        <v>6742</v>
      </c>
      <c r="H1676">
        <v>401</v>
      </c>
      <c r="I1676" t="s">
        <v>6742</v>
      </c>
      <c r="J1676">
        <v>98</v>
      </c>
      <c r="K1676" t="s">
        <v>5257</v>
      </c>
      <c r="L1676" t="s">
        <v>393</v>
      </c>
      <c r="M1676" t="s">
        <v>5487</v>
      </c>
      <c r="N1676" t="s">
        <v>5562</v>
      </c>
      <c r="O1676" t="s">
        <v>2419</v>
      </c>
      <c r="R1676">
        <f>1</f>
        <v>1</v>
      </c>
      <c r="S1676">
        <f>10.3</f>
        <v>10.3</v>
      </c>
      <c r="T1676">
        <f>8</f>
        <v>8</v>
      </c>
      <c r="U1676">
        <f>224</f>
        <v>224</v>
      </c>
      <c r="X1676">
        <f>1</f>
        <v>1</v>
      </c>
      <c r="Y1676">
        <f>0.11</f>
        <v>0.11</v>
      </c>
      <c r="Z1676">
        <f>0</f>
        <v>0</v>
      </c>
      <c r="AA1676">
        <f>3</f>
        <v>3</v>
      </c>
      <c r="AB1676">
        <f>1</f>
        <v>1</v>
      </c>
      <c r="AC1676">
        <f>0</f>
        <v>0</v>
      </c>
      <c r="AD1676">
        <f>0</f>
        <v>0</v>
      </c>
      <c r="AE1676">
        <f>0</f>
        <v>0</v>
      </c>
      <c r="AH1676" t="s">
        <v>166</v>
      </c>
    </row>
    <row r="1677" spans="1:44" x14ac:dyDescent="0.25">
      <c r="A1677" t="s">
        <v>4310</v>
      </c>
      <c r="B1677" t="s">
        <v>148</v>
      </c>
      <c r="C1677" s="1">
        <v>45726</v>
      </c>
      <c r="D1677" t="s">
        <v>222</v>
      </c>
      <c r="E1677" t="s">
        <v>223</v>
      </c>
      <c r="F1677" t="s">
        <v>469</v>
      </c>
      <c r="G1677" t="s">
        <v>2421</v>
      </c>
      <c r="H1677">
        <v>1375</v>
      </c>
      <c r="I1677" t="s">
        <v>2422</v>
      </c>
      <c r="J1677">
        <v>122</v>
      </c>
      <c r="K1677" t="s">
        <v>5257</v>
      </c>
      <c r="L1677" t="s">
        <v>393</v>
      </c>
      <c r="M1677" t="s">
        <v>5563</v>
      </c>
      <c r="N1677" t="s">
        <v>2423</v>
      </c>
      <c r="O1677" t="s">
        <v>2424</v>
      </c>
      <c r="Q1677" t="s">
        <v>6336</v>
      </c>
      <c r="R1677">
        <f>1</f>
        <v>1</v>
      </c>
      <c r="S1677">
        <f>9</f>
        <v>9</v>
      </c>
      <c r="T1677">
        <f>8.2</f>
        <v>8.1999999999999993</v>
      </c>
      <c r="U1677">
        <f>233</f>
        <v>233</v>
      </c>
      <c r="X1677">
        <f>1</f>
        <v>1</v>
      </c>
      <c r="Y1677">
        <f>0.12</f>
        <v>0.12</v>
      </c>
      <c r="Z1677">
        <f>0</f>
        <v>0</v>
      </c>
      <c r="AA1677">
        <f>0</f>
        <v>0</v>
      </c>
      <c r="AB1677">
        <f>0</f>
        <v>0</v>
      </c>
      <c r="AC1677">
        <f>0</f>
        <v>0</v>
      </c>
      <c r="AD1677">
        <f>0</f>
        <v>0</v>
      </c>
      <c r="AE1677">
        <f>0</f>
        <v>0</v>
      </c>
      <c r="AH1677" t="s">
        <v>166</v>
      </c>
    </row>
    <row r="1678" spans="1:44" x14ac:dyDescent="0.25">
      <c r="A1678" t="s">
        <v>4311</v>
      </c>
      <c r="B1678" t="s">
        <v>148</v>
      </c>
      <c r="C1678" s="1">
        <v>45736</v>
      </c>
      <c r="D1678" t="s">
        <v>269</v>
      </c>
      <c r="E1678" t="s">
        <v>270</v>
      </c>
      <c r="F1678" t="s">
        <v>271</v>
      </c>
      <c r="G1678" t="s">
        <v>4312</v>
      </c>
      <c r="H1678">
        <v>1539</v>
      </c>
      <c r="I1678" t="s">
        <v>4312</v>
      </c>
      <c r="J1678">
        <v>173</v>
      </c>
      <c r="K1678" t="s">
        <v>5257</v>
      </c>
      <c r="L1678" t="s">
        <v>431</v>
      </c>
      <c r="M1678" t="s">
        <v>4313</v>
      </c>
      <c r="N1678" t="s">
        <v>6233</v>
      </c>
      <c r="O1678" t="s">
        <v>4314</v>
      </c>
      <c r="R1678">
        <f>1</f>
        <v>1</v>
      </c>
      <c r="S1678">
        <f>10.8</f>
        <v>10.8</v>
      </c>
      <c r="T1678">
        <f>7.5</f>
        <v>7.5</v>
      </c>
      <c r="U1678">
        <f>559</f>
        <v>559</v>
      </c>
      <c r="X1678">
        <f>0</f>
        <v>0</v>
      </c>
      <c r="Y1678">
        <f>0.42</f>
        <v>0.42</v>
      </c>
      <c r="Z1678">
        <f>0</f>
        <v>0</v>
      </c>
      <c r="AA1678" t="s">
        <v>158</v>
      </c>
      <c r="AB1678" t="s">
        <v>158</v>
      </c>
      <c r="AD1678">
        <f>0</f>
        <v>0</v>
      </c>
      <c r="AE1678">
        <f>0</f>
        <v>0</v>
      </c>
    </row>
    <row r="1679" spans="1:44" x14ac:dyDescent="0.25">
      <c r="A1679" t="s">
        <v>4315</v>
      </c>
      <c r="B1679" t="s">
        <v>268</v>
      </c>
      <c r="C1679" s="1">
        <v>45895</v>
      </c>
      <c r="D1679" t="s">
        <v>317</v>
      </c>
      <c r="E1679" t="s">
        <v>318</v>
      </c>
      <c r="F1679" t="s">
        <v>5489</v>
      </c>
      <c r="G1679" t="s">
        <v>2032</v>
      </c>
      <c r="H1679">
        <v>1085</v>
      </c>
      <c r="I1679" t="s">
        <v>2033</v>
      </c>
      <c r="J1679">
        <v>300</v>
      </c>
      <c r="K1679" t="s">
        <v>5254</v>
      </c>
      <c r="L1679" t="s">
        <v>180</v>
      </c>
      <c r="M1679" t="s">
        <v>4807</v>
      </c>
      <c r="N1679" t="s">
        <v>2034</v>
      </c>
      <c r="O1679" t="s">
        <v>2035</v>
      </c>
      <c r="Q1679" t="s">
        <v>6340</v>
      </c>
      <c r="R1679">
        <f>1</f>
        <v>1</v>
      </c>
      <c r="S1679">
        <f>17.2</f>
        <v>17.2</v>
      </c>
      <c r="T1679">
        <f>7.2</f>
        <v>7.2</v>
      </c>
      <c r="U1679">
        <f>125</f>
        <v>125</v>
      </c>
      <c r="X1679">
        <f>0</f>
        <v>0</v>
      </c>
      <c r="Y1679">
        <f>0.17</f>
        <v>0.17</v>
      </c>
      <c r="Z1679">
        <f>0</f>
        <v>0</v>
      </c>
      <c r="AA1679">
        <f>152</f>
        <v>152</v>
      </c>
      <c r="AB1679">
        <f>100</f>
        <v>100</v>
      </c>
      <c r="AD1679">
        <f>0</f>
        <v>0</v>
      </c>
      <c r="AE1679">
        <f>0</f>
        <v>0</v>
      </c>
      <c r="AH1679" t="s">
        <v>157</v>
      </c>
      <c r="AI1679" t="s">
        <v>167</v>
      </c>
      <c r="AL1679" t="s">
        <v>168</v>
      </c>
      <c r="AM1679" t="s">
        <v>216</v>
      </c>
      <c r="AN1679">
        <f>4.4</f>
        <v>4.4000000000000004</v>
      </c>
      <c r="AO1679">
        <f>0.088</f>
        <v>8.7999999999999995E-2</v>
      </c>
      <c r="AP1679">
        <f>4.7</f>
        <v>4.7</v>
      </c>
      <c r="AQ1679" t="s">
        <v>167</v>
      </c>
      <c r="AR1679" t="s">
        <v>167</v>
      </c>
    </row>
    <row r="1680" spans="1:44" x14ac:dyDescent="0.25">
      <c r="A1680" t="s">
        <v>4316</v>
      </c>
      <c r="B1680" t="s">
        <v>148</v>
      </c>
      <c r="C1680" s="1">
        <v>45743</v>
      </c>
      <c r="D1680" t="s">
        <v>311</v>
      </c>
      <c r="E1680" t="s">
        <v>312</v>
      </c>
      <c r="F1680" t="s">
        <v>424</v>
      </c>
      <c r="G1680" t="s">
        <v>425</v>
      </c>
      <c r="H1680">
        <v>1038</v>
      </c>
      <c r="I1680" t="s">
        <v>4926</v>
      </c>
      <c r="J1680">
        <v>350</v>
      </c>
      <c r="K1680" t="s">
        <v>5254</v>
      </c>
      <c r="L1680" t="s">
        <v>431</v>
      </c>
      <c r="M1680" t="s">
        <v>4317</v>
      </c>
      <c r="N1680" t="s">
        <v>4927</v>
      </c>
      <c r="O1680" t="s">
        <v>4318</v>
      </c>
      <c r="R1680">
        <f>1</f>
        <v>1</v>
      </c>
      <c r="S1680">
        <f>9.2</f>
        <v>9.1999999999999993</v>
      </c>
      <c r="T1680">
        <f>7.3</f>
        <v>7.3</v>
      </c>
      <c r="U1680">
        <f>47</f>
        <v>47</v>
      </c>
      <c r="X1680">
        <f>0</f>
        <v>0</v>
      </c>
      <c r="Y1680" t="s">
        <v>157</v>
      </c>
      <c r="Z1680">
        <f>0</f>
        <v>0</v>
      </c>
      <c r="AA1680" t="s">
        <v>158</v>
      </c>
      <c r="AB1680" t="s">
        <v>158</v>
      </c>
      <c r="AD1680">
        <f>0</f>
        <v>0</v>
      </c>
      <c r="AE1680">
        <f>0</f>
        <v>0</v>
      </c>
      <c r="AH1680" t="s">
        <v>157</v>
      </c>
    </row>
    <row r="1681" spans="1:44" x14ac:dyDescent="0.25">
      <c r="A1681" t="s">
        <v>4319</v>
      </c>
      <c r="B1681" t="s">
        <v>148</v>
      </c>
      <c r="C1681" s="1">
        <v>45849</v>
      </c>
      <c r="D1681" t="s">
        <v>222</v>
      </c>
      <c r="E1681" t="s">
        <v>223</v>
      </c>
      <c r="F1681" t="s">
        <v>4745</v>
      </c>
      <c r="G1681" t="s">
        <v>4320</v>
      </c>
      <c r="H1681">
        <v>1291</v>
      </c>
      <c r="I1681" t="s">
        <v>4321</v>
      </c>
      <c r="J1681">
        <v>96</v>
      </c>
      <c r="K1681" t="s">
        <v>5257</v>
      </c>
      <c r="L1681" t="s">
        <v>431</v>
      </c>
      <c r="M1681" t="s">
        <v>4322</v>
      </c>
      <c r="N1681" t="s">
        <v>4323</v>
      </c>
      <c r="O1681" t="s">
        <v>4324</v>
      </c>
      <c r="Q1681" t="s">
        <v>5425</v>
      </c>
      <c r="R1681">
        <f>1</f>
        <v>1</v>
      </c>
      <c r="S1681">
        <f>17.3</f>
        <v>17.3</v>
      </c>
      <c r="T1681">
        <f>7.7</f>
        <v>7.7</v>
      </c>
      <c r="U1681">
        <f>229</f>
        <v>229</v>
      </c>
      <c r="V1681">
        <f>0.21</f>
        <v>0.21</v>
      </c>
      <c r="X1681">
        <f>1</f>
        <v>1</v>
      </c>
      <c r="Y1681">
        <f>0.01</f>
        <v>0.01</v>
      </c>
      <c r="Z1681">
        <f>0</f>
        <v>0</v>
      </c>
      <c r="AA1681">
        <f>0</f>
        <v>0</v>
      </c>
      <c r="AB1681">
        <f>0</f>
        <v>0</v>
      </c>
      <c r="AC1681">
        <f>0</f>
        <v>0</v>
      </c>
      <c r="AD1681">
        <f>0</f>
        <v>0</v>
      </c>
      <c r="AE1681">
        <f>0</f>
        <v>0</v>
      </c>
      <c r="AH1681" t="s">
        <v>166</v>
      </c>
    </row>
    <row r="1682" spans="1:44" x14ac:dyDescent="0.25">
      <c r="A1682" t="s">
        <v>4325</v>
      </c>
      <c r="B1682" t="s">
        <v>148</v>
      </c>
      <c r="C1682" s="1">
        <v>45894</v>
      </c>
      <c r="D1682" t="s">
        <v>317</v>
      </c>
      <c r="E1682" t="s">
        <v>318</v>
      </c>
      <c r="F1682" t="s">
        <v>6564</v>
      </c>
      <c r="G1682" t="s">
        <v>2446</v>
      </c>
      <c r="H1682">
        <v>1102</v>
      </c>
      <c r="I1682" t="s">
        <v>2446</v>
      </c>
      <c r="J1682">
        <v>156</v>
      </c>
      <c r="K1682" t="s">
        <v>5254</v>
      </c>
      <c r="L1682" t="s">
        <v>180</v>
      </c>
      <c r="M1682" t="s">
        <v>2447</v>
      </c>
      <c r="N1682" t="s">
        <v>2448</v>
      </c>
      <c r="O1682" t="s">
        <v>2449</v>
      </c>
      <c r="Q1682" t="s">
        <v>329</v>
      </c>
      <c r="R1682">
        <f>1</f>
        <v>1</v>
      </c>
      <c r="S1682">
        <f>15.9</f>
        <v>15.9</v>
      </c>
      <c r="T1682">
        <f>7.6</f>
        <v>7.6</v>
      </c>
      <c r="U1682">
        <f>302</f>
        <v>302</v>
      </c>
      <c r="X1682">
        <f>0</f>
        <v>0</v>
      </c>
      <c r="Y1682">
        <f>0.12</f>
        <v>0.12</v>
      </c>
      <c r="Z1682">
        <f>0</f>
        <v>0</v>
      </c>
      <c r="AA1682">
        <f>0</f>
        <v>0</v>
      </c>
      <c r="AB1682">
        <f>0</f>
        <v>0</v>
      </c>
      <c r="AD1682">
        <f>0</f>
        <v>0</v>
      </c>
      <c r="AE1682">
        <f>0</f>
        <v>0</v>
      </c>
      <c r="AH1682" t="s">
        <v>157</v>
      </c>
    </row>
    <row r="1683" spans="1:44" x14ac:dyDescent="0.25">
      <c r="A1683" t="s">
        <v>4326</v>
      </c>
      <c r="B1683" t="s">
        <v>148</v>
      </c>
      <c r="C1683" s="1">
        <v>45895</v>
      </c>
      <c r="D1683" t="s">
        <v>317</v>
      </c>
      <c r="E1683" t="s">
        <v>318</v>
      </c>
      <c r="F1683" t="s">
        <v>2068</v>
      </c>
      <c r="G1683" t="s">
        <v>2069</v>
      </c>
      <c r="H1683">
        <v>1083</v>
      </c>
      <c r="I1683" t="s">
        <v>2069</v>
      </c>
      <c r="J1683">
        <v>260</v>
      </c>
      <c r="K1683" t="s">
        <v>5254</v>
      </c>
      <c r="L1683" t="s">
        <v>180</v>
      </c>
      <c r="M1683" t="s">
        <v>6700</v>
      </c>
      <c r="N1683" t="s">
        <v>2070</v>
      </c>
      <c r="O1683" t="s">
        <v>2071</v>
      </c>
      <c r="Q1683" t="s">
        <v>6340</v>
      </c>
      <c r="R1683">
        <f>1</f>
        <v>1</v>
      </c>
      <c r="S1683">
        <f>15.8</f>
        <v>15.8</v>
      </c>
      <c r="T1683">
        <f>8.1</f>
        <v>8.1</v>
      </c>
      <c r="U1683">
        <f>318</f>
        <v>318</v>
      </c>
      <c r="X1683">
        <f>0</f>
        <v>0</v>
      </c>
      <c r="Y1683" t="s">
        <v>157</v>
      </c>
      <c r="Z1683">
        <f>0</f>
        <v>0</v>
      </c>
      <c r="AA1683">
        <f>0</f>
        <v>0</v>
      </c>
      <c r="AB1683">
        <f>0</f>
        <v>0</v>
      </c>
      <c r="AD1683">
        <f>0</f>
        <v>0</v>
      </c>
      <c r="AE1683">
        <f>0</f>
        <v>0</v>
      </c>
      <c r="AH1683" t="s">
        <v>157</v>
      </c>
      <c r="AI1683" t="s">
        <v>167</v>
      </c>
      <c r="AL1683" t="s">
        <v>168</v>
      </c>
      <c r="AM1683" t="s">
        <v>216</v>
      </c>
      <c r="AN1683">
        <f>4.7</f>
        <v>4.7</v>
      </c>
      <c r="AO1683">
        <f>0.094</f>
        <v>9.4E-2</v>
      </c>
      <c r="AP1683">
        <f>3.7</f>
        <v>3.7</v>
      </c>
      <c r="AQ1683" t="s">
        <v>167</v>
      </c>
      <c r="AR1683" t="s">
        <v>167</v>
      </c>
    </row>
    <row r="1684" spans="1:44" x14ac:dyDescent="0.25">
      <c r="A1684" t="s">
        <v>4327</v>
      </c>
      <c r="B1684" t="s">
        <v>148</v>
      </c>
      <c r="C1684" s="1">
        <v>45895</v>
      </c>
      <c r="D1684" t="s">
        <v>175</v>
      </c>
      <c r="E1684" t="s">
        <v>284</v>
      </c>
      <c r="F1684" t="s">
        <v>678</v>
      </c>
      <c r="G1684" t="s">
        <v>2451</v>
      </c>
      <c r="H1684">
        <v>1066</v>
      </c>
      <c r="I1684" t="s">
        <v>2451</v>
      </c>
      <c r="J1684">
        <v>226</v>
      </c>
      <c r="K1684" t="s">
        <v>5257</v>
      </c>
      <c r="L1684" t="s">
        <v>431</v>
      </c>
      <c r="M1684" t="s">
        <v>5569</v>
      </c>
      <c r="N1684" t="s">
        <v>2452</v>
      </c>
      <c r="O1684" t="s">
        <v>2453</v>
      </c>
      <c r="R1684">
        <f>1</f>
        <v>1</v>
      </c>
      <c r="S1684">
        <f>18.4</f>
        <v>18.399999999999999</v>
      </c>
      <c r="T1684">
        <f>7.8</f>
        <v>7.8</v>
      </c>
      <c r="U1684">
        <f>428</f>
        <v>428</v>
      </c>
      <c r="X1684">
        <f>0</f>
        <v>0</v>
      </c>
      <c r="Y1684" t="s">
        <v>157</v>
      </c>
      <c r="Z1684">
        <f>0</f>
        <v>0</v>
      </c>
      <c r="AA1684" t="s">
        <v>158</v>
      </c>
      <c r="AB1684" t="s">
        <v>158</v>
      </c>
      <c r="AC1684">
        <f>0</f>
        <v>0</v>
      </c>
      <c r="AD1684">
        <f>0</f>
        <v>0</v>
      </c>
      <c r="AE1684">
        <f>0</f>
        <v>0</v>
      </c>
      <c r="AH1684" t="s">
        <v>157</v>
      </c>
    </row>
    <row r="1685" spans="1:44" x14ac:dyDescent="0.25">
      <c r="A1685" t="s">
        <v>4328</v>
      </c>
      <c r="B1685" t="s">
        <v>148</v>
      </c>
      <c r="C1685" s="1">
        <v>45880</v>
      </c>
      <c r="D1685" t="s">
        <v>618</v>
      </c>
      <c r="E1685" t="s">
        <v>619</v>
      </c>
      <c r="F1685" t="s">
        <v>730</v>
      </c>
      <c r="G1685" t="s">
        <v>6234</v>
      </c>
      <c r="H1685">
        <v>788</v>
      </c>
      <c r="I1685" t="s">
        <v>6234</v>
      </c>
      <c r="J1685">
        <v>100</v>
      </c>
      <c r="K1685" t="s">
        <v>5254</v>
      </c>
      <c r="L1685" t="s">
        <v>431</v>
      </c>
      <c r="M1685" t="s">
        <v>5074</v>
      </c>
      <c r="N1685" t="s">
        <v>5731</v>
      </c>
      <c r="O1685" t="s">
        <v>4329</v>
      </c>
      <c r="R1685">
        <f>1</f>
        <v>1</v>
      </c>
      <c r="S1685">
        <f>19.1</f>
        <v>19.100000000000001</v>
      </c>
      <c r="T1685">
        <f>8.1</f>
        <v>8.1</v>
      </c>
      <c r="U1685">
        <f>414</f>
        <v>414</v>
      </c>
      <c r="X1685">
        <f>0</f>
        <v>0</v>
      </c>
      <c r="Y1685" t="s">
        <v>157</v>
      </c>
      <c r="Z1685">
        <f>0</f>
        <v>0</v>
      </c>
      <c r="AA1685">
        <f>60</f>
        <v>60</v>
      </c>
      <c r="AB1685">
        <f>65</f>
        <v>65</v>
      </c>
      <c r="AD1685">
        <f>0</f>
        <v>0</v>
      </c>
      <c r="AE1685">
        <f>0</f>
        <v>0</v>
      </c>
      <c r="AH1685" t="s">
        <v>157</v>
      </c>
    </row>
    <row r="1686" spans="1:44" x14ac:dyDescent="0.25">
      <c r="A1686" t="s">
        <v>4330</v>
      </c>
      <c r="B1686" t="s">
        <v>148</v>
      </c>
      <c r="C1686" s="1">
        <v>45726</v>
      </c>
      <c r="D1686" t="s">
        <v>269</v>
      </c>
      <c r="E1686" t="s">
        <v>295</v>
      </c>
      <c r="F1686" t="s">
        <v>4278</v>
      </c>
      <c r="G1686" t="s">
        <v>6235</v>
      </c>
      <c r="H1686">
        <v>1591</v>
      </c>
      <c r="I1686" t="s">
        <v>6236</v>
      </c>
      <c r="J1686">
        <v>230</v>
      </c>
      <c r="K1686" t="s">
        <v>5254</v>
      </c>
      <c r="L1686" t="s">
        <v>431</v>
      </c>
      <c r="M1686" t="s">
        <v>5732</v>
      </c>
      <c r="N1686" t="s">
        <v>4331</v>
      </c>
      <c r="O1686" t="s">
        <v>4332</v>
      </c>
      <c r="R1686">
        <f>1</f>
        <v>1</v>
      </c>
      <c r="S1686">
        <f>8.2</f>
        <v>8.1999999999999993</v>
      </c>
      <c r="T1686">
        <f>7.5</f>
        <v>7.5</v>
      </c>
      <c r="U1686">
        <f>514</f>
        <v>514</v>
      </c>
      <c r="V1686">
        <f>0.24</f>
        <v>0.24</v>
      </c>
      <c r="X1686">
        <f>0</f>
        <v>0</v>
      </c>
      <c r="Y1686">
        <f>0.08</f>
        <v>0.08</v>
      </c>
      <c r="Z1686">
        <f>0</f>
        <v>0</v>
      </c>
      <c r="AA1686" t="s">
        <v>158</v>
      </c>
      <c r="AB1686" t="s">
        <v>158</v>
      </c>
      <c r="AD1686">
        <f>0</f>
        <v>0</v>
      </c>
      <c r="AE1686">
        <f>0</f>
        <v>0</v>
      </c>
    </row>
    <row r="1687" spans="1:44" x14ac:dyDescent="0.25">
      <c r="A1687" t="s">
        <v>4333</v>
      </c>
      <c r="B1687" t="s">
        <v>148</v>
      </c>
      <c r="C1687" s="1">
        <v>45895</v>
      </c>
      <c r="D1687" t="s">
        <v>175</v>
      </c>
      <c r="E1687" t="s">
        <v>284</v>
      </c>
      <c r="F1687" t="s">
        <v>678</v>
      </c>
      <c r="G1687" t="s">
        <v>2468</v>
      </c>
      <c r="H1687">
        <v>1555</v>
      </c>
      <c r="I1687" t="s">
        <v>2468</v>
      </c>
      <c r="J1687">
        <v>232</v>
      </c>
      <c r="K1687" t="s">
        <v>5254</v>
      </c>
      <c r="M1687" s="2" t="s">
        <v>5574</v>
      </c>
      <c r="N1687" t="s">
        <v>4843</v>
      </c>
      <c r="O1687" t="s">
        <v>2469</v>
      </c>
      <c r="R1687">
        <f>1</f>
        <v>1</v>
      </c>
      <c r="S1687">
        <f>18.9</f>
        <v>18.899999999999999</v>
      </c>
      <c r="T1687">
        <f>7.5</f>
        <v>7.5</v>
      </c>
      <c r="U1687">
        <f>430</f>
        <v>430</v>
      </c>
      <c r="X1687">
        <f>0</f>
        <v>0</v>
      </c>
      <c r="Y1687" t="s">
        <v>157</v>
      </c>
      <c r="Z1687">
        <f>0</f>
        <v>0</v>
      </c>
      <c r="AA1687" t="s">
        <v>158</v>
      </c>
      <c r="AB1687" t="s">
        <v>158</v>
      </c>
      <c r="AD1687">
        <f>0</f>
        <v>0</v>
      </c>
      <c r="AE1687">
        <f>0</f>
        <v>0</v>
      </c>
      <c r="AH1687" t="s">
        <v>157</v>
      </c>
    </row>
    <row r="1688" spans="1:44" x14ac:dyDescent="0.25">
      <c r="A1688" t="s">
        <v>4334</v>
      </c>
      <c r="B1688" t="s">
        <v>148</v>
      </c>
      <c r="C1688" s="1">
        <v>45895</v>
      </c>
      <c r="D1688" t="s">
        <v>175</v>
      </c>
      <c r="E1688" t="s">
        <v>284</v>
      </c>
      <c r="F1688" t="s">
        <v>678</v>
      </c>
      <c r="G1688" t="s">
        <v>2471</v>
      </c>
      <c r="H1688">
        <v>1556</v>
      </c>
      <c r="I1688" t="s">
        <v>2471</v>
      </c>
      <c r="J1688">
        <v>191</v>
      </c>
      <c r="K1688" t="s">
        <v>5254</v>
      </c>
      <c r="L1688" t="s">
        <v>431</v>
      </c>
      <c r="M1688" s="2" t="s">
        <v>5575</v>
      </c>
      <c r="N1688" t="s">
        <v>2472</v>
      </c>
      <c r="O1688" t="s">
        <v>2473</v>
      </c>
      <c r="R1688">
        <f>1</f>
        <v>1</v>
      </c>
      <c r="S1688">
        <f>19.6</f>
        <v>19.600000000000001</v>
      </c>
      <c r="T1688">
        <f>7.6</f>
        <v>7.6</v>
      </c>
      <c r="U1688">
        <f>425</f>
        <v>425</v>
      </c>
      <c r="X1688">
        <f>0</f>
        <v>0</v>
      </c>
      <c r="Y1688" t="s">
        <v>157</v>
      </c>
      <c r="Z1688">
        <f>0</f>
        <v>0</v>
      </c>
      <c r="AA1688" t="s">
        <v>158</v>
      </c>
      <c r="AB1688" t="s">
        <v>158</v>
      </c>
      <c r="AD1688">
        <f>0</f>
        <v>0</v>
      </c>
      <c r="AE1688">
        <f>0</f>
        <v>0</v>
      </c>
      <c r="AH1688" t="s">
        <v>157</v>
      </c>
    </row>
    <row r="1689" spans="1:44" x14ac:dyDescent="0.25">
      <c r="A1689" t="s">
        <v>4335</v>
      </c>
      <c r="B1689" t="s">
        <v>148</v>
      </c>
      <c r="C1689" s="1">
        <v>45729</v>
      </c>
      <c r="D1689" t="s">
        <v>242</v>
      </c>
      <c r="E1689" t="s">
        <v>295</v>
      </c>
      <c r="F1689" t="s">
        <v>764</v>
      </c>
      <c r="G1689" t="s">
        <v>6237</v>
      </c>
      <c r="H1689">
        <v>1418</v>
      </c>
      <c r="I1689" t="s">
        <v>6237</v>
      </c>
      <c r="J1689">
        <v>175</v>
      </c>
      <c r="K1689" t="s">
        <v>5257</v>
      </c>
      <c r="L1689" t="s">
        <v>4947</v>
      </c>
      <c r="M1689" t="s">
        <v>5733</v>
      </c>
      <c r="N1689" t="s">
        <v>4336</v>
      </c>
      <c r="O1689" t="s">
        <v>4337</v>
      </c>
      <c r="R1689">
        <f>1</f>
        <v>1</v>
      </c>
      <c r="S1689">
        <f>10.3</f>
        <v>10.3</v>
      </c>
      <c r="T1689">
        <f>7.9</f>
        <v>7.9</v>
      </c>
      <c r="U1689">
        <f>340</f>
        <v>340</v>
      </c>
      <c r="X1689">
        <f>1</f>
        <v>1</v>
      </c>
      <c r="Y1689">
        <f>0.16</f>
        <v>0.16</v>
      </c>
      <c r="Z1689">
        <f>0</f>
        <v>0</v>
      </c>
      <c r="AA1689" t="s">
        <v>158</v>
      </c>
      <c r="AB1689" t="s">
        <v>158</v>
      </c>
      <c r="AC1689">
        <f>0</f>
        <v>0</v>
      </c>
      <c r="AD1689">
        <f>0</f>
        <v>0</v>
      </c>
      <c r="AE1689">
        <f>0</f>
        <v>0</v>
      </c>
      <c r="AH1689" t="s">
        <v>157</v>
      </c>
    </row>
    <row r="1690" spans="1:44" x14ac:dyDescent="0.25">
      <c r="A1690" t="s">
        <v>4338</v>
      </c>
      <c r="B1690" t="s">
        <v>148</v>
      </c>
      <c r="C1690" s="1">
        <v>45881</v>
      </c>
      <c r="D1690" t="s">
        <v>618</v>
      </c>
      <c r="E1690" t="s">
        <v>619</v>
      </c>
      <c r="F1690" t="s">
        <v>620</v>
      </c>
      <c r="G1690" t="s">
        <v>4815</v>
      </c>
      <c r="H1690">
        <v>1603</v>
      </c>
      <c r="I1690" t="s">
        <v>4815</v>
      </c>
      <c r="J1690">
        <v>177</v>
      </c>
      <c r="K1690" t="s">
        <v>5257</v>
      </c>
      <c r="M1690" t="s">
        <v>5503</v>
      </c>
      <c r="N1690" t="s">
        <v>4816</v>
      </c>
      <c r="O1690" t="s">
        <v>2092</v>
      </c>
      <c r="R1690">
        <f>1</f>
        <v>1</v>
      </c>
      <c r="S1690">
        <f>18.4</f>
        <v>18.399999999999999</v>
      </c>
      <c r="T1690">
        <f>7.3</f>
        <v>7.3</v>
      </c>
      <c r="U1690">
        <f>130</f>
        <v>130</v>
      </c>
      <c r="X1690">
        <f>0</f>
        <v>0</v>
      </c>
      <c r="Y1690" t="s">
        <v>157</v>
      </c>
      <c r="Z1690">
        <f>0</f>
        <v>0</v>
      </c>
      <c r="AA1690" t="s">
        <v>158</v>
      </c>
      <c r="AB1690" t="s">
        <v>158</v>
      </c>
      <c r="AC1690">
        <f>0</f>
        <v>0</v>
      </c>
      <c r="AD1690">
        <f>0</f>
        <v>0</v>
      </c>
      <c r="AE1690">
        <f>0</f>
        <v>0</v>
      </c>
      <c r="AH1690" t="s">
        <v>157</v>
      </c>
    </row>
    <row r="1691" spans="1:44" x14ac:dyDescent="0.25">
      <c r="A1691" t="s">
        <v>4339</v>
      </c>
      <c r="B1691" t="s">
        <v>148</v>
      </c>
      <c r="C1691" s="1">
        <v>45882</v>
      </c>
      <c r="D1691" t="s">
        <v>317</v>
      </c>
      <c r="E1691" t="s">
        <v>318</v>
      </c>
      <c r="F1691" t="s">
        <v>319</v>
      </c>
      <c r="G1691" t="s">
        <v>6043</v>
      </c>
      <c r="H1691">
        <v>1636</v>
      </c>
      <c r="I1691" t="s">
        <v>6043</v>
      </c>
      <c r="J1691">
        <v>300</v>
      </c>
      <c r="K1691" t="s">
        <v>5254</v>
      </c>
      <c r="M1691" t="s">
        <v>2104</v>
      </c>
      <c r="N1691" t="s">
        <v>6044</v>
      </c>
      <c r="O1691" t="s">
        <v>2105</v>
      </c>
      <c r="Q1691" t="s">
        <v>6301</v>
      </c>
      <c r="R1691">
        <f>1</f>
        <v>1</v>
      </c>
      <c r="S1691">
        <f>13.3</f>
        <v>13.3</v>
      </c>
      <c r="T1691">
        <f>7.5</f>
        <v>7.5</v>
      </c>
      <c r="U1691">
        <f>534</f>
        <v>534</v>
      </c>
      <c r="X1691">
        <f>0</f>
        <v>0</v>
      </c>
      <c r="Y1691" t="s">
        <v>157</v>
      </c>
      <c r="Z1691">
        <f>0</f>
        <v>0</v>
      </c>
      <c r="AA1691">
        <f>0</f>
        <v>0</v>
      </c>
      <c r="AB1691">
        <f>0</f>
        <v>0</v>
      </c>
      <c r="AD1691">
        <f>0</f>
        <v>0</v>
      </c>
      <c r="AE1691">
        <f>0</f>
        <v>0</v>
      </c>
      <c r="AH1691" t="s">
        <v>157</v>
      </c>
    </row>
    <row r="1692" spans="1:44" x14ac:dyDescent="0.25">
      <c r="A1692" t="s">
        <v>4340</v>
      </c>
      <c r="B1692" t="s">
        <v>148</v>
      </c>
      <c r="C1692" s="1">
        <v>45750</v>
      </c>
      <c r="D1692" t="s">
        <v>175</v>
      </c>
      <c r="E1692" t="s">
        <v>649</v>
      </c>
      <c r="F1692" t="s">
        <v>918</v>
      </c>
      <c r="G1692" t="s">
        <v>919</v>
      </c>
      <c r="H1692">
        <v>843</v>
      </c>
      <c r="I1692" t="s">
        <v>6828</v>
      </c>
      <c r="J1692">
        <v>259</v>
      </c>
      <c r="K1692" t="s">
        <v>5257</v>
      </c>
      <c r="L1692" t="s">
        <v>431</v>
      </c>
      <c r="M1692" t="s">
        <v>5734</v>
      </c>
      <c r="N1692" t="s">
        <v>6829</v>
      </c>
      <c r="O1692" t="s">
        <v>4341</v>
      </c>
      <c r="R1692">
        <f>1</f>
        <v>1</v>
      </c>
      <c r="S1692">
        <f>10.1</f>
        <v>10.1</v>
      </c>
      <c r="T1692">
        <f>8.1</f>
        <v>8.1</v>
      </c>
      <c r="U1692">
        <f>319</f>
        <v>319</v>
      </c>
      <c r="V1692">
        <f>0.29</f>
        <v>0.28999999999999998</v>
      </c>
      <c r="X1692">
        <f>0</f>
        <v>0</v>
      </c>
      <c r="Y1692">
        <f>0.16</f>
        <v>0.16</v>
      </c>
      <c r="Z1692">
        <f>0</f>
        <v>0</v>
      </c>
      <c r="AA1692" t="s">
        <v>158</v>
      </c>
      <c r="AB1692" t="s">
        <v>158</v>
      </c>
      <c r="AC1692">
        <f>0</f>
        <v>0</v>
      </c>
      <c r="AD1692">
        <f>0</f>
        <v>0</v>
      </c>
      <c r="AE1692">
        <f>0</f>
        <v>0</v>
      </c>
      <c r="AH1692" t="s">
        <v>157</v>
      </c>
    </row>
    <row r="1693" spans="1:44" x14ac:dyDescent="0.25">
      <c r="A1693" t="s">
        <v>4342</v>
      </c>
      <c r="B1693" t="s">
        <v>148</v>
      </c>
      <c r="C1693" s="1">
        <v>45734</v>
      </c>
      <c r="D1693" t="s">
        <v>175</v>
      </c>
      <c r="E1693" t="s">
        <v>270</v>
      </c>
      <c r="F1693" t="s">
        <v>5735</v>
      </c>
      <c r="G1693" t="s">
        <v>6830</v>
      </c>
      <c r="H1693">
        <v>1157</v>
      </c>
      <c r="I1693" t="s">
        <v>6830</v>
      </c>
      <c r="J1693">
        <v>208</v>
      </c>
      <c r="K1693" t="s">
        <v>5257</v>
      </c>
      <c r="L1693" t="s">
        <v>431</v>
      </c>
      <c r="M1693" t="s">
        <v>4343</v>
      </c>
      <c r="N1693" t="s">
        <v>5736</v>
      </c>
      <c r="O1693" t="s">
        <v>4344</v>
      </c>
      <c r="R1693">
        <f>1</f>
        <v>1</v>
      </c>
      <c r="S1693">
        <f>9.8</f>
        <v>9.8000000000000007</v>
      </c>
      <c r="T1693">
        <f>7.8</f>
        <v>7.8</v>
      </c>
      <c r="U1693">
        <f>399</f>
        <v>399</v>
      </c>
      <c r="V1693">
        <f>0.2</f>
        <v>0.2</v>
      </c>
      <c r="X1693">
        <f>0</f>
        <v>0</v>
      </c>
      <c r="Y1693" t="s">
        <v>207</v>
      </c>
      <c r="Z1693">
        <f>0</f>
        <v>0</v>
      </c>
      <c r="AA1693" t="s">
        <v>158</v>
      </c>
      <c r="AB1693" t="s">
        <v>158</v>
      </c>
      <c r="AC1693">
        <f>0</f>
        <v>0</v>
      </c>
      <c r="AD1693">
        <f>0</f>
        <v>0</v>
      </c>
      <c r="AE1693">
        <f>0</f>
        <v>0</v>
      </c>
    </row>
    <row r="1694" spans="1:44" x14ac:dyDescent="0.25">
      <c r="A1694" t="s">
        <v>4345</v>
      </c>
      <c r="B1694" t="s">
        <v>148</v>
      </c>
      <c r="C1694" s="1">
        <v>45751</v>
      </c>
      <c r="D1694" t="s">
        <v>618</v>
      </c>
      <c r="E1694" t="s">
        <v>619</v>
      </c>
      <c r="F1694" t="s">
        <v>620</v>
      </c>
      <c r="G1694" t="s">
        <v>4346</v>
      </c>
      <c r="H1694">
        <v>31</v>
      </c>
      <c r="I1694" t="s">
        <v>4346</v>
      </c>
      <c r="J1694">
        <v>190</v>
      </c>
      <c r="K1694" t="s">
        <v>5254</v>
      </c>
      <c r="L1694" t="s">
        <v>431</v>
      </c>
      <c r="M1694" t="s">
        <v>4347</v>
      </c>
      <c r="N1694" t="s">
        <v>4348</v>
      </c>
      <c r="O1694" t="s">
        <v>4349</v>
      </c>
      <c r="R1694">
        <f>1</f>
        <v>1</v>
      </c>
      <c r="S1694">
        <f>9.2</f>
        <v>9.1999999999999993</v>
      </c>
      <c r="T1694">
        <f>7.4</f>
        <v>7.4</v>
      </c>
      <c r="U1694">
        <f>63</f>
        <v>63</v>
      </c>
      <c r="X1694">
        <f>0</f>
        <v>0</v>
      </c>
      <c r="Y1694">
        <f>0.1</f>
        <v>0.1</v>
      </c>
      <c r="Z1694">
        <f>0</f>
        <v>0</v>
      </c>
      <c r="AA1694" t="s">
        <v>158</v>
      </c>
      <c r="AB1694" t="s">
        <v>158</v>
      </c>
      <c r="AD1694">
        <f>0</f>
        <v>0</v>
      </c>
      <c r="AE1694">
        <f>0</f>
        <v>0</v>
      </c>
      <c r="AH1694" t="s">
        <v>157</v>
      </c>
    </row>
    <row r="1695" spans="1:44" x14ac:dyDescent="0.25">
      <c r="A1695" t="s">
        <v>4350</v>
      </c>
      <c r="B1695" t="s">
        <v>148</v>
      </c>
      <c r="C1695" s="1">
        <v>45876</v>
      </c>
      <c r="D1695" t="s">
        <v>222</v>
      </c>
      <c r="E1695" t="s">
        <v>223</v>
      </c>
      <c r="F1695" t="s">
        <v>469</v>
      </c>
      <c r="G1695" t="s">
        <v>2211</v>
      </c>
      <c r="H1695">
        <v>268</v>
      </c>
      <c r="I1695" t="s">
        <v>2211</v>
      </c>
      <c r="J1695">
        <v>138</v>
      </c>
      <c r="K1695" t="s">
        <v>5257</v>
      </c>
      <c r="L1695" t="s">
        <v>431</v>
      </c>
      <c r="M1695" t="s">
        <v>5530</v>
      </c>
      <c r="N1695" t="s">
        <v>2212</v>
      </c>
      <c r="O1695" t="s">
        <v>2213</v>
      </c>
      <c r="R1695">
        <f>1</f>
        <v>1</v>
      </c>
      <c r="S1695">
        <f>19.1</f>
        <v>19.100000000000001</v>
      </c>
      <c r="T1695">
        <f>7.9</f>
        <v>7.9</v>
      </c>
      <c r="U1695">
        <f>273</f>
        <v>273</v>
      </c>
      <c r="X1695">
        <f>1</f>
        <v>1</v>
      </c>
      <c r="Y1695">
        <f>0.13</f>
        <v>0.13</v>
      </c>
      <c r="Z1695">
        <f>0</f>
        <v>0</v>
      </c>
      <c r="AA1695">
        <f>4</f>
        <v>4</v>
      </c>
      <c r="AB1695">
        <f>1</f>
        <v>1</v>
      </c>
      <c r="AC1695">
        <f>0</f>
        <v>0</v>
      </c>
      <c r="AD1695">
        <f>0</f>
        <v>0</v>
      </c>
      <c r="AE1695">
        <f>0</f>
        <v>0</v>
      </c>
      <c r="AH1695" t="s">
        <v>166</v>
      </c>
    </row>
    <row r="1696" spans="1:44" x14ac:dyDescent="0.25">
      <c r="A1696" t="s">
        <v>4351</v>
      </c>
      <c r="B1696" t="s">
        <v>148</v>
      </c>
      <c r="C1696" s="1">
        <v>45897</v>
      </c>
      <c r="D1696" t="s">
        <v>317</v>
      </c>
      <c r="E1696" t="s">
        <v>318</v>
      </c>
      <c r="F1696" t="s">
        <v>847</v>
      </c>
      <c r="G1696" t="s">
        <v>2215</v>
      </c>
      <c r="H1696">
        <v>71</v>
      </c>
      <c r="I1696" t="s">
        <v>2215</v>
      </c>
      <c r="J1696">
        <v>250</v>
      </c>
      <c r="K1696" t="s">
        <v>5254</v>
      </c>
      <c r="L1696" t="s">
        <v>180</v>
      </c>
      <c r="M1696" t="s">
        <v>2216</v>
      </c>
      <c r="N1696" t="s">
        <v>5531</v>
      </c>
      <c r="O1696" t="s">
        <v>2217</v>
      </c>
      <c r="Q1696" t="s">
        <v>6301</v>
      </c>
      <c r="R1696">
        <f>1</f>
        <v>1</v>
      </c>
      <c r="S1696">
        <f>15.6</f>
        <v>15.6</v>
      </c>
      <c r="T1696">
        <f>7.8</f>
        <v>7.8</v>
      </c>
      <c r="U1696">
        <f>295</f>
        <v>295</v>
      </c>
      <c r="X1696">
        <f>0</f>
        <v>0</v>
      </c>
      <c r="Y1696" t="s">
        <v>157</v>
      </c>
      <c r="Z1696">
        <f>0</f>
        <v>0</v>
      </c>
      <c r="AA1696">
        <f>0</f>
        <v>0</v>
      </c>
      <c r="AB1696">
        <f>0</f>
        <v>0</v>
      </c>
      <c r="AD1696">
        <f>0</f>
        <v>0</v>
      </c>
      <c r="AE1696">
        <f>0</f>
        <v>0</v>
      </c>
      <c r="AH1696" t="s">
        <v>157</v>
      </c>
    </row>
    <row r="1697" spans="1:34" x14ac:dyDescent="0.25">
      <c r="A1697" t="s">
        <v>4352</v>
      </c>
      <c r="B1697" t="s">
        <v>148</v>
      </c>
      <c r="C1697" s="1">
        <v>45754</v>
      </c>
      <c r="D1697" t="s">
        <v>175</v>
      </c>
      <c r="E1697" t="s">
        <v>176</v>
      </c>
      <c r="F1697" t="s">
        <v>343</v>
      </c>
      <c r="G1697" t="s">
        <v>4353</v>
      </c>
      <c r="H1697">
        <v>1496</v>
      </c>
      <c r="I1697" t="s">
        <v>4353</v>
      </c>
      <c r="J1697">
        <v>192</v>
      </c>
      <c r="K1697" t="s">
        <v>5257</v>
      </c>
      <c r="L1697" t="s">
        <v>431</v>
      </c>
      <c r="M1697" t="s">
        <v>1984</v>
      </c>
      <c r="N1697" t="s">
        <v>4354</v>
      </c>
      <c r="O1697" t="s">
        <v>4355</v>
      </c>
      <c r="Q1697" t="s">
        <v>347</v>
      </c>
      <c r="R1697">
        <f>1</f>
        <v>1</v>
      </c>
      <c r="S1697">
        <f>8.6</f>
        <v>8.6</v>
      </c>
      <c r="T1697">
        <f>7.8</f>
        <v>7.8</v>
      </c>
      <c r="U1697">
        <f>87</f>
        <v>87</v>
      </c>
      <c r="V1697">
        <f>0.1</f>
        <v>0.1</v>
      </c>
      <c r="X1697">
        <f>0</f>
        <v>0</v>
      </c>
      <c r="Y1697" t="s">
        <v>157</v>
      </c>
      <c r="Z1697">
        <f>0</f>
        <v>0</v>
      </c>
      <c r="AA1697">
        <f>0</f>
        <v>0</v>
      </c>
      <c r="AB1697">
        <f>0</f>
        <v>0</v>
      </c>
      <c r="AC1697">
        <f>0</f>
        <v>0</v>
      </c>
      <c r="AD1697">
        <f>0</f>
        <v>0</v>
      </c>
      <c r="AE1697">
        <f>0</f>
        <v>0</v>
      </c>
      <c r="AH1697" t="s">
        <v>157</v>
      </c>
    </row>
    <row r="1698" spans="1:34" x14ac:dyDescent="0.25">
      <c r="A1698" t="s">
        <v>4356</v>
      </c>
      <c r="B1698" t="s">
        <v>268</v>
      </c>
      <c r="C1698" s="1">
        <v>45897</v>
      </c>
      <c r="D1698" t="s">
        <v>149</v>
      </c>
      <c r="E1698" t="s">
        <v>150</v>
      </c>
      <c r="F1698" t="s">
        <v>151</v>
      </c>
      <c r="G1698" t="s">
        <v>152</v>
      </c>
      <c r="H1698">
        <v>10</v>
      </c>
      <c r="I1698" t="s">
        <v>153</v>
      </c>
      <c r="J1698">
        <v>41336</v>
      </c>
      <c r="K1698" t="s">
        <v>5254</v>
      </c>
      <c r="L1698" t="s">
        <v>154</v>
      </c>
      <c r="M1698" t="s">
        <v>5534</v>
      </c>
      <c r="N1698" t="s">
        <v>5535</v>
      </c>
      <c r="Q1698" t="s">
        <v>6380</v>
      </c>
      <c r="R1698">
        <f>1</f>
        <v>1</v>
      </c>
      <c r="S1698">
        <f>21</f>
        <v>21</v>
      </c>
      <c r="T1698">
        <f>7.4</f>
        <v>7.4</v>
      </c>
      <c r="U1698">
        <f>543</f>
        <v>543</v>
      </c>
      <c r="X1698">
        <f>0</f>
        <v>0</v>
      </c>
      <c r="Y1698">
        <f>0.1</f>
        <v>0.1</v>
      </c>
      <c r="Z1698">
        <f>0</f>
        <v>0</v>
      </c>
      <c r="AA1698" t="s">
        <v>158</v>
      </c>
      <c r="AB1698" t="s">
        <v>158</v>
      </c>
      <c r="AD1698">
        <f>0</f>
        <v>0</v>
      </c>
      <c r="AE1698">
        <f>1</f>
        <v>1</v>
      </c>
      <c r="AH1698" t="s">
        <v>157</v>
      </c>
    </row>
    <row r="1699" spans="1:34" x14ac:dyDescent="0.25">
      <c r="A1699" t="s">
        <v>4357</v>
      </c>
      <c r="B1699" t="s">
        <v>148</v>
      </c>
      <c r="C1699" s="1">
        <v>45734</v>
      </c>
      <c r="D1699" t="s">
        <v>242</v>
      </c>
      <c r="E1699" t="s">
        <v>243</v>
      </c>
      <c r="F1699" t="s">
        <v>5284</v>
      </c>
      <c r="G1699" t="s">
        <v>4358</v>
      </c>
      <c r="H1699">
        <v>829</v>
      </c>
      <c r="I1699" t="s">
        <v>4358</v>
      </c>
      <c r="J1699">
        <v>149</v>
      </c>
      <c r="K1699" t="s">
        <v>5254</v>
      </c>
      <c r="L1699" t="s">
        <v>393</v>
      </c>
      <c r="M1699" t="s">
        <v>5737</v>
      </c>
      <c r="N1699" t="s">
        <v>6238</v>
      </c>
      <c r="O1699" t="s">
        <v>4359</v>
      </c>
      <c r="R1699">
        <f>1</f>
        <v>1</v>
      </c>
      <c r="S1699">
        <f>9.6</f>
        <v>9.6</v>
      </c>
      <c r="T1699">
        <f>7.6</f>
        <v>7.6</v>
      </c>
      <c r="U1699">
        <f>532</f>
        <v>532</v>
      </c>
      <c r="X1699">
        <f>1</f>
        <v>1</v>
      </c>
      <c r="Y1699" t="s">
        <v>157</v>
      </c>
      <c r="Z1699">
        <f>0</f>
        <v>0</v>
      </c>
      <c r="AA1699" t="s">
        <v>158</v>
      </c>
      <c r="AB1699" t="s">
        <v>158</v>
      </c>
      <c r="AD1699">
        <f>0</f>
        <v>0</v>
      </c>
      <c r="AE1699">
        <f>0</f>
        <v>0</v>
      </c>
      <c r="AH1699" t="s">
        <v>157</v>
      </c>
    </row>
    <row r="1700" spans="1:34" x14ac:dyDescent="0.25">
      <c r="A1700" t="s">
        <v>4360</v>
      </c>
      <c r="B1700" t="s">
        <v>148</v>
      </c>
      <c r="C1700" s="1">
        <v>45783</v>
      </c>
      <c r="D1700" t="s">
        <v>311</v>
      </c>
      <c r="E1700" t="s">
        <v>312</v>
      </c>
      <c r="F1700" t="s">
        <v>424</v>
      </c>
      <c r="G1700" t="s">
        <v>425</v>
      </c>
      <c r="H1700">
        <v>910</v>
      </c>
      <c r="I1700" t="s">
        <v>4928</v>
      </c>
      <c r="J1700">
        <v>33</v>
      </c>
      <c r="K1700" t="s">
        <v>5257</v>
      </c>
      <c r="L1700" t="s">
        <v>431</v>
      </c>
      <c r="M1700" t="s">
        <v>6831</v>
      </c>
      <c r="N1700" t="s">
        <v>4361</v>
      </c>
      <c r="O1700" t="s">
        <v>4362</v>
      </c>
      <c r="R1700">
        <f>1</f>
        <v>1</v>
      </c>
      <c r="S1700">
        <f>13.6</f>
        <v>13.6</v>
      </c>
      <c r="T1700">
        <f>7.9</f>
        <v>7.9</v>
      </c>
      <c r="U1700">
        <f>495</f>
        <v>495</v>
      </c>
      <c r="V1700">
        <f>0.08</f>
        <v>0.08</v>
      </c>
      <c r="X1700">
        <f>0</f>
        <v>0</v>
      </c>
      <c r="Y1700" t="s">
        <v>157</v>
      </c>
      <c r="Z1700">
        <f>0</f>
        <v>0</v>
      </c>
      <c r="AA1700" t="s">
        <v>158</v>
      </c>
      <c r="AB1700" t="s">
        <v>158</v>
      </c>
      <c r="AC1700">
        <f>0</f>
        <v>0</v>
      </c>
      <c r="AD1700">
        <f>0</f>
        <v>0</v>
      </c>
      <c r="AE1700">
        <f>0</f>
        <v>0</v>
      </c>
      <c r="AH1700" t="s">
        <v>157</v>
      </c>
    </row>
    <row r="1701" spans="1:34" x14ac:dyDescent="0.25">
      <c r="A1701" t="s">
        <v>4363</v>
      </c>
      <c r="B1701" t="s">
        <v>148</v>
      </c>
      <c r="C1701" s="1">
        <v>45790</v>
      </c>
      <c r="D1701" t="s">
        <v>149</v>
      </c>
      <c r="E1701" t="s">
        <v>150</v>
      </c>
      <c r="F1701" t="s">
        <v>5990</v>
      </c>
      <c r="G1701" t="s">
        <v>6239</v>
      </c>
      <c r="H1701">
        <v>916</v>
      </c>
      <c r="I1701" t="s">
        <v>6239</v>
      </c>
      <c r="J1701">
        <v>60</v>
      </c>
      <c r="K1701" t="s">
        <v>5254</v>
      </c>
      <c r="L1701" t="s">
        <v>726</v>
      </c>
      <c r="M1701" t="s">
        <v>6240</v>
      </c>
      <c r="N1701" t="s">
        <v>6241</v>
      </c>
      <c r="O1701" t="s">
        <v>4364</v>
      </c>
      <c r="R1701">
        <f>1</f>
        <v>1</v>
      </c>
      <c r="S1701">
        <f>13.5</f>
        <v>13.5</v>
      </c>
      <c r="T1701">
        <f>7.5</f>
        <v>7.5</v>
      </c>
      <c r="U1701">
        <f>571</f>
        <v>571</v>
      </c>
      <c r="V1701" t="s">
        <v>209</v>
      </c>
      <c r="X1701">
        <f>0</f>
        <v>0</v>
      </c>
      <c r="Y1701">
        <f>0.1</f>
        <v>0.1</v>
      </c>
      <c r="Z1701">
        <f>0</f>
        <v>0</v>
      </c>
      <c r="AA1701" t="s">
        <v>158</v>
      </c>
      <c r="AB1701" t="s">
        <v>158</v>
      </c>
      <c r="AD1701">
        <f>0</f>
        <v>0</v>
      </c>
      <c r="AE1701">
        <f>0</f>
        <v>0</v>
      </c>
      <c r="AH1701" t="s">
        <v>157</v>
      </c>
    </row>
    <row r="1702" spans="1:34" x14ac:dyDescent="0.25">
      <c r="A1702" t="s">
        <v>4365</v>
      </c>
      <c r="B1702" t="s">
        <v>148</v>
      </c>
      <c r="C1702" s="1">
        <v>45734</v>
      </c>
      <c r="D1702" t="s">
        <v>242</v>
      </c>
      <c r="E1702" t="s">
        <v>243</v>
      </c>
      <c r="F1702" t="s">
        <v>5284</v>
      </c>
      <c r="G1702" t="s">
        <v>4366</v>
      </c>
      <c r="H1702">
        <v>1168</v>
      </c>
      <c r="I1702" t="s">
        <v>4366</v>
      </c>
      <c r="J1702">
        <v>122</v>
      </c>
      <c r="K1702" t="s">
        <v>5254</v>
      </c>
      <c r="L1702" t="s">
        <v>4724</v>
      </c>
      <c r="M1702" t="s">
        <v>4367</v>
      </c>
      <c r="N1702" t="s">
        <v>6242</v>
      </c>
      <c r="O1702" t="s">
        <v>4368</v>
      </c>
      <c r="R1702">
        <f>1</f>
        <v>1</v>
      </c>
      <c r="S1702">
        <f>10.1</f>
        <v>10.1</v>
      </c>
      <c r="T1702">
        <f>7.4</f>
        <v>7.4</v>
      </c>
      <c r="U1702">
        <f>657</f>
        <v>657</v>
      </c>
      <c r="V1702">
        <f>0.13</f>
        <v>0.13</v>
      </c>
      <c r="X1702">
        <f>0</f>
        <v>0</v>
      </c>
      <c r="Y1702" t="s">
        <v>157</v>
      </c>
      <c r="Z1702">
        <f>0</f>
        <v>0</v>
      </c>
      <c r="AA1702" t="s">
        <v>158</v>
      </c>
      <c r="AB1702" t="s">
        <v>158</v>
      </c>
      <c r="AD1702">
        <f>0</f>
        <v>0</v>
      </c>
      <c r="AE1702">
        <f>0</f>
        <v>0</v>
      </c>
      <c r="AH1702" t="s">
        <v>157</v>
      </c>
    </row>
    <row r="1703" spans="1:34" x14ac:dyDescent="0.25">
      <c r="A1703" t="s">
        <v>4369</v>
      </c>
      <c r="B1703" t="s">
        <v>148</v>
      </c>
      <c r="C1703" s="1">
        <v>45726</v>
      </c>
      <c r="D1703" t="s">
        <v>269</v>
      </c>
      <c r="E1703" t="s">
        <v>270</v>
      </c>
      <c r="F1703" t="s">
        <v>754</v>
      </c>
      <c r="G1703" t="s">
        <v>6832</v>
      </c>
      <c r="H1703">
        <v>467</v>
      </c>
      <c r="I1703" t="s">
        <v>6832</v>
      </c>
      <c r="J1703">
        <v>100</v>
      </c>
      <c r="K1703" t="s">
        <v>5257</v>
      </c>
      <c r="L1703" t="s">
        <v>431</v>
      </c>
      <c r="M1703" t="s">
        <v>6833</v>
      </c>
      <c r="N1703" t="s">
        <v>6834</v>
      </c>
      <c r="O1703" t="s">
        <v>4370</v>
      </c>
      <c r="R1703">
        <f>1</f>
        <v>1</v>
      </c>
      <c r="S1703">
        <f>9</f>
        <v>9</v>
      </c>
      <c r="T1703">
        <f>7.5</f>
        <v>7.5</v>
      </c>
      <c r="U1703">
        <f>590</f>
        <v>590</v>
      </c>
      <c r="V1703">
        <f>0.08</f>
        <v>0.08</v>
      </c>
      <c r="X1703">
        <f>0</f>
        <v>0</v>
      </c>
      <c r="Y1703">
        <f>0.43</f>
        <v>0.43</v>
      </c>
      <c r="Z1703">
        <f>0</f>
        <v>0</v>
      </c>
      <c r="AA1703" t="s">
        <v>158</v>
      </c>
      <c r="AB1703" t="s">
        <v>158</v>
      </c>
      <c r="AC1703">
        <f>0</f>
        <v>0</v>
      </c>
      <c r="AD1703">
        <f>0</f>
        <v>0</v>
      </c>
      <c r="AE1703">
        <f>0</f>
        <v>0</v>
      </c>
    </row>
    <row r="1704" spans="1:34" x14ac:dyDescent="0.25">
      <c r="A1704" t="s">
        <v>4371</v>
      </c>
      <c r="B1704" t="s">
        <v>148</v>
      </c>
      <c r="C1704" s="1">
        <v>45890</v>
      </c>
      <c r="D1704" t="s">
        <v>222</v>
      </c>
      <c r="E1704" t="s">
        <v>223</v>
      </c>
      <c r="F1704" t="s">
        <v>4938</v>
      </c>
      <c r="G1704" t="s">
        <v>2760</v>
      </c>
      <c r="H1704">
        <v>1277</v>
      </c>
      <c r="I1704" t="s">
        <v>2760</v>
      </c>
      <c r="J1704">
        <v>72</v>
      </c>
      <c r="K1704" t="s">
        <v>5257</v>
      </c>
      <c r="L1704" t="s">
        <v>431</v>
      </c>
      <c r="M1704" t="s">
        <v>5384</v>
      </c>
      <c r="N1704" t="s">
        <v>5626</v>
      </c>
      <c r="O1704" t="s">
        <v>2761</v>
      </c>
      <c r="Q1704" t="s">
        <v>6416</v>
      </c>
      <c r="R1704">
        <f>1</f>
        <v>1</v>
      </c>
      <c r="S1704">
        <f>24.3</f>
        <v>24.3</v>
      </c>
      <c r="T1704">
        <f>7.8</f>
        <v>7.8</v>
      </c>
      <c r="U1704">
        <f>401</f>
        <v>401</v>
      </c>
      <c r="V1704">
        <f>0.12</f>
        <v>0.12</v>
      </c>
      <c r="X1704">
        <f>1</f>
        <v>1</v>
      </c>
      <c r="Y1704">
        <f>0.2</f>
        <v>0.2</v>
      </c>
      <c r="Z1704">
        <f>0</f>
        <v>0</v>
      </c>
      <c r="AA1704">
        <f>0</f>
        <v>0</v>
      </c>
      <c r="AB1704">
        <f>0</f>
        <v>0</v>
      </c>
      <c r="AC1704">
        <f>0</f>
        <v>0</v>
      </c>
      <c r="AD1704">
        <f>0</f>
        <v>0</v>
      </c>
      <c r="AE1704">
        <f>0</f>
        <v>0</v>
      </c>
      <c r="AH1704" t="s">
        <v>166</v>
      </c>
    </row>
    <row r="1705" spans="1:34" x14ac:dyDescent="0.25">
      <c r="A1705" t="s">
        <v>4372</v>
      </c>
      <c r="B1705" t="s">
        <v>148</v>
      </c>
      <c r="C1705" s="1">
        <v>45743</v>
      </c>
      <c r="D1705" t="s">
        <v>242</v>
      </c>
      <c r="E1705" t="s">
        <v>243</v>
      </c>
      <c r="F1705" t="s">
        <v>391</v>
      </c>
      <c r="G1705" t="s">
        <v>5242</v>
      </c>
      <c r="H1705">
        <v>1327</v>
      </c>
      <c r="I1705" t="s">
        <v>5242</v>
      </c>
      <c r="J1705">
        <v>150</v>
      </c>
      <c r="K1705" t="s">
        <v>5254</v>
      </c>
      <c r="L1705" t="s">
        <v>393</v>
      </c>
      <c r="M1705" t="s">
        <v>5738</v>
      </c>
      <c r="N1705" t="s">
        <v>5075</v>
      </c>
      <c r="O1705" t="s">
        <v>4373</v>
      </c>
      <c r="Q1705" t="s">
        <v>6340</v>
      </c>
      <c r="R1705">
        <f>1</f>
        <v>1</v>
      </c>
      <c r="S1705">
        <f>9.6</f>
        <v>9.6</v>
      </c>
      <c r="T1705">
        <f>7.5</f>
        <v>7.5</v>
      </c>
      <c r="U1705">
        <f>550</f>
        <v>550</v>
      </c>
      <c r="V1705">
        <f>0.1</f>
        <v>0.1</v>
      </c>
      <c r="X1705">
        <f>1</f>
        <v>1</v>
      </c>
      <c r="Y1705" t="s">
        <v>157</v>
      </c>
      <c r="Z1705">
        <f>0</f>
        <v>0</v>
      </c>
      <c r="AA1705" t="s">
        <v>158</v>
      </c>
      <c r="AB1705" t="s">
        <v>158</v>
      </c>
      <c r="AD1705">
        <f>0</f>
        <v>0</v>
      </c>
      <c r="AE1705">
        <f>0</f>
        <v>0</v>
      </c>
      <c r="AH1705" t="s">
        <v>157</v>
      </c>
    </row>
    <row r="1706" spans="1:34" x14ac:dyDescent="0.25">
      <c r="A1706" t="s">
        <v>4374</v>
      </c>
      <c r="B1706" t="s">
        <v>148</v>
      </c>
      <c r="C1706" s="1">
        <v>45748</v>
      </c>
      <c r="D1706" t="s">
        <v>618</v>
      </c>
      <c r="E1706" t="s">
        <v>619</v>
      </c>
      <c r="F1706" t="s">
        <v>4375</v>
      </c>
      <c r="G1706" t="s">
        <v>4376</v>
      </c>
      <c r="H1706">
        <v>1381</v>
      </c>
      <c r="I1706" t="s">
        <v>4377</v>
      </c>
      <c r="J1706">
        <v>80</v>
      </c>
      <c r="K1706" t="s">
        <v>5254</v>
      </c>
      <c r="L1706" t="s">
        <v>180</v>
      </c>
      <c r="M1706" t="s">
        <v>6203</v>
      </c>
      <c r="N1706" t="s">
        <v>6243</v>
      </c>
      <c r="O1706" t="s">
        <v>4378</v>
      </c>
      <c r="R1706">
        <f>1</f>
        <v>1</v>
      </c>
      <c r="S1706">
        <f>8.5</f>
        <v>8.5</v>
      </c>
      <c r="T1706">
        <f>7.8</f>
        <v>7.8</v>
      </c>
      <c r="U1706">
        <f>104</f>
        <v>104</v>
      </c>
      <c r="X1706">
        <f>0</f>
        <v>0</v>
      </c>
      <c r="Y1706">
        <f>0.1</f>
        <v>0.1</v>
      </c>
      <c r="Z1706">
        <f>0</f>
        <v>0</v>
      </c>
      <c r="AA1706" t="s">
        <v>158</v>
      </c>
      <c r="AB1706" t="s">
        <v>158</v>
      </c>
      <c r="AD1706">
        <f>0</f>
        <v>0</v>
      </c>
      <c r="AE1706">
        <f>0</f>
        <v>0</v>
      </c>
      <c r="AH1706" t="s">
        <v>157</v>
      </c>
    </row>
    <row r="1707" spans="1:34" x14ac:dyDescent="0.25">
      <c r="A1707" t="s">
        <v>4379</v>
      </c>
      <c r="B1707" t="s">
        <v>148</v>
      </c>
      <c r="C1707" s="1">
        <v>45729</v>
      </c>
      <c r="D1707" t="s">
        <v>242</v>
      </c>
      <c r="E1707" t="s">
        <v>295</v>
      </c>
      <c r="F1707" t="s">
        <v>764</v>
      </c>
      <c r="G1707" t="s">
        <v>2366</v>
      </c>
      <c r="H1707">
        <v>1412</v>
      </c>
      <c r="I1707" t="s">
        <v>2366</v>
      </c>
      <c r="J1707">
        <v>129</v>
      </c>
      <c r="K1707" t="s">
        <v>5257</v>
      </c>
      <c r="L1707" t="s">
        <v>927</v>
      </c>
      <c r="M1707" t="s">
        <v>5554</v>
      </c>
      <c r="N1707" t="s">
        <v>2367</v>
      </c>
      <c r="O1707" t="s">
        <v>2368</v>
      </c>
      <c r="R1707">
        <f>1</f>
        <v>1</v>
      </c>
      <c r="S1707">
        <f>9.7</f>
        <v>9.6999999999999993</v>
      </c>
      <c r="T1707">
        <f>7.6</f>
        <v>7.6</v>
      </c>
      <c r="U1707">
        <f>363</f>
        <v>363</v>
      </c>
      <c r="X1707">
        <f>1</f>
        <v>1</v>
      </c>
      <c r="Y1707" t="s">
        <v>157</v>
      </c>
      <c r="Z1707">
        <f>0</f>
        <v>0</v>
      </c>
      <c r="AA1707" t="s">
        <v>158</v>
      </c>
      <c r="AB1707" t="s">
        <v>158</v>
      </c>
      <c r="AC1707">
        <f>0</f>
        <v>0</v>
      </c>
      <c r="AD1707">
        <f>0</f>
        <v>0</v>
      </c>
      <c r="AE1707">
        <f>0</f>
        <v>0</v>
      </c>
      <c r="AH1707" t="s">
        <v>157</v>
      </c>
    </row>
    <row r="1708" spans="1:34" x14ac:dyDescent="0.25">
      <c r="A1708" t="s">
        <v>4380</v>
      </c>
      <c r="B1708" t="s">
        <v>148</v>
      </c>
      <c r="C1708" s="1">
        <v>45729</v>
      </c>
      <c r="D1708" t="s">
        <v>242</v>
      </c>
      <c r="E1708" t="s">
        <v>295</v>
      </c>
      <c r="F1708" t="s">
        <v>764</v>
      </c>
      <c r="G1708" t="s">
        <v>6244</v>
      </c>
      <c r="H1708">
        <v>1436</v>
      </c>
      <c r="I1708" t="s">
        <v>6244</v>
      </c>
      <c r="J1708">
        <v>137</v>
      </c>
      <c r="K1708" t="s">
        <v>5257</v>
      </c>
      <c r="L1708" t="s">
        <v>431</v>
      </c>
      <c r="M1708" t="s">
        <v>5739</v>
      </c>
      <c r="N1708" t="s">
        <v>5740</v>
      </c>
      <c r="O1708" t="s">
        <v>4381</v>
      </c>
      <c r="R1708">
        <f>1</f>
        <v>1</v>
      </c>
      <c r="S1708">
        <f>9</f>
        <v>9</v>
      </c>
      <c r="T1708">
        <f>7.9</f>
        <v>7.9</v>
      </c>
      <c r="U1708">
        <f>457</f>
        <v>457</v>
      </c>
      <c r="X1708">
        <f>0</f>
        <v>0</v>
      </c>
      <c r="Y1708" t="s">
        <v>157</v>
      </c>
      <c r="Z1708">
        <f>0</f>
        <v>0</v>
      </c>
      <c r="AA1708" t="s">
        <v>158</v>
      </c>
      <c r="AB1708" t="s">
        <v>158</v>
      </c>
      <c r="AC1708">
        <f>0</f>
        <v>0</v>
      </c>
      <c r="AD1708">
        <f>0</f>
        <v>0</v>
      </c>
      <c r="AE1708">
        <f>0</f>
        <v>0</v>
      </c>
      <c r="AH1708" t="s">
        <v>157</v>
      </c>
    </row>
    <row r="1709" spans="1:34" x14ac:dyDescent="0.25">
      <c r="A1709" t="s">
        <v>4382</v>
      </c>
      <c r="B1709" t="s">
        <v>148</v>
      </c>
      <c r="C1709" s="1">
        <v>45814</v>
      </c>
      <c r="D1709" t="s">
        <v>311</v>
      </c>
      <c r="E1709" t="s">
        <v>312</v>
      </c>
      <c r="F1709" t="s">
        <v>424</v>
      </c>
      <c r="G1709" t="s">
        <v>425</v>
      </c>
      <c r="H1709">
        <v>1460</v>
      </c>
      <c r="I1709" t="s">
        <v>4929</v>
      </c>
      <c r="J1709">
        <v>14</v>
      </c>
      <c r="K1709" t="s">
        <v>5254</v>
      </c>
      <c r="L1709" t="s">
        <v>431</v>
      </c>
      <c r="M1709" t="s">
        <v>5741</v>
      </c>
      <c r="N1709" t="s">
        <v>4383</v>
      </c>
      <c r="O1709" t="s">
        <v>4384</v>
      </c>
      <c r="R1709">
        <f>1</f>
        <v>1</v>
      </c>
      <c r="S1709">
        <f>12.4</f>
        <v>12.4</v>
      </c>
      <c r="T1709">
        <f>6.9</f>
        <v>6.9</v>
      </c>
      <c r="U1709">
        <f>41</f>
        <v>41</v>
      </c>
      <c r="X1709">
        <f>0</f>
        <v>0</v>
      </c>
      <c r="Y1709" t="s">
        <v>157</v>
      </c>
      <c r="Z1709">
        <f>0</f>
        <v>0</v>
      </c>
      <c r="AA1709" t="s">
        <v>158</v>
      </c>
      <c r="AB1709" t="s">
        <v>158</v>
      </c>
      <c r="AD1709">
        <f>0</f>
        <v>0</v>
      </c>
      <c r="AE1709">
        <f>0</f>
        <v>0</v>
      </c>
      <c r="AH1709" t="s">
        <v>157</v>
      </c>
    </row>
    <row r="1710" spans="1:34" x14ac:dyDescent="0.25">
      <c r="A1710" t="s">
        <v>4385</v>
      </c>
      <c r="B1710" t="s">
        <v>148</v>
      </c>
      <c r="C1710" s="1">
        <v>45729</v>
      </c>
      <c r="D1710" t="s">
        <v>242</v>
      </c>
      <c r="E1710" t="s">
        <v>295</v>
      </c>
      <c r="F1710" t="s">
        <v>764</v>
      </c>
      <c r="G1710" t="s">
        <v>4386</v>
      </c>
      <c r="H1710">
        <v>1482</v>
      </c>
      <c r="I1710" t="s">
        <v>4386</v>
      </c>
      <c r="J1710">
        <v>142</v>
      </c>
      <c r="K1710" t="s">
        <v>5257</v>
      </c>
      <c r="L1710" t="s">
        <v>4963</v>
      </c>
      <c r="M1710" t="s">
        <v>4387</v>
      </c>
      <c r="N1710" t="s">
        <v>5742</v>
      </c>
      <c r="O1710" t="s">
        <v>4388</v>
      </c>
      <c r="R1710">
        <f>1</f>
        <v>1</v>
      </c>
      <c r="S1710">
        <f>9.1</f>
        <v>9.1</v>
      </c>
      <c r="T1710">
        <f>7.7</f>
        <v>7.7</v>
      </c>
      <c r="U1710">
        <f>354</f>
        <v>354</v>
      </c>
      <c r="V1710">
        <f>0.08</f>
        <v>0.08</v>
      </c>
      <c r="X1710">
        <f>0</f>
        <v>0</v>
      </c>
      <c r="Y1710">
        <f>1.21</f>
        <v>1.21</v>
      </c>
      <c r="Z1710">
        <f>0</f>
        <v>0</v>
      </c>
      <c r="AA1710" t="s">
        <v>158</v>
      </c>
      <c r="AB1710" t="s">
        <v>158</v>
      </c>
      <c r="AC1710">
        <f>0</f>
        <v>0</v>
      </c>
      <c r="AD1710">
        <f>0</f>
        <v>0</v>
      </c>
      <c r="AE1710">
        <f>0</f>
        <v>0</v>
      </c>
      <c r="AH1710" t="s">
        <v>157</v>
      </c>
    </row>
    <row r="1711" spans="1:34" x14ac:dyDescent="0.25">
      <c r="A1711" t="s">
        <v>4389</v>
      </c>
      <c r="B1711" t="s">
        <v>148</v>
      </c>
      <c r="C1711" s="1">
        <v>45894</v>
      </c>
      <c r="D1711" t="s">
        <v>317</v>
      </c>
      <c r="E1711" t="s">
        <v>318</v>
      </c>
      <c r="F1711" t="s">
        <v>6564</v>
      </c>
      <c r="G1711" t="s">
        <v>6082</v>
      </c>
      <c r="H1711">
        <v>1476</v>
      </c>
      <c r="I1711" t="s">
        <v>6082</v>
      </c>
      <c r="J1711">
        <v>119</v>
      </c>
      <c r="K1711" t="s">
        <v>5254</v>
      </c>
      <c r="M1711" t="s">
        <v>2379</v>
      </c>
      <c r="N1711" t="s">
        <v>5556</v>
      </c>
      <c r="O1711" t="s">
        <v>2380</v>
      </c>
      <c r="Q1711" t="s">
        <v>329</v>
      </c>
      <c r="R1711">
        <f>1</f>
        <v>1</v>
      </c>
      <c r="S1711">
        <f>17.7</f>
        <v>17.7</v>
      </c>
      <c r="T1711">
        <f>7.6</f>
        <v>7.6</v>
      </c>
      <c r="U1711">
        <f>453</f>
        <v>453</v>
      </c>
      <c r="X1711">
        <f>0</f>
        <v>0</v>
      </c>
      <c r="Y1711" t="s">
        <v>157</v>
      </c>
      <c r="Z1711">
        <f>0</f>
        <v>0</v>
      </c>
      <c r="AA1711">
        <f>11</f>
        <v>11</v>
      </c>
      <c r="AB1711">
        <f>0</f>
        <v>0</v>
      </c>
      <c r="AD1711">
        <f>0</f>
        <v>0</v>
      </c>
      <c r="AE1711">
        <f>0</f>
        <v>0</v>
      </c>
      <c r="AH1711" t="s">
        <v>157</v>
      </c>
    </row>
    <row r="1712" spans="1:34" x14ac:dyDescent="0.25">
      <c r="A1712" t="s">
        <v>4390</v>
      </c>
      <c r="B1712" t="s">
        <v>148</v>
      </c>
      <c r="C1712" s="1">
        <v>45761</v>
      </c>
      <c r="D1712" t="s">
        <v>222</v>
      </c>
      <c r="E1712" t="s">
        <v>223</v>
      </c>
      <c r="F1712" t="s">
        <v>469</v>
      </c>
      <c r="G1712" t="s">
        <v>6743</v>
      </c>
      <c r="H1712">
        <v>422</v>
      </c>
      <c r="I1712" t="s">
        <v>6743</v>
      </c>
      <c r="J1712">
        <v>89</v>
      </c>
      <c r="K1712" t="s">
        <v>5257</v>
      </c>
      <c r="L1712" t="s">
        <v>431</v>
      </c>
      <c r="M1712" t="s">
        <v>5564</v>
      </c>
      <c r="N1712" t="s">
        <v>4840</v>
      </c>
      <c r="O1712" t="s">
        <v>2426</v>
      </c>
      <c r="R1712">
        <f>1</f>
        <v>1</v>
      </c>
      <c r="S1712">
        <f>12.5</f>
        <v>12.5</v>
      </c>
      <c r="T1712">
        <f>8.3</f>
        <v>8.3000000000000007</v>
      </c>
      <c r="U1712">
        <f>246</f>
        <v>246</v>
      </c>
      <c r="X1712">
        <f>1</f>
        <v>1</v>
      </c>
      <c r="Y1712">
        <f>0.22</f>
        <v>0.22</v>
      </c>
      <c r="Z1712">
        <f>0</f>
        <v>0</v>
      </c>
      <c r="AA1712">
        <f>0</f>
        <v>0</v>
      </c>
      <c r="AB1712">
        <f>0</f>
        <v>0</v>
      </c>
      <c r="AC1712">
        <f>0</f>
        <v>0</v>
      </c>
      <c r="AD1712">
        <f>0</f>
        <v>0</v>
      </c>
      <c r="AE1712">
        <f>0</f>
        <v>0</v>
      </c>
      <c r="AH1712" t="s">
        <v>166</v>
      </c>
    </row>
    <row r="1713" spans="1:34" x14ac:dyDescent="0.25">
      <c r="A1713" t="s">
        <v>4391</v>
      </c>
      <c r="B1713" t="s">
        <v>148</v>
      </c>
      <c r="C1713" s="1">
        <v>45832</v>
      </c>
      <c r="D1713" t="s">
        <v>222</v>
      </c>
      <c r="E1713" t="s">
        <v>223</v>
      </c>
      <c r="F1713" t="s">
        <v>469</v>
      </c>
      <c r="G1713" t="s">
        <v>2428</v>
      </c>
      <c r="H1713">
        <v>279</v>
      </c>
      <c r="I1713" t="s">
        <v>2428</v>
      </c>
      <c r="J1713">
        <v>85</v>
      </c>
      <c r="K1713" t="s">
        <v>5257</v>
      </c>
      <c r="L1713" t="s">
        <v>431</v>
      </c>
      <c r="M1713" t="s">
        <v>5565</v>
      </c>
      <c r="N1713" t="s">
        <v>2429</v>
      </c>
      <c r="O1713" t="s">
        <v>2430</v>
      </c>
      <c r="R1713">
        <f>1</f>
        <v>1</v>
      </c>
      <c r="S1713">
        <f>18</f>
        <v>18</v>
      </c>
      <c r="T1713">
        <f>7.9</f>
        <v>7.9</v>
      </c>
      <c r="U1713">
        <f>205</f>
        <v>205</v>
      </c>
      <c r="X1713">
        <f>1</f>
        <v>1</v>
      </c>
      <c r="Y1713">
        <f>0.09</f>
        <v>0.09</v>
      </c>
      <c r="Z1713">
        <f>0</f>
        <v>0</v>
      </c>
      <c r="AA1713">
        <f>0</f>
        <v>0</v>
      </c>
      <c r="AB1713">
        <f>0</f>
        <v>0</v>
      </c>
      <c r="AD1713">
        <f>0</f>
        <v>0</v>
      </c>
      <c r="AE1713">
        <f>0</f>
        <v>0</v>
      </c>
      <c r="AH1713" t="s">
        <v>166</v>
      </c>
    </row>
    <row r="1714" spans="1:34" x14ac:dyDescent="0.25">
      <c r="A1714" t="s">
        <v>4392</v>
      </c>
      <c r="B1714" t="s">
        <v>148</v>
      </c>
      <c r="C1714" s="1">
        <v>45817</v>
      </c>
      <c r="D1714" t="s">
        <v>242</v>
      </c>
      <c r="E1714" t="s">
        <v>295</v>
      </c>
      <c r="F1714" t="s">
        <v>764</v>
      </c>
      <c r="G1714" t="s">
        <v>4393</v>
      </c>
      <c r="H1714">
        <v>1545</v>
      </c>
      <c r="I1714" t="s">
        <v>4394</v>
      </c>
      <c r="J1714">
        <v>101</v>
      </c>
      <c r="K1714" t="s">
        <v>5257</v>
      </c>
      <c r="L1714" t="s">
        <v>393</v>
      </c>
      <c r="M1714" t="s">
        <v>4395</v>
      </c>
      <c r="N1714" t="s">
        <v>4396</v>
      </c>
      <c r="O1714" t="s">
        <v>4397</v>
      </c>
      <c r="Q1714" t="s">
        <v>6512</v>
      </c>
      <c r="R1714">
        <f>1</f>
        <v>1</v>
      </c>
      <c r="S1714">
        <f>17.8</f>
        <v>17.8</v>
      </c>
      <c r="T1714">
        <f>8</f>
        <v>8</v>
      </c>
      <c r="U1714">
        <f>434</f>
        <v>434</v>
      </c>
      <c r="X1714">
        <f>0</f>
        <v>0</v>
      </c>
      <c r="Y1714" t="s">
        <v>157</v>
      </c>
      <c r="Z1714">
        <f>0</f>
        <v>0</v>
      </c>
      <c r="AA1714" t="s">
        <v>158</v>
      </c>
      <c r="AB1714" t="s">
        <v>158</v>
      </c>
      <c r="AC1714">
        <f>0</f>
        <v>0</v>
      </c>
      <c r="AD1714">
        <f>0</f>
        <v>0</v>
      </c>
      <c r="AE1714">
        <f>0</f>
        <v>0</v>
      </c>
      <c r="AH1714" t="s">
        <v>157</v>
      </c>
    </row>
    <row r="1715" spans="1:34" x14ac:dyDescent="0.25">
      <c r="A1715" t="s">
        <v>4398</v>
      </c>
      <c r="B1715" t="s">
        <v>268</v>
      </c>
      <c r="C1715" s="1">
        <v>45729</v>
      </c>
      <c r="D1715" t="s">
        <v>242</v>
      </c>
      <c r="E1715" t="s">
        <v>295</v>
      </c>
      <c r="F1715" t="s">
        <v>764</v>
      </c>
      <c r="G1715" t="s">
        <v>4399</v>
      </c>
      <c r="H1715">
        <v>1580</v>
      </c>
      <c r="I1715" t="s">
        <v>4399</v>
      </c>
      <c r="J1715">
        <v>129</v>
      </c>
      <c r="K1715" t="s">
        <v>5254</v>
      </c>
      <c r="L1715" t="s">
        <v>431</v>
      </c>
      <c r="M1715" t="s">
        <v>4400</v>
      </c>
      <c r="N1715" t="s">
        <v>4401</v>
      </c>
      <c r="O1715" t="s">
        <v>4402</v>
      </c>
      <c r="R1715">
        <f>1</f>
        <v>1</v>
      </c>
      <c r="S1715">
        <f>13.5</f>
        <v>13.5</v>
      </c>
      <c r="T1715">
        <f>7.6</f>
        <v>7.6</v>
      </c>
      <c r="U1715">
        <f>468</f>
        <v>468</v>
      </c>
      <c r="X1715">
        <f>1</f>
        <v>1</v>
      </c>
      <c r="Y1715">
        <f>0.64</f>
        <v>0.64</v>
      </c>
      <c r="Z1715">
        <f>0</f>
        <v>0</v>
      </c>
      <c r="AA1715" t="s">
        <v>705</v>
      </c>
      <c r="AB1715" t="s">
        <v>705</v>
      </c>
      <c r="AD1715" t="s">
        <v>3189</v>
      </c>
      <c r="AE1715">
        <f>0</f>
        <v>0</v>
      </c>
      <c r="AH1715" t="s">
        <v>157</v>
      </c>
    </row>
    <row r="1716" spans="1:34" x14ac:dyDescent="0.25">
      <c r="A1716" t="s">
        <v>4403</v>
      </c>
      <c r="B1716" t="s">
        <v>148</v>
      </c>
      <c r="C1716" s="1">
        <v>45730</v>
      </c>
      <c r="D1716" t="s">
        <v>242</v>
      </c>
      <c r="E1716" t="s">
        <v>295</v>
      </c>
      <c r="F1716" t="s">
        <v>4404</v>
      </c>
      <c r="G1716" t="s">
        <v>4405</v>
      </c>
      <c r="H1716">
        <v>1596</v>
      </c>
      <c r="I1716" t="s">
        <v>4406</v>
      </c>
      <c r="J1716">
        <v>128</v>
      </c>
      <c r="K1716" t="s">
        <v>5254</v>
      </c>
      <c r="L1716" t="s">
        <v>431</v>
      </c>
      <c r="M1716" t="s">
        <v>5743</v>
      </c>
      <c r="N1716" t="s">
        <v>4407</v>
      </c>
      <c r="O1716" t="s">
        <v>4408</v>
      </c>
      <c r="Q1716" t="s">
        <v>4409</v>
      </c>
      <c r="R1716">
        <f>1</f>
        <v>1</v>
      </c>
      <c r="S1716">
        <f>9.8</f>
        <v>9.8000000000000007</v>
      </c>
      <c r="T1716">
        <f>7.7</f>
        <v>7.7</v>
      </c>
      <c r="U1716">
        <f>311</f>
        <v>311</v>
      </c>
      <c r="V1716">
        <f>0.17</f>
        <v>0.17</v>
      </c>
      <c r="X1716">
        <f>0</f>
        <v>0</v>
      </c>
      <c r="Y1716">
        <f>0.54</f>
        <v>0.54</v>
      </c>
      <c r="Z1716">
        <f>0</f>
        <v>0</v>
      </c>
      <c r="AA1716" t="s">
        <v>158</v>
      </c>
      <c r="AB1716" t="s">
        <v>158</v>
      </c>
      <c r="AD1716">
        <f>0</f>
        <v>0</v>
      </c>
      <c r="AE1716">
        <f>0</f>
        <v>0</v>
      </c>
    </row>
    <row r="1717" spans="1:34" x14ac:dyDescent="0.25">
      <c r="A1717" t="s">
        <v>4410</v>
      </c>
      <c r="B1717" t="s">
        <v>148</v>
      </c>
      <c r="C1717" s="1">
        <v>45730</v>
      </c>
      <c r="D1717" t="s">
        <v>242</v>
      </c>
      <c r="E1717" t="s">
        <v>295</v>
      </c>
      <c r="F1717" t="s">
        <v>4404</v>
      </c>
      <c r="G1717" t="s">
        <v>4411</v>
      </c>
      <c r="H1717">
        <v>1598</v>
      </c>
      <c r="I1717" t="s">
        <v>4411</v>
      </c>
      <c r="J1717">
        <v>111</v>
      </c>
      <c r="K1717" t="s">
        <v>5257</v>
      </c>
      <c r="L1717" t="s">
        <v>431</v>
      </c>
      <c r="M1717" t="s">
        <v>5744</v>
      </c>
      <c r="N1717" t="s">
        <v>4412</v>
      </c>
      <c r="O1717" t="s">
        <v>4413</v>
      </c>
      <c r="R1717">
        <f>1</f>
        <v>1</v>
      </c>
      <c r="S1717">
        <f>8.9</f>
        <v>8.9</v>
      </c>
      <c r="T1717">
        <f>7.8</f>
        <v>7.8</v>
      </c>
      <c r="U1717">
        <f>430</f>
        <v>430</v>
      </c>
      <c r="V1717">
        <f>0.19</f>
        <v>0.19</v>
      </c>
      <c r="X1717">
        <f>0</f>
        <v>0</v>
      </c>
      <c r="Y1717">
        <f>0.27</f>
        <v>0.27</v>
      </c>
      <c r="Z1717">
        <f>0</f>
        <v>0</v>
      </c>
      <c r="AA1717" t="s">
        <v>158</v>
      </c>
      <c r="AB1717" t="s">
        <v>158</v>
      </c>
      <c r="AC1717">
        <f>0</f>
        <v>0</v>
      </c>
      <c r="AD1717">
        <f>0</f>
        <v>0</v>
      </c>
      <c r="AE1717">
        <f>0</f>
        <v>0</v>
      </c>
    </row>
    <row r="1718" spans="1:34" x14ac:dyDescent="0.25">
      <c r="A1718" t="s">
        <v>4414</v>
      </c>
      <c r="B1718" t="s">
        <v>268</v>
      </c>
      <c r="C1718" s="1">
        <v>45770</v>
      </c>
      <c r="D1718" t="s">
        <v>317</v>
      </c>
      <c r="E1718" t="s">
        <v>176</v>
      </c>
      <c r="F1718" t="s">
        <v>4415</v>
      </c>
      <c r="G1718" t="s">
        <v>4416</v>
      </c>
      <c r="H1718">
        <v>1660</v>
      </c>
      <c r="I1718" t="s">
        <v>4417</v>
      </c>
      <c r="J1718">
        <v>120</v>
      </c>
      <c r="K1718" t="s">
        <v>5331</v>
      </c>
      <c r="L1718" t="s">
        <v>431</v>
      </c>
      <c r="M1718" t="s">
        <v>1984</v>
      </c>
      <c r="N1718" t="s">
        <v>4418</v>
      </c>
      <c r="O1718" t="s">
        <v>4419</v>
      </c>
      <c r="Q1718" t="s">
        <v>6513</v>
      </c>
      <c r="R1718">
        <f>1</f>
        <v>1</v>
      </c>
      <c r="S1718">
        <f>11.8</f>
        <v>11.8</v>
      </c>
      <c r="T1718">
        <f>7.9</f>
        <v>7.9</v>
      </c>
      <c r="U1718">
        <f>272</f>
        <v>272</v>
      </c>
      <c r="X1718">
        <f>0</f>
        <v>0</v>
      </c>
      <c r="Y1718" t="s">
        <v>157</v>
      </c>
      <c r="Z1718">
        <f>0</f>
        <v>0</v>
      </c>
      <c r="AA1718">
        <f>10</f>
        <v>10</v>
      </c>
      <c r="AB1718">
        <f>0</f>
        <v>0</v>
      </c>
      <c r="AC1718">
        <f>0</f>
        <v>0</v>
      </c>
      <c r="AD1718">
        <f>0</f>
        <v>0</v>
      </c>
      <c r="AE1718">
        <f>65</f>
        <v>65</v>
      </c>
      <c r="AH1718" t="s">
        <v>157</v>
      </c>
    </row>
    <row r="1719" spans="1:34" x14ac:dyDescent="0.25">
      <c r="A1719" t="s">
        <v>4420</v>
      </c>
      <c r="B1719" t="s">
        <v>148</v>
      </c>
      <c r="C1719" s="1">
        <v>45791</v>
      </c>
      <c r="D1719" t="s">
        <v>222</v>
      </c>
      <c r="E1719" t="s">
        <v>223</v>
      </c>
      <c r="F1719" t="s">
        <v>4745</v>
      </c>
      <c r="G1719" t="s">
        <v>4421</v>
      </c>
      <c r="H1719">
        <v>1455</v>
      </c>
      <c r="I1719" t="s">
        <v>4422</v>
      </c>
      <c r="J1719">
        <v>89</v>
      </c>
      <c r="K1719" t="s">
        <v>5257</v>
      </c>
      <c r="L1719" t="s">
        <v>431</v>
      </c>
      <c r="M1719" t="s">
        <v>5745</v>
      </c>
      <c r="N1719" t="s">
        <v>4423</v>
      </c>
      <c r="O1719" t="s">
        <v>4424</v>
      </c>
      <c r="R1719">
        <f>1</f>
        <v>1</v>
      </c>
      <c r="S1719">
        <f>13.2</f>
        <v>13.2</v>
      </c>
      <c r="T1719">
        <f>8</f>
        <v>8</v>
      </c>
      <c r="U1719">
        <f>304</f>
        <v>304</v>
      </c>
      <c r="X1719">
        <f>1</f>
        <v>1</v>
      </c>
      <c r="Y1719">
        <f>0.08</f>
        <v>0.08</v>
      </c>
      <c r="Z1719">
        <f>0</f>
        <v>0</v>
      </c>
      <c r="AA1719">
        <f>0</f>
        <v>0</v>
      </c>
      <c r="AB1719">
        <f>0</f>
        <v>0</v>
      </c>
      <c r="AC1719">
        <f>0</f>
        <v>0</v>
      </c>
      <c r="AD1719">
        <f>0</f>
        <v>0</v>
      </c>
      <c r="AE1719">
        <f>0</f>
        <v>0</v>
      </c>
      <c r="AH1719" t="s">
        <v>166</v>
      </c>
    </row>
    <row r="1720" spans="1:34" x14ac:dyDescent="0.25">
      <c r="A1720" t="s">
        <v>4425</v>
      </c>
      <c r="B1720" t="s">
        <v>148</v>
      </c>
      <c r="C1720" s="1">
        <v>45740</v>
      </c>
      <c r="D1720" t="s">
        <v>317</v>
      </c>
      <c r="E1720" t="s">
        <v>318</v>
      </c>
      <c r="F1720" t="s">
        <v>4965</v>
      </c>
      <c r="G1720" t="s">
        <v>4313</v>
      </c>
      <c r="H1720">
        <v>1677</v>
      </c>
      <c r="I1720" t="s">
        <v>4313</v>
      </c>
      <c r="J1720">
        <v>97</v>
      </c>
      <c r="K1720" t="s">
        <v>5331</v>
      </c>
      <c r="L1720" t="s">
        <v>431</v>
      </c>
      <c r="M1720" t="s">
        <v>5369</v>
      </c>
      <c r="N1720" t="s">
        <v>5076</v>
      </c>
      <c r="Q1720" t="s">
        <v>5077</v>
      </c>
      <c r="R1720">
        <f>1</f>
        <v>1</v>
      </c>
      <c r="S1720">
        <f>6.5</f>
        <v>6.5</v>
      </c>
      <c r="T1720">
        <f>7.8</f>
        <v>7.8</v>
      </c>
      <c r="U1720">
        <f>312</f>
        <v>312</v>
      </c>
      <c r="X1720">
        <f>0</f>
        <v>0</v>
      </c>
      <c r="Y1720">
        <f>0.23</f>
        <v>0.23</v>
      </c>
      <c r="Z1720">
        <f>0</f>
        <v>0</v>
      </c>
      <c r="AA1720">
        <f>0</f>
        <v>0</v>
      </c>
      <c r="AB1720">
        <f>0</f>
        <v>0</v>
      </c>
      <c r="AC1720">
        <f>0</f>
        <v>0</v>
      </c>
      <c r="AD1720">
        <f>0</f>
        <v>0</v>
      </c>
      <c r="AE1720">
        <f>0</f>
        <v>0</v>
      </c>
      <c r="AH1720" t="s">
        <v>157</v>
      </c>
    </row>
    <row r="1721" spans="1:34" x14ac:dyDescent="0.25">
      <c r="A1721" t="s">
        <v>4426</v>
      </c>
      <c r="B1721" t="s">
        <v>148</v>
      </c>
      <c r="C1721" s="1">
        <v>45785</v>
      </c>
      <c r="D1721" t="s">
        <v>242</v>
      </c>
      <c r="E1721" t="s">
        <v>243</v>
      </c>
      <c r="F1721" t="s">
        <v>4727</v>
      </c>
      <c r="G1721" t="s">
        <v>4427</v>
      </c>
      <c r="H1721">
        <v>1346</v>
      </c>
      <c r="I1721" t="s">
        <v>4427</v>
      </c>
      <c r="J1721">
        <v>150</v>
      </c>
      <c r="K1721" t="s">
        <v>5254</v>
      </c>
      <c r="L1721" t="s">
        <v>2720</v>
      </c>
      <c r="M1721" t="s">
        <v>4428</v>
      </c>
      <c r="N1721" t="s">
        <v>4930</v>
      </c>
      <c r="O1721" t="s">
        <v>4429</v>
      </c>
      <c r="R1721">
        <f>1</f>
        <v>1</v>
      </c>
      <c r="S1721">
        <f>13.2</f>
        <v>13.2</v>
      </c>
      <c r="T1721">
        <f>7.5</f>
        <v>7.5</v>
      </c>
      <c r="U1721">
        <f>135</f>
        <v>135</v>
      </c>
      <c r="X1721">
        <f>0</f>
        <v>0</v>
      </c>
      <c r="Y1721">
        <f>0.1</f>
        <v>0.1</v>
      </c>
      <c r="Z1721">
        <f>0</f>
        <v>0</v>
      </c>
      <c r="AA1721" t="s">
        <v>158</v>
      </c>
      <c r="AB1721" t="s">
        <v>158</v>
      </c>
      <c r="AD1721">
        <f>0</f>
        <v>0</v>
      </c>
      <c r="AE1721">
        <f>0</f>
        <v>0</v>
      </c>
      <c r="AH1721" t="s">
        <v>157</v>
      </c>
    </row>
    <row r="1722" spans="1:34" x14ac:dyDescent="0.25">
      <c r="A1722" t="s">
        <v>4430</v>
      </c>
      <c r="B1722" t="s">
        <v>148</v>
      </c>
      <c r="C1722" s="1">
        <v>45769</v>
      </c>
      <c r="D1722" t="s">
        <v>242</v>
      </c>
      <c r="E1722" t="s">
        <v>243</v>
      </c>
      <c r="F1722" t="s">
        <v>4727</v>
      </c>
      <c r="G1722" t="s">
        <v>4431</v>
      </c>
      <c r="H1722">
        <v>1179</v>
      </c>
      <c r="I1722" t="s">
        <v>4431</v>
      </c>
      <c r="J1722">
        <v>126</v>
      </c>
      <c r="K1722" t="s">
        <v>5254</v>
      </c>
      <c r="L1722" t="s">
        <v>2720</v>
      </c>
      <c r="M1722" t="s">
        <v>5746</v>
      </c>
      <c r="N1722" t="s">
        <v>4931</v>
      </c>
      <c r="O1722" t="s">
        <v>4432</v>
      </c>
      <c r="Q1722" t="s">
        <v>6514</v>
      </c>
      <c r="R1722">
        <f>1</f>
        <v>1</v>
      </c>
      <c r="S1722">
        <f>7.2</f>
        <v>7.2</v>
      </c>
      <c r="T1722">
        <f>7.1</f>
        <v>7.1</v>
      </c>
      <c r="U1722">
        <f>65</f>
        <v>65</v>
      </c>
      <c r="X1722">
        <f>0</f>
        <v>0</v>
      </c>
      <c r="Y1722">
        <f>0.12</f>
        <v>0.12</v>
      </c>
      <c r="Z1722">
        <f>0</f>
        <v>0</v>
      </c>
      <c r="AA1722" t="s">
        <v>158</v>
      </c>
      <c r="AB1722" t="s">
        <v>158</v>
      </c>
      <c r="AD1722">
        <f>0</f>
        <v>0</v>
      </c>
      <c r="AE1722">
        <f>0</f>
        <v>0</v>
      </c>
      <c r="AH1722" t="s">
        <v>157</v>
      </c>
    </row>
    <row r="1723" spans="1:34" x14ac:dyDescent="0.25">
      <c r="A1723" t="s">
        <v>4433</v>
      </c>
      <c r="B1723" t="s">
        <v>148</v>
      </c>
      <c r="C1723" s="1">
        <v>45876</v>
      </c>
      <c r="D1723" t="s">
        <v>618</v>
      </c>
      <c r="E1723" t="s">
        <v>619</v>
      </c>
      <c r="F1723" t="s">
        <v>6648</v>
      </c>
      <c r="G1723" t="s">
        <v>6149</v>
      </c>
      <c r="H1723">
        <v>960</v>
      </c>
      <c r="I1723" t="s">
        <v>6149</v>
      </c>
      <c r="J1723">
        <v>50</v>
      </c>
      <c r="K1723" t="s">
        <v>5257</v>
      </c>
      <c r="L1723" t="s">
        <v>4875</v>
      </c>
      <c r="M1723" t="s">
        <v>5657</v>
      </c>
      <c r="N1723" t="s">
        <v>6786</v>
      </c>
      <c r="O1723" t="s">
        <v>2959</v>
      </c>
      <c r="R1723">
        <f>1</f>
        <v>1</v>
      </c>
      <c r="S1723">
        <f>13.2</f>
        <v>13.2</v>
      </c>
      <c r="T1723">
        <f>7.8</f>
        <v>7.8</v>
      </c>
      <c r="U1723">
        <f>311</f>
        <v>311</v>
      </c>
      <c r="X1723">
        <f>0</f>
        <v>0</v>
      </c>
      <c r="Y1723" t="s">
        <v>157</v>
      </c>
      <c r="Z1723">
        <f>0</f>
        <v>0</v>
      </c>
      <c r="AA1723" t="s">
        <v>158</v>
      </c>
      <c r="AB1723" t="s">
        <v>158</v>
      </c>
      <c r="AC1723">
        <f>0</f>
        <v>0</v>
      </c>
      <c r="AD1723">
        <f>0</f>
        <v>0</v>
      </c>
      <c r="AE1723">
        <f>0</f>
        <v>0</v>
      </c>
      <c r="AH1723" t="s">
        <v>157</v>
      </c>
    </row>
    <row r="1724" spans="1:34" x14ac:dyDescent="0.25">
      <c r="A1724" t="s">
        <v>4434</v>
      </c>
      <c r="B1724" t="s">
        <v>148</v>
      </c>
      <c r="C1724" s="1">
        <v>45895</v>
      </c>
      <c r="D1724" t="s">
        <v>317</v>
      </c>
      <c r="E1724" t="s">
        <v>318</v>
      </c>
      <c r="F1724" t="s">
        <v>2573</v>
      </c>
      <c r="G1724" t="s">
        <v>6100</v>
      </c>
      <c r="H1724">
        <v>1089</v>
      </c>
      <c r="I1724" t="s">
        <v>6100</v>
      </c>
      <c r="J1724">
        <v>130</v>
      </c>
      <c r="K1724" t="s">
        <v>5254</v>
      </c>
      <c r="L1724" t="s">
        <v>180</v>
      </c>
      <c r="M1724" t="s">
        <v>2574</v>
      </c>
      <c r="N1724" t="s">
        <v>2575</v>
      </c>
      <c r="Q1724" t="s">
        <v>6340</v>
      </c>
      <c r="R1724">
        <f>1</f>
        <v>1</v>
      </c>
      <c r="S1724">
        <f>14.3</f>
        <v>14.3</v>
      </c>
      <c r="T1724">
        <f>7.5</f>
        <v>7.5</v>
      </c>
      <c r="U1724">
        <f>269</f>
        <v>269</v>
      </c>
      <c r="X1724">
        <f>0</f>
        <v>0</v>
      </c>
      <c r="Y1724">
        <f>0.35</f>
        <v>0.35</v>
      </c>
      <c r="Z1724">
        <f>0</f>
        <v>0</v>
      </c>
      <c r="AA1724">
        <f>0</f>
        <v>0</v>
      </c>
      <c r="AB1724">
        <f>0</f>
        <v>0</v>
      </c>
      <c r="AD1724">
        <f>0</f>
        <v>0</v>
      </c>
      <c r="AE1724">
        <f>0</f>
        <v>0</v>
      </c>
      <c r="AH1724" t="s">
        <v>157</v>
      </c>
    </row>
    <row r="1725" spans="1:34" x14ac:dyDescent="0.25">
      <c r="A1725" t="s">
        <v>4435</v>
      </c>
      <c r="B1725" t="s">
        <v>148</v>
      </c>
      <c r="C1725" s="1">
        <v>45889</v>
      </c>
      <c r="D1725" t="s">
        <v>222</v>
      </c>
      <c r="E1725" t="s">
        <v>223</v>
      </c>
      <c r="F1725" t="s">
        <v>4723</v>
      </c>
      <c r="G1725" t="s">
        <v>769</v>
      </c>
      <c r="H1725">
        <v>1805</v>
      </c>
      <c r="I1725" t="s">
        <v>6787</v>
      </c>
      <c r="J1725">
        <v>160</v>
      </c>
      <c r="K1725" t="s">
        <v>5257</v>
      </c>
      <c r="L1725" t="s">
        <v>393</v>
      </c>
      <c r="M1725" t="s">
        <v>6788</v>
      </c>
      <c r="N1725" t="s">
        <v>6789</v>
      </c>
      <c r="R1725">
        <f>1</f>
        <v>1</v>
      </c>
      <c r="S1725">
        <f>22.5</f>
        <v>22.5</v>
      </c>
      <c r="T1725">
        <f>8.1</f>
        <v>8.1</v>
      </c>
      <c r="U1725">
        <f>257</f>
        <v>257</v>
      </c>
      <c r="X1725">
        <f>1</f>
        <v>1</v>
      </c>
      <c r="Y1725">
        <f>0.03</f>
        <v>0.03</v>
      </c>
      <c r="Z1725">
        <f>0</f>
        <v>0</v>
      </c>
      <c r="AA1725">
        <f>24</f>
        <v>24</v>
      </c>
      <c r="AB1725">
        <f>18</f>
        <v>18</v>
      </c>
      <c r="AD1725">
        <f>0</f>
        <v>0</v>
      </c>
      <c r="AE1725">
        <f>0</f>
        <v>0</v>
      </c>
      <c r="AH1725" t="s">
        <v>166</v>
      </c>
    </row>
    <row r="1726" spans="1:34" x14ac:dyDescent="0.25">
      <c r="A1726" t="s">
        <v>4436</v>
      </c>
      <c r="B1726" t="s">
        <v>148</v>
      </c>
      <c r="C1726" s="1">
        <v>45897</v>
      </c>
      <c r="D1726" t="s">
        <v>222</v>
      </c>
      <c r="E1726" t="s">
        <v>223</v>
      </c>
      <c r="F1726" t="s">
        <v>4723</v>
      </c>
      <c r="G1726" t="s">
        <v>2593</v>
      </c>
      <c r="H1726">
        <v>266</v>
      </c>
      <c r="I1726" t="s">
        <v>2593</v>
      </c>
      <c r="J1726">
        <v>87</v>
      </c>
      <c r="K1726" t="s">
        <v>5257</v>
      </c>
      <c r="L1726" t="s">
        <v>726</v>
      </c>
      <c r="M1726" t="s">
        <v>6101</v>
      </c>
      <c r="N1726" t="s">
        <v>2594</v>
      </c>
      <c r="R1726">
        <f>1</f>
        <v>1</v>
      </c>
      <c r="S1726">
        <f>20.7</f>
        <v>20.7</v>
      </c>
      <c r="T1726">
        <f>8.1</f>
        <v>8.1</v>
      </c>
      <c r="U1726">
        <f>271</f>
        <v>271</v>
      </c>
      <c r="X1726">
        <f>1</f>
        <v>1</v>
      </c>
      <c r="Y1726">
        <f>0.18</f>
        <v>0.18</v>
      </c>
      <c r="Z1726">
        <f>0</f>
        <v>0</v>
      </c>
      <c r="AA1726">
        <f>6</f>
        <v>6</v>
      </c>
      <c r="AB1726">
        <f>24</f>
        <v>24</v>
      </c>
      <c r="AD1726">
        <f>0</f>
        <v>0</v>
      </c>
      <c r="AE1726">
        <f>0</f>
        <v>0</v>
      </c>
      <c r="AH1726" t="s">
        <v>166</v>
      </c>
    </row>
    <row r="1727" spans="1:34" x14ac:dyDescent="0.25">
      <c r="A1727" t="s">
        <v>4437</v>
      </c>
      <c r="B1727" t="s">
        <v>148</v>
      </c>
      <c r="C1727" s="1">
        <v>45819</v>
      </c>
      <c r="D1727" t="s">
        <v>189</v>
      </c>
      <c r="E1727" t="s">
        <v>284</v>
      </c>
      <c r="F1727" t="s">
        <v>665</v>
      </c>
      <c r="G1727" t="s">
        <v>666</v>
      </c>
      <c r="H1727">
        <v>193</v>
      </c>
      <c r="I1727" t="s">
        <v>666</v>
      </c>
      <c r="J1727">
        <v>10226</v>
      </c>
      <c r="K1727" t="s">
        <v>5257</v>
      </c>
      <c r="L1727" t="s">
        <v>387</v>
      </c>
      <c r="M1727" t="s">
        <v>5842</v>
      </c>
      <c r="N1727" t="s">
        <v>675</v>
      </c>
      <c r="O1727" t="s">
        <v>676</v>
      </c>
      <c r="R1727">
        <f>1</f>
        <v>1</v>
      </c>
      <c r="S1727">
        <f>16.8</f>
        <v>16.8</v>
      </c>
      <c r="T1727">
        <f>7.9</f>
        <v>7.9</v>
      </c>
      <c r="U1727">
        <f>363</f>
        <v>363</v>
      </c>
      <c r="V1727">
        <f>0.11</f>
        <v>0.11</v>
      </c>
      <c r="X1727">
        <f>0</f>
        <v>0</v>
      </c>
      <c r="Y1727">
        <f>0.02</f>
        <v>0.02</v>
      </c>
      <c r="Z1727">
        <f>0</f>
        <v>0</v>
      </c>
      <c r="AA1727">
        <f>0</f>
        <v>0</v>
      </c>
      <c r="AB1727">
        <f>0</f>
        <v>0</v>
      </c>
      <c r="AC1727">
        <f>0</f>
        <v>0</v>
      </c>
      <c r="AD1727">
        <f>0</f>
        <v>0</v>
      </c>
      <c r="AE1727">
        <f>0</f>
        <v>0</v>
      </c>
      <c r="AH1727">
        <f>0.1</f>
        <v>0.1</v>
      </c>
    </row>
    <row r="1728" spans="1:34" x14ac:dyDescent="0.25">
      <c r="A1728" t="s">
        <v>4438</v>
      </c>
      <c r="B1728" t="s">
        <v>148</v>
      </c>
      <c r="C1728" s="1">
        <v>45847</v>
      </c>
      <c r="D1728" t="s">
        <v>222</v>
      </c>
      <c r="E1728" t="s">
        <v>223</v>
      </c>
      <c r="F1728" t="s">
        <v>429</v>
      </c>
      <c r="G1728" t="s">
        <v>430</v>
      </c>
      <c r="H1728">
        <v>1281</v>
      </c>
      <c r="I1728" t="s">
        <v>430</v>
      </c>
      <c r="J1728">
        <v>5254</v>
      </c>
      <c r="K1728" t="s">
        <v>5254</v>
      </c>
      <c r="L1728" t="s">
        <v>431</v>
      </c>
      <c r="M1728" t="s">
        <v>5289</v>
      </c>
      <c r="N1728" t="s">
        <v>4701</v>
      </c>
      <c r="O1728" t="s">
        <v>432</v>
      </c>
      <c r="Q1728" t="s">
        <v>6310</v>
      </c>
      <c r="R1728">
        <f>1</f>
        <v>1</v>
      </c>
      <c r="S1728">
        <f>21.1</f>
        <v>21.1</v>
      </c>
      <c r="T1728">
        <f>7.9</f>
        <v>7.9</v>
      </c>
      <c r="U1728">
        <f>310</f>
        <v>310</v>
      </c>
      <c r="V1728">
        <f>0.15</f>
        <v>0.15</v>
      </c>
      <c r="X1728">
        <f>0</f>
        <v>0</v>
      </c>
      <c r="Y1728">
        <f>0</f>
        <v>0</v>
      </c>
      <c r="Z1728">
        <f>0</f>
        <v>0</v>
      </c>
      <c r="AA1728">
        <f>0</f>
        <v>0</v>
      </c>
      <c r="AB1728">
        <f>2</f>
        <v>2</v>
      </c>
      <c r="AD1728">
        <f>0</f>
        <v>0</v>
      </c>
      <c r="AE1728">
        <f>0</f>
        <v>0</v>
      </c>
      <c r="AH1728" t="s">
        <v>166</v>
      </c>
    </row>
    <row r="1729" spans="1:149" x14ac:dyDescent="0.25">
      <c r="A1729" t="s">
        <v>4439</v>
      </c>
      <c r="B1729" t="s">
        <v>148</v>
      </c>
      <c r="C1729" s="1">
        <v>45897</v>
      </c>
      <c r="D1729" t="s">
        <v>222</v>
      </c>
      <c r="E1729" t="s">
        <v>223</v>
      </c>
      <c r="F1729" t="s">
        <v>469</v>
      </c>
      <c r="G1729" t="s">
        <v>5212</v>
      </c>
      <c r="H1729">
        <v>1364</v>
      </c>
      <c r="I1729" t="s">
        <v>5212</v>
      </c>
      <c r="J1729">
        <v>56</v>
      </c>
      <c r="K1729" t="s">
        <v>5257</v>
      </c>
      <c r="L1729" t="s">
        <v>180</v>
      </c>
      <c r="M1729" t="s">
        <v>2806</v>
      </c>
      <c r="N1729" t="s">
        <v>5040</v>
      </c>
      <c r="O1729" t="s">
        <v>2807</v>
      </c>
      <c r="R1729">
        <f>1</f>
        <v>1</v>
      </c>
      <c r="S1729">
        <f>20.6</f>
        <v>20.6</v>
      </c>
      <c r="T1729">
        <f>8.1</f>
        <v>8.1</v>
      </c>
      <c r="U1729">
        <f>322</f>
        <v>322</v>
      </c>
      <c r="X1729">
        <f>1</f>
        <v>1</v>
      </c>
      <c r="Y1729">
        <f>0.14</f>
        <v>0.14000000000000001</v>
      </c>
      <c r="Z1729">
        <f>0</f>
        <v>0</v>
      </c>
      <c r="AA1729">
        <f>0</f>
        <v>0</v>
      </c>
      <c r="AB1729">
        <f>0</f>
        <v>0</v>
      </c>
      <c r="AC1729">
        <f>0</f>
        <v>0</v>
      </c>
      <c r="AD1729">
        <f>0</f>
        <v>0</v>
      </c>
      <c r="AE1729">
        <f>0</f>
        <v>0</v>
      </c>
      <c r="AH1729" t="s">
        <v>166</v>
      </c>
    </row>
    <row r="1730" spans="1:149" x14ac:dyDescent="0.25">
      <c r="A1730" t="s">
        <v>4440</v>
      </c>
      <c r="B1730" t="s">
        <v>148</v>
      </c>
      <c r="C1730" s="1">
        <v>45897</v>
      </c>
      <c r="D1730" t="s">
        <v>222</v>
      </c>
      <c r="E1730" t="s">
        <v>223</v>
      </c>
      <c r="F1730" t="s">
        <v>4723</v>
      </c>
      <c r="G1730" t="s">
        <v>6135</v>
      </c>
      <c r="H1730">
        <v>396</v>
      </c>
      <c r="I1730" t="s">
        <v>6135</v>
      </c>
      <c r="J1730">
        <v>60</v>
      </c>
      <c r="K1730" t="s">
        <v>5257</v>
      </c>
      <c r="L1730" t="s">
        <v>431</v>
      </c>
      <c r="M1730" t="s">
        <v>5428</v>
      </c>
      <c r="N1730" t="s">
        <v>5638</v>
      </c>
      <c r="O1730" t="s">
        <v>2809</v>
      </c>
      <c r="R1730">
        <f>1</f>
        <v>1</v>
      </c>
      <c r="S1730">
        <f>18.9</f>
        <v>18.899999999999999</v>
      </c>
      <c r="T1730">
        <f>8.1</f>
        <v>8.1</v>
      </c>
      <c r="U1730">
        <f>290</f>
        <v>290</v>
      </c>
      <c r="X1730">
        <f>1</f>
        <v>1</v>
      </c>
      <c r="Y1730">
        <f>0.26</f>
        <v>0.26</v>
      </c>
      <c r="Z1730">
        <f>0</f>
        <v>0</v>
      </c>
      <c r="AA1730">
        <f>0</f>
        <v>0</v>
      </c>
      <c r="AB1730">
        <f>0</f>
        <v>0</v>
      </c>
      <c r="AD1730">
        <f>0</f>
        <v>0</v>
      </c>
      <c r="AE1730">
        <f>0</f>
        <v>0</v>
      </c>
      <c r="AH1730" t="s">
        <v>166</v>
      </c>
    </row>
    <row r="1731" spans="1:149" x14ac:dyDescent="0.25">
      <c r="A1731" t="s">
        <v>4441</v>
      </c>
      <c r="B1731" t="s">
        <v>148</v>
      </c>
      <c r="C1731" s="1">
        <v>45824</v>
      </c>
      <c r="D1731" t="s">
        <v>317</v>
      </c>
      <c r="E1731" t="s">
        <v>318</v>
      </c>
      <c r="F1731" t="s">
        <v>319</v>
      </c>
      <c r="G1731" t="s">
        <v>320</v>
      </c>
      <c r="H1731">
        <v>821</v>
      </c>
      <c r="I1731" t="s">
        <v>321</v>
      </c>
      <c r="J1731">
        <v>9564</v>
      </c>
      <c r="K1731" t="s">
        <v>5254</v>
      </c>
      <c r="L1731" t="s">
        <v>180</v>
      </c>
      <c r="M1731" t="s">
        <v>515</v>
      </c>
      <c r="N1731" t="s">
        <v>516</v>
      </c>
      <c r="O1731" t="s">
        <v>517</v>
      </c>
      <c r="Q1731" t="s">
        <v>6301</v>
      </c>
      <c r="R1731">
        <f>1</f>
        <v>1</v>
      </c>
      <c r="S1731">
        <f>17</f>
        <v>17</v>
      </c>
      <c r="T1731">
        <f>7.8</f>
        <v>7.8</v>
      </c>
      <c r="U1731">
        <f>230</f>
        <v>230</v>
      </c>
      <c r="X1731">
        <f>0</f>
        <v>0</v>
      </c>
      <c r="Y1731" t="s">
        <v>157</v>
      </c>
      <c r="Z1731">
        <f>0</f>
        <v>0</v>
      </c>
      <c r="AA1731">
        <f>1</f>
        <v>1</v>
      </c>
      <c r="AB1731">
        <f>0</f>
        <v>0</v>
      </c>
      <c r="AD1731">
        <f>0</f>
        <v>0</v>
      </c>
      <c r="AE1731">
        <f>0</f>
        <v>0</v>
      </c>
      <c r="AH1731" t="s">
        <v>157</v>
      </c>
    </row>
    <row r="1732" spans="1:149" x14ac:dyDescent="0.25">
      <c r="A1732" t="s">
        <v>4442</v>
      </c>
      <c r="B1732" t="s">
        <v>148</v>
      </c>
      <c r="C1732" s="1">
        <v>45874</v>
      </c>
      <c r="D1732" t="s">
        <v>222</v>
      </c>
      <c r="E1732" t="s">
        <v>223</v>
      </c>
      <c r="F1732" t="s">
        <v>469</v>
      </c>
      <c r="G1732" t="s">
        <v>6551</v>
      </c>
      <c r="H1732">
        <v>242</v>
      </c>
      <c r="I1732" t="s">
        <v>6551</v>
      </c>
      <c r="J1732">
        <v>5429</v>
      </c>
      <c r="K1732" t="s">
        <v>5257</v>
      </c>
      <c r="L1732" t="s">
        <v>393</v>
      </c>
      <c r="M1732" t="s">
        <v>4706</v>
      </c>
      <c r="N1732" t="s">
        <v>4707</v>
      </c>
      <c r="O1732" t="s">
        <v>519</v>
      </c>
      <c r="R1732">
        <f>1</f>
        <v>1</v>
      </c>
      <c r="S1732">
        <f>18.5</f>
        <v>18.5</v>
      </c>
      <c r="T1732">
        <f>8.2</f>
        <v>8.1999999999999993</v>
      </c>
      <c r="U1732">
        <f>175</f>
        <v>175</v>
      </c>
      <c r="X1732">
        <f>1</f>
        <v>1</v>
      </c>
      <c r="Y1732">
        <f>0.02</f>
        <v>0.02</v>
      </c>
      <c r="Z1732">
        <f>0</f>
        <v>0</v>
      </c>
      <c r="AA1732">
        <f>0</f>
        <v>0</v>
      </c>
      <c r="AB1732">
        <f>0</f>
        <v>0</v>
      </c>
      <c r="AC1732">
        <f>0</f>
        <v>0</v>
      </c>
      <c r="AD1732">
        <f>0</f>
        <v>0</v>
      </c>
      <c r="AE1732">
        <f>0</f>
        <v>0</v>
      </c>
      <c r="AH1732" t="s">
        <v>166</v>
      </c>
    </row>
    <row r="1733" spans="1:149" x14ac:dyDescent="0.25">
      <c r="A1733" t="s">
        <v>4443</v>
      </c>
      <c r="B1733" t="s">
        <v>148</v>
      </c>
      <c r="C1733" s="1">
        <v>45824</v>
      </c>
      <c r="D1733" t="s">
        <v>317</v>
      </c>
      <c r="E1733" t="s">
        <v>318</v>
      </c>
      <c r="F1733" t="s">
        <v>6564</v>
      </c>
      <c r="G1733" t="s">
        <v>3520</v>
      </c>
      <c r="H1733">
        <v>94</v>
      </c>
      <c r="I1733" t="s">
        <v>3521</v>
      </c>
      <c r="J1733">
        <v>1868</v>
      </c>
      <c r="K1733" t="s">
        <v>5257</v>
      </c>
      <c r="L1733" t="s">
        <v>180</v>
      </c>
      <c r="M1733" t="s">
        <v>5711</v>
      </c>
      <c r="N1733" t="s">
        <v>3522</v>
      </c>
      <c r="O1733" t="s">
        <v>3523</v>
      </c>
      <c r="Q1733" t="s">
        <v>329</v>
      </c>
      <c r="R1733">
        <f>1</f>
        <v>1</v>
      </c>
      <c r="S1733">
        <f>13</f>
        <v>13</v>
      </c>
      <c r="T1733">
        <f>7.9</f>
        <v>7.9</v>
      </c>
      <c r="U1733">
        <f>172</f>
        <v>172</v>
      </c>
      <c r="X1733">
        <f>0</f>
        <v>0</v>
      </c>
      <c r="Y1733">
        <f>0.12</f>
        <v>0.12</v>
      </c>
      <c r="Z1733">
        <f>0</f>
        <v>0</v>
      </c>
      <c r="AA1733">
        <f>1</f>
        <v>1</v>
      </c>
      <c r="AB1733">
        <f>0</f>
        <v>0</v>
      </c>
      <c r="AC1733">
        <f>0</f>
        <v>0</v>
      </c>
      <c r="AD1733">
        <f>0</f>
        <v>0</v>
      </c>
      <c r="AE1733">
        <f>0</f>
        <v>0</v>
      </c>
      <c r="AH1733" t="s">
        <v>157</v>
      </c>
    </row>
    <row r="1734" spans="1:149" x14ac:dyDescent="0.25">
      <c r="A1734" t="s">
        <v>4444</v>
      </c>
      <c r="B1734" t="s">
        <v>148</v>
      </c>
      <c r="C1734" s="1">
        <v>45799</v>
      </c>
      <c r="D1734" t="s">
        <v>317</v>
      </c>
      <c r="E1734" t="s">
        <v>318</v>
      </c>
      <c r="F1734" t="s">
        <v>6564</v>
      </c>
      <c r="G1734" t="s">
        <v>6565</v>
      </c>
      <c r="H1734">
        <v>83</v>
      </c>
      <c r="I1734" t="s">
        <v>6565</v>
      </c>
      <c r="J1734">
        <v>1333</v>
      </c>
      <c r="K1734" t="s">
        <v>5254</v>
      </c>
      <c r="L1734" t="s">
        <v>180</v>
      </c>
      <c r="M1734" t="s">
        <v>735</v>
      </c>
      <c r="N1734" t="s">
        <v>4721</v>
      </c>
      <c r="O1734" t="s">
        <v>736</v>
      </c>
      <c r="Q1734" t="s">
        <v>6301</v>
      </c>
      <c r="R1734">
        <f>1</f>
        <v>1</v>
      </c>
      <c r="S1734">
        <f>11.1</f>
        <v>11.1</v>
      </c>
      <c r="T1734">
        <f>7.9</f>
        <v>7.9</v>
      </c>
      <c r="U1734">
        <f>195</f>
        <v>195</v>
      </c>
      <c r="X1734">
        <f>0</f>
        <v>0</v>
      </c>
      <c r="Y1734" t="s">
        <v>157</v>
      </c>
      <c r="Z1734">
        <f>0</f>
        <v>0</v>
      </c>
      <c r="AA1734">
        <f>0</f>
        <v>0</v>
      </c>
      <c r="AB1734">
        <f>0</f>
        <v>0</v>
      </c>
      <c r="AD1734">
        <f>0</f>
        <v>0</v>
      </c>
      <c r="AE1734">
        <f>0</f>
        <v>0</v>
      </c>
      <c r="AH1734" t="s">
        <v>157</v>
      </c>
      <c r="AI1734" t="s">
        <v>167</v>
      </c>
      <c r="AL1734" t="s">
        <v>168</v>
      </c>
      <c r="AM1734" t="s">
        <v>216</v>
      </c>
      <c r="AN1734">
        <f>1.6</f>
        <v>1.6</v>
      </c>
      <c r="AO1734">
        <f>0.032</f>
        <v>3.2000000000000001E-2</v>
      </c>
      <c r="AP1734" t="s">
        <v>167</v>
      </c>
      <c r="AQ1734" t="s">
        <v>167</v>
      </c>
      <c r="AR1734" t="s">
        <v>167</v>
      </c>
      <c r="AS1734">
        <f>0.22</f>
        <v>0.22</v>
      </c>
      <c r="AY1734" t="s">
        <v>158</v>
      </c>
      <c r="AZ1734" t="s">
        <v>158</v>
      </c>
      <c r="BA1734" t="s">
        <v>216</v>
      </c>
      <c r="BB1734" t="s">
        <v>158</v>
      </c>
      <c r="BC1734" t="s">
        <v>167</v>
      </c>
      <c r="BD1734" t="s">
        <v>167</v>
      </c>
      <c r="BE1734" t="s">
        <v>216</v>
      </c>
      <c r="BF1734" t="s">
        <v>167</v>
      </c>
      <c r="BG1734" t="s">
        <v>158</v>
      </c>
      <c r="BH1734" t="s">
        <v>167</v>
      </c>
      <c r="BK1734" t="s">
        <v>158</v>
      </c>
    </row>
    <row r="1735" spans="1:149" x14ac:dyDescent="0.25">
      <c r="A1735" t="s">
        <v>4445</v>
      </c>
      <c r="B1735" t="s">
        <v>148</v>
      </c>
      <c r="C1735" s="1">
        <v>45889</v>
      </c>
      <c r="D1735" t="s">
        <v>222</v>
      </c>
      <c r="E1735" t="s">
        <v>223</v>
      </c>
      <c r="F1735" t="s">
        <v>4723</v>
      </c>
      <c r="G1735" t="s">
        <v>769</v>
      </c>
      <c r="H1735">
        <v>245</v>
      </c>
      <c r="I1735" t="s">
        <v>770</v>
      </c>
      <c r="J1735">
        <v>1030</v>
      </c>
      <c r="K1735" t="s">
        <v>5257</v>
      </c>
      <c r="L1735" t="s">
        <v>771</v>
      </c>
      <c r="M1735" t="s">
        <v>5323</v>
      </c>
      <c r="N1735" t="s">
        <v>772</v>
      </c>
      <c r="O1735" t="s">
        <v>773</v>
      </c>
      <c r="Q1735" t="s">
        <v>6298</v>
      </c>
      <c r="R1735">
        <f>1</f>
        <v>1</v>
      </c>
      <c r="S1735">
        <f>20.8</f>
        <v>20.8</v>
      </c>
      <c r="T1735">
        <f>8</f>
        <v>8</v>
      </c>
      <c r="U1735">
        <f>242</f>
        <v>242</v>
      </c>
      <c r="X1735">
        <f>1</f>
        <v>1</v>
      </c>
      <c r="Y1735">
        <f>0.05</f>
        <v>0.05</v>
      </c>
      <c r="Z1735">
        <f>0</f>
        <v>0</v>
      </c>
      <c r="AA1735">
        <f>0</f>
        <v>0</v>
      </c>
      <c r="AB1735">
        <f>0</f>
        <v>0</v>
      </c>
      <c r="AC1735">
        <f>0</f>
        <v>0</v>
      </c>
      <c r="AD1735">
        <f>0</f>
        <v>0</v>
      </c>
      <c r="AE1735">
        <f>0</f>
        <v>0</v>
      </c>
      <c r="AH1735" t="s">
        <v>166</v>
      </c>
    </row>
    <row r="1736" spans="1:149" x14ac:dyDescent="0.25">
      <c r="A1736" t="s">
        <v>4446</v>
      </c>
      <c r="B1736" t="s">
        <v>148</v>
      </c>
      <c r="C1736" s="1">
        <v>45897</v>
      </c>
      <c r="D1736" t="s">
        <v>222</v>
      </c>
      <c r="E1736" t="s">
        <v>223</v>
      </c>
      <c r="F1736" t="s">
        <v>469</v>
      </c>
      <c r="G1736" t="s">
        <v>789</v>
      </c>
      <c r="H1736">
        <v>417</v>
      </c>
      <c r="I1736" t="s">
        <v>789</v>
      </c>
      <c r="J1736">
        <v>752</v>
      </c>
      <c r="K1736" t="s">
        <v>5257</v>
      </c>
      <c r="L1736" t="s">
        <v>393</v>
      </c>
      <c r="M1736" t="s">
        <v>790</v>
      </c>
      <c r="N1736" t="s">
        <v>791</v>
      </c>
      <c r="O1736" t="s">
        <v>792</v>
      </c>
      <c r="Q1736" t="s">
        <v>6495</v>
      </c>
      <c r="R1736">
        <f>1</f>
        <v>1</v>
      </c>
      <c r="S1736">
        <f>14</f>
        <v>14</v>
      </c>
      <c r="T1736">
        <f>8.1</f>
        <v>8.1</v>
      </c>
      <c r="U1736">
        <f>211</f>
        <v>211</v>
      </c>
      <c r="V1736">
        <f>0.29</f>
        <v>0.28999999999999998</v>
      </c>
      <c r="X1736">
        <f>1</f>
        <v>1</v>
      </c>
      <c r="Y1736">
        <f>0.1</f>
        <v>0.1</v>
      </c>
      <c r="Z1736">
        <f>0</f>
        <v>0</v>
      </c>
      <c r="AA1736">
        <f>3</f>
        <v>3</v>
      </c>
      <c r="AB1736">
        <f>0</f>
        <v>0</v>
      </c>
      <c r="AC1736">
        <f>0</f>
        <v>0</v>
      </c>
      <c r="AD1736">
        <f>0</f>
        <v>0</v>
      </c>
      <c r="AE1736">
        <f>0</f>
        <v>0</v>
      </c>
      <c r="AH1736" t="s">
        <v>166</v>
      </c>
    </row>
    <row r="1737" spans="1:149" x14ac:dyDescent="0.25">
      <c r="A1737" t="s">
        <v>4447</v>
      </c>
      <c r="B1737" t="s">
        <v>148</v>
      </c>
      <c r="C1737" s="1">
        <v>45897</v>
      </c>
      <c r="D1737" t="s">
        <v>317</v>
      </c>
      <c r="E1737" t="s">
        <v>318</v>
      </c>
      <c r="F1737" t="s">
        <v>847</v>
      </c>
      <c r="G1737" t="s">
        <v>848</v>
      </c>
      <c r="H1737">
        <v>988</v>
      </c>
      <c r="I1737" t="s">
        <v>849</v>
      </c>
      <c r="J1737">
        <v>3256</v>
      </c>
      <c r="K1737" t="s">
        <v>5254</v>
      </c>
      <c r="L1737" t="s">
        <v>4967</v>
      </c>
      <c r="M1737" t="s">
        <v>5342</v>
      </c>
      <c r="N1737" t="s">
        <v>5343</v>
      </c>
      <c r="O1737" t="s">
        <v>850</v>
      </c>
      <c r="Q1737" t="s">
        <v>845</v>
      </c>
      <c r="R1737">
        <f>1</f>
        <v>1</v>
      </c>
      <c r="S1737">
        <f>10.8</f>
        <v>10.8</v>
      </c>
      <c r="T1737">
        <f>7.9</f>
        <v>7.9</v>
      </c>
      <c r="U1737">
        <f>313</f>
        <v>313</v>
      </c>
      <c r="V1737" t="s">
        <v>209</v>
      </c>
      <c r="X1737">
        <f>0</f>
        <v>0</v>
      </c>
      <c r="Y1737" t="s">
        <v>157</v>
      </c>
      <c r="Z1737">
        <f>0</f>
        <v>0</v>
      </c>
      <c r="AA1737">
        <f>0</f>
        <v>0</v>
      </c>
      <c r="AB1737">
        <f>0</f>
        <v>0</v>
      </c>
      <c r="AD1737">
        <f>0</f>
        <v>0</v>
      </c>
      <c r="AE1737">
        <f>0</f>
        <v>0</v>
      </c>
      <c r="AH1737" t="s">
        <v>157</v>
      </c>
      <c r="AI1737" t="s">
        <v>167</v>
      </c>
      <c r="AL1737" t="s">
        <v>168</v>
      </c>
      <c r="AM1737" t="s">
        <v>216</v>
      </c>
      <c r="AN1737">
        <f>1.8</f>
        <v>1.8</v>
      </c>
      <c r="AO1737">
        <f>0.036</f>
        <v>3.5999999999999997E-2</v>
      </c>
      <c r="AP1737">
        <f>33</f>
        <v>33</v>
      </c>
      <c r="AQ1737" t="s">
        <v>167</v>
      </c>
      <c r="AR1737" t="s">
        <v>167</v>
      </c>
      <c r="AS1737">
        <f>0.38</f>
        <v>0.38</v>
      </c>
      <c r="AY1737" t="s">
        <v>158</v>
      </c>
      <c r="AZ1737" t="s">
        <v>158</v>
      </c>
      <c r="BA1737" t="s">
        <v>216</v>
      </c>
      <c r="BB1737" t="s">
        <v>158</v>
      </c>
      <c r="BC1737" t="s">
        <v>167</v>
      </c>
      <c r="BD1737" t="s">
        <v>167</v>
      </c>
      <c r="BE1737" t="s">
        <v>216</v>
      </c>
      <c r="BF1737" t="s">
        <v>167</v>
      </c>
      <c r="BG1737" t="s">
        <v>158</v>
      </c>
      <c r="BH1737" t="s">
        <v>167</v>
      </c>
      <c r="BK1737" t="s">
        <v>158</v>
      </c>
      <c r="EL1737" t="s">
        <v>251</v>
      </c>
      <c r="EM1737" t="s">
        <v>251</v>
      </c>
      <c r="EN1737" t="s">
        <v>251</v>
      </c>
      <c r="EO1737" t="s">
        <v>251</v>
      </c>
      <c r="ER1737" t="s">
        <v>251</v>
      </c>
    </row>
    <row r="1738" spans="1:149" x14ac:dyDescent="0.25">
      <c r="A1738" t="s">
        <v>4448</v>
      </c>
      <c r="B1738" t="s">
        <v>148</v>
      </c>
      <c r="C1738" s="1">
        <v>45790</v>
      </c>
      <c r="D1738" t="s">
        <v>311</v>
      </c>
      <c r="E1738" t="s">
        <v>312</v>
      </c>
      <c r="F1738" t="s">
        <v>6617</v>
      </c>
      <c r="G1738" t="s">
        <v>1359</v>
      </c>
      <c r="H1738">
        <v>924</v>
      </c>
      <c r="I1738" t="s">
        <v>1359</v>
      </c>
      <c r="J1738">
        <v>3678</v>
      </c>
      <c r="K1738" t="s">
        <v>5257</v>
      </c>
      <c r="L1738" t="s">
        <v>180</v>
      </c>
      <c r="M1738" t="s">
        <v>5937</v>
      </c>
      <c r="N1738" t="s">
        <v>1360</v>
      </c>
      <c r="O1738" t="s">
        <v>1361</v>
      </c>
      <c r="R1738">
        <f>1</f>
        <v>1</v>
      </c>
      <c r="S1738">
        <f>11.3</f>
        <v>11.3</v>
      </c>
      <c r="T1738">
        <f>7.5</f>
        <v>7.5</v>
      </c>
      <c r="U1738">
        <f>299</f>
        <v>299</v>
      </c>
      <c r="X1738">
        <f>0</f>
        <v>0</v>
      </c>
      <c r="Y1738" t="s">
        <v>157</v>
      </c>
      <c r="Z1738">
        <f>0</f>
        <v>0</v>
      </c>
      <c r="AA1738" t="s">
        <v>158</v>
      </c>
      <c r="AB1738" t="s">
        <v>158</v>
      </c>
      <c r="AC1738">
        <f>0</f>
        <v>0</v>
      </c>
      <c r="AD1738">
        <f>0</f>
        <v>0</v>
      </c>
      <c r="AE1738">
        <f>0</f>
        <v>0</v>
      </c>
      <c r="AH1738" t="s">
        <v>157</v>
      </c>
      <c r="AI1738" t="s">
        <v>238</v>
      </c>
      <c r="AL1738" t="s">
        <v>164</v>
      </c>
      <c r="AM1738" t="s">
        <v>165</v>
      </c>
      <c r="AN1738">
        <f>6.6</f>
        <v>6.6</v>
      </c>
      <c r="AO1738">
        <f>0.13</f>
        <v>0.13</v>
      </c>
      <c r="AP1738">
        <f>6.1</f>
        <v>6.1</v>
      </c>
      <c r="AQ1738">
        <f>6.8</f>
        <v>6.8</v>
      </c>
      <c r="AR1738" t="s">
        <v>157</v>
      </c>
      <c r="AS1738">
        <f>3.3</f>
        <v>3.3</v>
      </c>
      <c r="AY1738" t="s">
        <v>167</v>
      </c>
      <c r="AZ1738" t="s">
        <v>158</v>
      </c>
      <c r="BA1738" t="s">
        <v>216</v>
      </c>
      <c r="BB1738" t="s">
        <v>158</v>
      </c>
      <c r="BC1738" t="s">
        <v>166</v>
      </c>
      <c r="BD1738" t="s">
        <v>167</v>
      </c>
      <c r="BE1738" t="s">
        <v>266</v>
      </c>
      <c r="BF1738" t="s">
        <v>168</v>
      </c>
      <c r="BG1738">
        <f>1.7</f>
        <v>1.7</v>
      </c>
      <c r="BH1738" t="s">
        <v>167</v>
      </c>
      <c r="BK1738">
        <f>0.19</f>
        <v>0.19</v>
      </c>
      <c r="BL1738" t="s">
        <v>168</v>
      </c>
      <c r="BM1738" t="s">
        <v>168</v>
      </c>
      <c r="BN1738" t="s">
        <v>168</v>
      </c>
      <c r="BO1738" t="s">
        <v>168</v>
      </c>
      <c r="BP1738" t="s">
        <v>168</v>
      </c>
      <c r="BQ1738" t="s">
        <v>168</v>
      </c>
      <c r="BR1738" t="s">
        <v>168</v>
      </c>
      <c r="BS1738" t="s">
        <v>168</v>
      </c>
      <c r="BT1738" t="s">
        <v>209</v>
      </c>
      <c r="BU1738" t="s">
        <v>168</v>
      </c>
      <c r="BV1738" t="s">
        <v>209</v>
      </c>
      <c r="BW1738" t="s">
        <v>209</v>
      </c>
      <c r="BX1738" t="s">
        <v>209</v>
      </c>
      <c r="BY1738" t="s">
        <v>209</v>
      </c>
      <c r="BZ1738" t="s">
        <v>216</v>
      </c>
      <c r="CA1738" t="s">
        <v>216</v>
      </c>
      <c r="CB1738" t="s">
        <v>168</v>
      </c>
      <c r="CC1738" t="s">
        <v>168</v>
      </c>
      <c r="CD1738" t="s">
        <v>216</v>
      </c>
      <c r="CE1738" t="s">
        <v>209</v>
      </c>
      <c r="CF1738" t="s">
        <v>168</v>
      </c>
      <c r="CG1738" t="s">
        <v>168</v>
      </c>
      <c r="CH1738" t="s">
        <v>165</v>
      </c>
      <c r="CI1738" t="s">
        <v>216</v>
      </c>
      <c r="CJ1738" t="s">
        <v>216</v>
      </c>
      <c r="CK1738" t="s">
        <v>216</v>
      </c>
      <c r="CL1738" t="s">
        <v>216</v>
      </c>
      <c r="CM1738" t="s">
        <v>216</v>
      </c>
      <c r="CN1738" t="s">
        <v>216</v>
      </c>
      <c r="CO1738" t="s">
        <v>216</v>
      </c>
      <c r="CP1738" t="s">
        <v>216</v>
      </c>
      <c r="CQ1738" t="s">
        <v>216</v>
      </c>
      <c r="CR1738" t="s">
        <v>216</v>
      </c>
      <c r="CS1738" t="s">
        <v>216</v>
      </c>
      <c r="CT1738" t="s">
        <v>216</v>
      </c>
      <c r="CU1738" t="s">
        <v>216</v>
      </c>
      <c r="CV1738" t="s">
        <v>216</v>
      </c>
      <c r="CW1738" t="s">
        <v>216</v>
      </c>
      <c r="CX1738" t="s">
        <v>216</v>
      </c>
      <c r="CY1738" t="s">
        <v>216</v>
      </c>
      <c r="CZ1738" t="s">
        <v>216</v>
      </c>
      <c r="DA1738" t="s">
        <v>168</v>
      </c>
      <c r="DB1738" t="s">
        <v>216</v>
      </c>
      <c r="DC1738" t="s">
        <v>216</v>
      </c>
      <c r="DD1738" t="s">
        <v>216</v>
      </c>
      <c r="DE1738" t="s">
        <v>168</v>
      </c>
      <c r="DF1738" t="s">
        <v>168</v>
      </c>
      <c r="DG1738" t="s">
        <v>216</v>
      </c>
      <c r="DH1738" t="s">
        <v>216</v>
      </c>
      <c r="DI1738" t="s">
        <v>216</v>
      </c>
      <c r="DJ1738" t="s">
        <v>216</v>
      </c>
      <c r="DK1738" t="s">
        <v>168</v>
      </c>
      <c r="DL1738" t="s">
        <v>216</v>
      </c>
      <c r="DM1738" t="s">
        <v>216</v>
      </c>
      <c r="DN1738" t="s">
        <v>216</v>
      </c>
      <c r="DO1738" t="s">
        <v>216</v>
      </c>
      <c r="DP1738" t="s">
        <v>168</v>
      </c>
      <c r="DQ1738" t="s">
        <v>216</v>
      </c>
      <c r="DR1738" t="s">
        <v>168</v>
      </c>
      <c r="DS1738" t="s">
        <v>168</v>
      </c>
      <c r="DT1738" t="s">
        <v>168</v>
      </c>
      <c r="DU1738" t="s">
        <v>168</v>
      </c>
      <c r="DV1738" t="s">
        <v>168</v>
      </c>
      <c r="DW1738" t="s">
        <v>168</v>
      </c>
      <c r="DX1738" t="s">
        <v>168</v>
      </c>
      <c r="DY1738" t="s">
        <v>168</v>
      </c>
      <c r="DZ1738" t="s">
        <v>209</v>
      </c>
      <c r="EA1738" t="s">
        <v>216</v>
      </c>
      <c r="EB1738" t="s">
        <v>168</v>
      </c>
      <c r="EC1738" t="s">
        <v>168</v>
      </c>
      <c r="ED1738" t="s">
        <v>209</v>
      </c>
      <c r="EE1738" t="s">
        <v>168</v>
      </c>
    </row>
    <row r="1739" spans="1:149" x14ac:dyDescent="0.25">
      <c r="A1739" t="s">
        <v>4449</v>
      </c>
      <c r="B1739" t="s">
        <v>148</v>
      </c>
      <c r="C1739" s="1">
        <v>45847</v>
      </c>
      <c r="D1739" t="s">
        <v>222</v>
      </c>
      <c r="E1739" t="s">
        <v>223</v>
      </c>
      <c r="F1739" t="s">
        <v>429</v>
      </c>
      <c r="G1739" t="s">
        <v>6580</v>
      </c>
      <c r="H1739">
        <v>1271</v>
      </c>
      <c r="I1739" t="s">
        <v>6581</v>
      </c>
      <c r="J1739">
        <v>757</v>
      </c>
      <c r="K1739" t="s">
        <v>5254</v>
      </c>
      <c r="L1739" t="s">
        <v>431</v>
      </c>
      <c r="M1739" t="s">
        <v>6582</v>
      </c>
      <c r="N1739" t="s">
        <v>6583</v>
      </c>
      <c r="O1739" t="s">
        <v>924</v>
      </c>
      <c r="Q1739" t="s">
        <v>6313</v>
      </c>
      <c r="R1739">
        <f>1</f>
        <v>1</v>
      </c>
      <c r="S1739">
        <f>21.4</f>
        <v>21.4</v>
      </c>
      <c r="T1739">
        <f>7.8</f>
        <v>7.8</v>
      </c>
      <c r="U1739">
        <f>345</f>
        <v>345</v>
      </c>
      <c r="X1739">
        <f>0</f>
        <v>0</v>
      </c>
      <c r="Y1739">
        <f>0.02</f>
        <v>0.02</v>
      </c>
      <c r="Z1739">
        <f>0</f>
        <v>0</v>
      </c>
      <c r="AA1739">
        <f>0</f>
        <v>0</v>
      </c>
      <c r="AB1739">
        <f>0</f>
        <v>0</v>
      </c>
      <c r="AD1739">
        <f>0</f>
        <v>0</v>
      </c>
      <c r="AE1739">
        <f>0</f>
        <v>0</v>
      </c>
      <c r="AH1739" t="s">
        <v>166</v>
      </c>
    </row>
    <row r="1740" spans="1:149" x14ac:dyDescent="0.25">
      <c r="A1740" t="s">
        <v>4450</v>
      </c>
      <c r="B1740" t="s">
        <v>148</v>
      </c>
      <c r="C1740" s="1">
        <v>45874</v>
      </c>
      <c r="D1740" t="s">
        <v>222</v>
      </c>
      <c r="E1740" t="s">
        <v>223</v>
      </c>
      <c r="F1740" t="s">
        <v>469</v>
      </c>
      <c r="G1740" t="s">
        <v>3617</v>
      </c>
      <c r="H1740">
        <v>1399</v>
      </c>
      <c r="I1740" t="s">
        <v>3617</v>
      </c>
      <c r="J1740">
        <v>505</v>
      </c>
      <c r="K1740" t="s">
        <v>5257</v>
      </c>
      <c r="L1740" t="s">
        <v>393</v>
      </c>
      <c r="M1740" t="s">
        <v>6208</v>
      </c>
      <c r="N1740" t="s">
        <v>3618</v>
      </c>
      <c r="O1740" t="s">
        <v>3619</v>
      </c>
      <c r="R1740">
        <f>1</f>
        <v>1</v>
      </c>
      <c r="S1740">
        <f>19.7</f>
        <v>19.7</v>
      </c>
      <c r="T1740">
        <f>8</f>
        <v>8</v>
      </c>
      <c r="U1740">
        <f>229</f>
        <v>229</v>
      </c>
      <c r="V1740">
        <f>0.1</f>
        <v>0.1</v>
      </c>
      <c r="X1740">
        <f>1</f>
        <v>1</v>
      </c>
      <c r="Y1740">
        <f>0.06</f>
        <v>0.06</v>
      </c>
      <c r="Z1740">
        <f>0</f>
        <v>0</v>
      </c>
      <c r="AA1740">
        <f>1</f>
        <v>1</v>
      </c>
      <c r="AB1740">
        <f>0</f>
        <v>0</v>
      </c>
      <c r="AC1740">
        <f>0</f>
        <v>0</v>
      </c>
      <c r="AD1740">
        <f>0</f>
        <v>0</v>
      </c>
      <c r="AE1740">
        <f>0</f>
        <v>0</v>
      </c>
      <c r="AH1740" t="s">
        <v>166</v>
      </c>
    </row>
    <row r="1741" spans="1:149" x14ac:dyDescent="0.25">
      <c r="A1741" t="s">
        <v>4451</v>
      </c>
      <c r="B1741" t="s">
        <v>268</v>
      </c>
      <c r="C1741" s="1">
        <v>45761</v>
      </c>
      <c r="D1741" t="s">
        <v>222</v>
      </c>
      <c r="E1741" t="s">
        <v>223</v>
      </c>
      <c r="F1741" t="s">
        <v>4723</v>
      </c>
      <c r="G1741" t="s">
        <v>949</v>
      </c>
      <c r="H1741">
        <v>241</v>
      </c>
      <c r="I1741" t="s">
        <v>949</v>
      </c>
      <c r="J1741">
        <v>1832</v>
      </c>
      <c r="K1741" t="s">
        <v>5257</v>
      </c>
      <c r="L1741" t="s">
        <v>4968</v>
      </c>
      <c r="M1741" t="s">
        <v>950</v>
      </c>
      <c r="N1741" t="s">
        <v>951</v>
      </c>
      <c r="O1741" t="s">
        <v>952</v>
      </c>
      <c r="R1741">
        <f>1</f>
        <v>1</v>
      </c>
      <c r="S1741">
        <f>11.4</f>
        <v>11.4</v>
      </c>
      <c r="T1741">
        <f>8.2</f>
        <v>8.1999999999999993</v>
      </c>
      <c r="U1741">
        <f>267</f>
        <v>267</v>
      </c>
      <c r="X1741">
        <f>1</f>
        <v>1</v>
      </c>
      <c r="Y1741">
        <f>0.06</f>
        <v>0.06</v>
      </c>
      <c r="Z1741">
        <f>0</f>
        <v>0</v>
      </c>
      <c r="AA1741">
        <f>180</f>
        <v>180</v>
      </c>
      <c r="AB1741">
        <f>17</f>
        <v>17</v>
      </c>
      <c r="AC1741">
        <f>0</f>
        <v>0</v>
      </c>
      <c r="AD1741">
        <f>0</f>
        <v>0</v>
      </c>
      <c r="AE1741">
        <f>0</f>
        <v>0</v>
      </c>
      <c r="AH1741" t="s">
        <v>166</v>
      </c>
      <c r="AI1741">
        <f>0.57</f>
        <v>0.56999999999999995</v>
      </c>
      <c r="AL1741" t="s">
        <v>168</v>
      </c>
      <c r="AM1741" t="s">
        <v>164</v>
      </c>
      <c r="AN1741">
        <f>3.5</f>
        <v>3.5</v>
      </c>
      <c r="AO1741">
        <f>0.07</f>
        <v>7.0000000000000007E-2</v>
      </c>
      <c r="AP1741">
        <f>2.9</f>
        <v>2.9</v>
      </c>
      <c r="AQ1741">
        <f>2.1</f>
        <v>2.1</v>
      </c>
      <c r="AR1741" t="s">
        <v>167</v>
      </c>
      <c r="AS1741">
        <f>1.5</f>
        <v>1.5</v>
      </c>
      <c r="AY1741" t="s">
        <v>157</v>
      </c>
      <c r="AZ1741" t="s">
        <v>208</v>
      </c>
      <c r="BA1741">
        <f>0.0028</f>
        <v>2.8E-3</v>
      </c>
      <c r="BB1741">
        <f>2.5</f>
        <v>2.5</v>
      </c>
      <c r="BC1741" t="s">
        <v>209</v>
      </c>
      <c r="BD1741">
        <f>0.11</f>
        <v>0.11</v>
      </c>
      <c r="BE1741">
        <f>0.0011</f>
        <v>1.1000000000000001E-3</v>
      </c>
      <c r="BF1741" t="s">
        <v>168</v>
      </c>
      <c r="BG1741" t="s">
        <v>237</v>
      </c>
      <c r="BH1741" t="s">
        <v>157</v>
      </c>
      <c r="BK1741" t="s">
        <v>157</v>
      </c>
      <c r="EL1741" t="s">
        <v>238</v>
      </c>
      <c r="EM1741" t="s">
        <v>238</v>
      </c>
      <c r="EN1741" t="s">
        <v>238</v>
      </c>
      <c r="EO1741" t="s">
        <v>238</v>
      </c>
      <c r="ER1741" t="s">
        <v>238</v>
      </c>
    </row>
    <row r="1742" spans="1:149" x14ac:dyDescent="0.25">
      <c r="A1742" t="s">
        <v>4452</v>
      </c>
      <c r="B1742" t="s">
        <v>148</v>
      </c>
      <c r="C1742" s="1">
        <v>45847</v>
      </c>
      <c r="D1742" t="s">
        <v>222</v>
      </c>
      <c r="E1742" t="s">
        <v>223</v>
      </c>
      <c r="F1742" t="s">
        <v>429</v>
      </c>
      <c r="G1742" t="s">
        <v>1047</v>
      </c>
      <c r="H1742">
        <v>1282</v>
      </c>
      <c r="I1742" t="s">
        <v>1047</v>
      </c>
      <c r="J1742">
        <v>1458</v>
      </c>
      <c r="K1742" t="s">
        <v>5254</v>
      </c>
      <c r="L1742" t="s">
        <v>4947</v>
      </c>
      <c r="M1742" t="s">
        <v>5377</v>
      </c>
      <c r="N1742" t="s">
        <v>5889</v>
      </c>
      <c r="O1742" t="s">
        <v>1048</v>
      </c>
      <c r="Q1742" t="s">
        <v>6313</v>
      </c>
      <c r="R1742">
        <f>1</f>
        <v>1</v>
      </c>
      <c r="S1742">
        <f>19.2</f>
        <v>19.2</v>
      </c>
      <c r="T1742">
        <f>7.9</f>
        <v>7.9</v>
      </c>
      <c r="U1742">
        <f>348</f>
        <v>348</v>
      </c>
      <c r="V1742">
        <f>0.12</f>
        <v>0.12</v>
      </c>
      <c r="X1742">
        <f>1</f>
        <v>1</v>
      </c>
      <c r="Y1742">
        <f>0</f>
        <v>0</v>
      </c>
      <c r="Z1742">
        <f>0</f>
        <v>0</v>
      </c>
      <c r="AA1742">
        <f>5</f>
        <v>5</v>
      </c>
      <c r="AB1742">
        <f>7</f>
        <v>7</v>
      </c>
      <c r="AD1742">
        <f>0</f>
        <v>0</v>
      </c>
      <c r="AE1742">
        <f>0</f>
        <v>0</v>
      </c>
      <c r="AH1742" t="s">
        <v>166</v>
      </c>
    </row>
    <row r="1743" spans="1:149" x14ac:dyDescent="0.25">
      <c r="A1743" t="s">
        <v>4453</v>
      </c>
      <c r="B1743" t="s">
        <v>268</v>
      </c>
      <c r="C1743" s="1">
        <v>45805</v>
      </c>
      <c r="D1743" t="s">
        <v>149</v>
      </c>
      <c r="E1743" t="s">
        <v>150</v>
      </c>
      <c r="F1743" t="s">
        <v>4755</v>
      </c>
      <c r="G1743" t="s">
        <v>6596</v>
      </c>
      <c r="H1743">
        <v>186</v>
      </c>
      <c r="I1743" t="s">
        <v>6597</v>
      </c>
      <c r="J1743">
        <v>1433</v>
      </c>
      <c r="K1743" t="s">
        <v>5254</v>
      </c>
      <c r="L1743" t="s">
        <v>431</v>
      </c>
      <c r="M1743" t="s">
        <v>1175</v>
      </c>
      <c r="N1743" t="s">
        <v>1176</v>
      </c>
      <c r="O1743" t="s">
        <v>1177</v>
      </c>
      <c r="R1743">
        <f>1</f>
        <v>1</v>
      </c>
      <c r="S1743">
        <f>17.6</f>
        <v>17.600000000000001</v>
      </c>
      <c r="T1743">
        <f>6.7</f>
        <v>6.7</v>
      </c>
      <c r="U1743">
        <f>244</f>
        <v>244</v>
      </c>
      <c r="X1743">
        <f>0</f>
        <v>0</v>
      </c>
      <c r="Y1743">
        <f>0.1</f>
        <v>0.1</v>
      </c>
      <c r="Z1743">
        <f>0</f>
        <v>0</v>
      </c>
      <c r="AA1743" t="s">
        <v>158</v>
      </c>
      <c r="AB1743" t="s">
        <v>158</v>
      </c>
      <c r="AD1743">
        <f>0</f>
        <v>0</v>
      </c>
      <c r="AE1743">
        <f>0</f>
        <v>0</v>
      </c>
      <c r="AH1743" t="s">
        <v>157</v>
      </c>
      <c r="AI1743" t="s">
        <v>238</v>
      </c>
      <c r="AL1743" t="s">
        <v>164</v>
      </c>
      <c r="AM1743" t="s">
        <v>165</v>
      </c>
      <c r="AN1743">
        <f>41</f>
        <v>41</v>
      </c>
      <c r="AO1743">
        <f>0.82</f>
        <v>0.82</v>
      </c>
      <c r="AP1743">
        <f>5.4</f>
        <v>5.4</v>
      </c>
      <c r="AQ1743">
        <f>13</f>
        <v>13</v>
      </c>
      <c r="AR1743" t="s">
        <v>157</v>
      </c>
      <c r="AS1743">
        <f>8.3</f>
        <v>8.3000000000000007</v>
      </c>
      <c r="AY1743" t="s">
        <v>167</v>
      </c>
      <c r="AZ1743" t="s">
        <v>158</v>
      </c>
      <c r="BA1743" t="s">
        <v>216</v>
      </c>
      <c r="BB1743" t="s">
        <v>158</v>
      </c>
      <c r="BC1743" t="s">
        <v>166</v>
      </c>
      <c r="BD1743" t="s">
        <v>167</v>
      </c>
      <c r="BE1743">
        <f>0.0048</f>
        <v>4.7999999999999996E-3</v>
      </c>
      <c r="BF1743" t="s">
        <v>168</v>
      </c>
      <c r="BG1743" t="s">
        <v>167</v>
      </c>
      <c r="BH1743" t="s">
        <v>167</v>
      </c>
      <c r="BK1743">
        <f>0.053</f>
        <v>5.2999999999999999E-2</v>
      </c>
      <c r="BL1743" t="s">
        <v>168</v>
      </c>
      <c r="BM1743" t="s">
        <v>168</v>
      </c>
      <c r="BN1743" t="s">
        <v>168</v>
      </c>
      <c r="BO1743" t="s">
        <v>168</v>
      </c>
      <c r="BP1743" t="s">
        <v>168</v>
      </c>
      <c r="BQ1743" t="s">
        <v>168</v>
      </c>
      <c r="BR1743" t="s">
        <v>168</v>
      </c>
      <c r="BS1743" t="s">
        <v>168</v>
      </c>
      <c r="BT1743" t="s">
        <v>216</v>
      </c>
      <c r="BU1743" t="s">
        <v>168</v>
      </c>
      <c r="BV1743" t="s">
        <v>209</v>
      </c>
      <c r="BW1743" t="s">
        <v>209</v>
      </c>
      <c r="BX1743" t="s">
        <v>209</v>
      </c>
      <c r="BY1743" t="s">
        <v>209</v>
      </c>
      <c r="BZ1743" t="s">
        <v>216</v>
      </c>
      <c r="CA1743" t="s">
        <v>216</v>
      </c>
      <c r="CB1743" t="s">
        <v>168</v>
      </c>
      <c r="CC1743" t="s">
        <v>168</v>
      </c>
      <c r="CD1743" t="s">
        <v>216</v>
      </c>
      <c r="CE1743" t="s">
        <v>209</v>
      </c>
      <c r="CF1743">
        <f>0.12</f>
        <v>0.12</v>
      </c>
      <c r="CG1743" t="s">
        <v>168</v>
      </c>
      <c r="CH1743" t="s">
        <v>165</v>
      </c>
      <c r="CI1743" t="s">
        <v>216</v>
      </c>
      <c r="CJ1743" t="s">
        <v>216</v>
      </c>
      <c r="CK1743" t="s">
        <v>216</v>
      </c>
      <c r="CL1743" t="s">
        <v>216</v>
      </c>
      <c r="CM1743" t="s">
        <v>216</v>
      </c>
      <c r="CN1743" t="s">
        <v>216</v>
      </c>
      <c r="CQ1743" t="s">
        <v>216</v>
      </c>
      <c r="CR1743">
        <f>0.047</f>
        <v>4.7E-2</v>
      </c>
      <c r="CS1743" t="s">
        <v>216</v>
      </c>
      <c r="CT1743" t="s">
        <v>216</v>
      </c>
      <c r="CU1743" t="s">
        <v>216</v>
      </c>
      <c r="CV1743" t="s">
        <v>216</v>
      </c>
      <c r="CW1743" t="s">
        <v>216</v>
      </c>
      <c r="CX1743" t="s">
        <v>216</v>
      </c>
      <c r="CY1743" t="s">
        <v>216</v>
      </c>
      <c r="CZ1743" t="s">
        <v>216</v>
      </c>
      <c r="DA1743" t="s">
        <v>168</v>
      </c>
      <c r="DB1743" t="s">
        <v>216</v>
      </c>
      <c r="DC1743" t="s">
        <v>216</v>
      </c>
      <c r="DD1743" t="s">
        <v>216</v>
      </c>
      <c r="DE1743" t="s">
        <v>168</v>
      </c>
      <c r="DF1743" t="s">
        <v>168</v>
      </c>
      <c r="DG1743" t="s">
        <v>216</v>
      </c>
      <c r="DH1743" t="s">
        <v>216</v>
      </c>
      <c r="DI1743" t="s">
        <v>216</v>
      </c>
      <c r="DJ1743" t="s">
        <v>216</v>
      </c>
      <c r="DK1743" t="s">
        <v>168</v>
      </c>
      <c r="DL1743" t="s">
        <v>216</v>
      </c>
      <c r="DM1743" t="s">
        <v>216</v>
      </c>
      <c r="DN1743" t="s">
        <v>216</v>
      </c>
      <c r="DO1743" t="s">
        <v>216</v>
      </c>
      <c r="DP1743" t="s">
        <v>168</v>
      </c>
      <c r="DQ1743" t="s">
        <v>216</v>
      </c>
      <c r="DR1743" t="s">
        <v>168</v>
      </c>
      <c r="DS1743" t="s">
        <v>168</v>
      </c>
      <c r="DT1743" t="s">
        <v>168</v>
      </c>
      <c r="DU1743" t="s">
        <v>168</v>
      </c>
      <c r="DV1743" t="s">
        <v>168</v>
      </c>
      <c r="DW1743" t="s">
        <v>168</v>
      </c>
      <c r="DX1743" t="s">
        <v>168</v>
      </c>
      <c r="DY1743" t="s">
        <v>168</v>
      </c>
      <c r="DZ1743" t="s">
        <v>209</v>
      </c>
      <c r="EA1743" t="s">
        <v>216</v>
      </c>
      <c r="EB1743" t="s">
        <v>168</v>
      </c>
      <c r="EC1743" t="s">
        <v>168</v>
      </c>
      <c r="ED1743" t="s">
        <v>209</v>
      </c>
      <c r="EE1743" t="s">
        <v>168</v>
      </c>
      <c r="EP1743">
        <f>0.1</f>
        <v>0.1</v>
      </c>
      <c r="EQ1743" t="s">
        <v>157</v>
      </c>
      <c r="ES1743" t="s">
        <v>166</v>
      </c>
    </row>
    <row r="1744" spans="1:149" x14ac:dyDescent="0.25">
      <c r="A1744" t="s">
        <v>4454</v>
      </c>
      <c r="B1744" t="s">
        <v>148</v>
      </c>
      <c r="C1744" s="1">
        <v>45825</v>
      </c>
      <c r="D1744" t="s">
        <v>175</v>
      </c>
      <c r="E1744" t="s">
        <v>176</v>
      </c>
      <c r="F1744" t="s">
        <v>4773</v>
      </c>
      <c r="G1744" t="s">
        <v>3512</v>
      </c>
      <c r="H1744">
        <v>179</v>
      </c>
      <c r="I1744" t="s">
        <v>3512</v>
      </c>
      <c r="J1744">
        <v>1558</v>
      </c>
      <c r="K1744" t="s">
        <v>5257</v>
      </c>
      <c r="L1744" t="s">
        <v>431</v>
      </c>
      <c r="M1744" t="s">
        <v>6202</v>
      </c>
      <c r="N1744" t="s">
        <v>3513</v>
      </c>
      <c r="O1744" t="s">
        <v>3514</v>
      </c>
      <c r="R1744">
        <f>1</f>
        <v>1</v>
      </c>
      <c r="S1744">
        <f>19.7</f>
        <v>19.7</v>
      </c>
      <c r="T1744">
        <f>7.2</f>
        <v>7.2</v>
      </c>
      <c r="U1744">
        <f>421</f>
        <v>421</v>
      </c>
      <c r="V1744">
        <f>0.04</f>
        <v>0.04</v>
      </c>
      <c r="X1744">
        <f>0</f>
        <v>0</v>
      </c>
      <c r="Y1744" t="s">
        <v>157</v>
      </c>
      <c r="Z1744">
        <f>0</f>
        <v>0</v>
      </c>
      <c r="AA1744" t="s">
        <v>158</v>
      </c>
      <c r="AB1744" t="s">
        <v>158</v>
      </c>
      <c r="AC1744">
        <f>0</f>
        <v>0</v>
      </c>
      <c r="AD1744">
        <f>0</f>
        <v>0</v>
      </c>
      <c r="AE1744">
        <f>0</f>
        <v>0</v>
      </c>
      <c r="AH1744" t="s">
        <v>157</v>
      </c>
    </row>
    <row r="1745" spans="1:63" x14ac:dyDescent="0.25">
      <c r="A1745" t="s">
        <v>4455</v>
      </c>
      <c r="B1745" t="s">
        <v>148</v>
      </c>
      <c r="C1745" s="1">
        <v>45825</v>
      </c>
      <c r="D1745" t="s">
        <v>175</v>
      </c>
      <c r="E1745" t="s">
        <v>176</v>
      </c>
      <c r="F1745" t="s">
        <v>4773</v>
      </c>
      <c r="G1745" t="s">
        <v>1598</v>
      </c>
      <c r="H1745">
        <v>1506</v>
      </c>
      <c r="I1745" t="s">
        <v>1598</v>
      </c>
      <c r="J1745">
        <v>4640</v>
      </c>
      <c r="K1745" t="s">
        <v>5254</v>
      </c>
      <c r="L1745" t="s">
        <v>4992</v>
      </c>
      <c r="M1745" t="s">
        <v>5972</v>
      </c>
      <c r="N1745" t="s">
        <v>5439</v>
      </c>
      <c r="O1745" t="s">
        <v>1599</v>
      </c>
      <c r="R1745">
        <f>1</f>
        <v>1</v>
      </c>
      <c r="S1745">
        <f>18.8</f>
        <v>18.8</v>
      </c>
      <c r="T1745">
        <f>7.1</f>
        <v>7.1</v>
      </c>
      <c r="U1745">
        <f>620</f>
        <v>620</v>
      </c>
      <c r="W1745">
        <f>0.15</f>
        <v>0.15</v>
      </c>
      <c r="X1745">
        <f>1</f>
        <v>1</v>
      </c>
      <c r="Y1745" t="s">
        <v>157</v>
      </c>
      <c r="Z1745">
        <f>0</f>
        <v>0</v>
      </c>
      <c r="AA1745" t="s">
        <v>158</v>
      </c>
      <c r="AB1745" t="s">
        <v>158</v>
      </c>
      <c r="AD1745">
        <f>0</f>
        <v>0</v>
      </c>
      <c r="AE1745">
        <f>0</f>
        <v>0</v>
      </c>
      <c r="AH1745" t="s">
        <v>157</v>
      </c>
      <c r="AI1745" t="s">
        <v>238</v>
      </c>
      <c r="AL1745" t="s">
        <v>164</v>
      </c>
      <c r="AM1745" t="s">
        <v>165</v>
      </c>
      <c r="AN1745">
        <f>22</f>
        <v>22</v>
      </c>
      <c r="AO1745">
        <f>0.44</f>
        <v>0.44</v>
      </c>
      <c r="AP1745">
        <f>4.6</f>
        <v>4.5999999999999996</v>
      </c>
      <c r="AQ1745">
        <f>4.1</f>
        <v>4.0999999999999996</v>
      </c>
      <c r="AR1745" t="s">
        <v>157</v>
      </c>
      <c r="AS1745">
        <f>1.7</f>
        <v>1.7</v>
      </c>
      <c r="AY1745" t="s">
        <v>167</v>
      </c>
      <c r="AZ1745" t="s">
        <v>158</v>
      </c>
      <c r="BA1745" t="s">
        <v>216</v>
      </c>
      <c r="BB1745" t="s">
        <v>158</v>
      </c>
      <c r="BC1745" t="s">
        <v>166</v>
      </c>
      <c r="BD1745" t="s">
        <v>167</v>
      </c>
      <c r="BE1745">
        <f>0.012</f>
        <v>1.2E-2</v>
      </c>
      <c r="BF1745">
        <f>0.029</f>
        <v>2.9000000000000001E-2</v>
      </c>
      <c r="BG1745" t="s">
        <v>167</v>
      </c>
      <c r="BH1745">
        <f>1.2</f>
        <v>1.2</v>
      </c>
      <c r="BK1745">
        <f>0.63</f>
        <v>0.63</v>
      </c>
    </row>
    <row r="1746" spans="1:63" x14ac:dyDescent="0.25">
      <c r="A1746" t="s">
        <v>4456</v>
      </c>
      <c r="B1746" t="s">
        <v>268</v>
      </c>
      <c r="C1746" s="1">
        <v>45782</v>
      </c>
      <c r="D1746" t="s">
        <v>317</v>
      </c>
      <c r="E1746" t="s">
        <v>318</v>
      </c>
      <c r="F1746" t="s">
        <v>847</v>
      </c>
      <c r="G1746" t="s">
        <v>1645</v>
      </c>
      <c r="H1746">
        <v>75</v>
      </c>
      <c r="I1746" t="s">
        <v>1645</v>
      </c>
      <c r="J1746">
        <v>622</v>
      </c>
      <c r="K1746" t="s">
        <v>5254</v>
      </c>
      <c r="L1746" t="s">
        <v>4966</v>
      </c>
      <c r="M1746" t="s">
        <v>4993</v>
      </c>
      <c r="N1746" t="s">
        <v>1646</v>
      </c>
      <c r="O1746" t="s">
        <v>1647</v>
      </c>
      <c r="Q1746" t="s">
        <v>6301</v>
      </c>
      <c r="R1746">
        <f>1</f>
        <v>1</v>
      </c>
      <c r="S1746">
        <f>11.1</f>
        <v>11.1</v>
      </c>
      <c r="T1746">
        <f>8</f>
        <v>8</v>
      </c>
      <c r="U1746">
        <f>312</f>
        <v>312</v>
      </c>
      <c r="X1746">
        <f>0</f>
        <v>0</v>
      </c>
      <c r="Y1746" t="s">
        <v>157</v>
      </c>
      <c r="Z1746">
        <f>0</f>
        <v>0</v>
      </c>
      <c r="AA1746">
        <f>6</f>
        <v>6</v>
      </c>
      <c r="AB1746">
        <f>0</f>
        <v>0</v>
      </c>
      <c r="AD1746">
        <f>0</f>
        <v>0</v>
      </c>
      <c r="AE1746">
        <f>7</f>
        <v>7</v>
      </c>
      <c r="AH1746" t="s">
        <v>157</v>
      </c>
      <c r="AI1746">
        <f>1.5</f>
        <v>1.5</v>
      </c>
      <c r="AL1746" t="s">
        <v>168</v>
      </c>
      <c r="AM1746" t="s">
        <v>216</v>
      </c>
      <c r="AN1746">
        <f>2.8</f>
        <v>2.8</v>
      </c>
      <c r="AO1746">
        <f>0.056</f>
        <v>5.6000000000000001E-2</v>
      </c>
      <c r="AP1746">
        <f>19</f>
        <v>19</v>
      </c>
      <c r="AQ1746" t="s">
        <v>167</v>
      </c>
      <c r="AR1746" t="s">
        <v>167</v>
      </c>
      <c r="AS1746">
        <f>0.53</f>
        <v>0.53</v>
      </c>
      <c r="AY1746" t="s">
        <v>158</v>
      </c>
      <c r="AZ1746" t="s">
        <v>158</v>
      </c>
      <c r="BA1746" t="s">
        <v>216</v>
      </c>
      <c r="BB1746" t="s">
        <v>158</v>
      </c>
      <c r="BC1746" t="s">
        <v>167</v>
      </c>
      <c r="BD1746" t="s">
        <v>167</v>
      </c>
      <c r="BE1746" t="s">
        <v>216</v>
      </c>
      <c r="BF1746" t="s">
        <v>167</v>
      </c>
      <c r="BG1746" t="s">
        <v>158</v>
      </c>
      <c r="BH1746" t="s">
        <v>167</v>
      </c>
      <c r="BK1746" t="s">
        <v>158</v>
      </c>
    </row>
    <row r="1747" spans="1:63" x14ac:dyDescent="0.25">
      <c r="A1747" t="s">
        <v>4457</v>
      </c>
      <c r="B1747" t="s">
        <v>148</v>
      </c>
      <c r="C1747" s="1">
        <v>45723</v>
      </c>
      <c r="D1747" t="s">
        <v>175</v>
      </c>
      <c r="E1747" t="s">
        <v>176</v>
      </c>
      <c r="F1747" t="s">
        <v>1681</v>
      </c>
      <c r="G1747" t="s">
        <v>6245</v>
      </c>
      <c r="H1747">
        <v>640</v>
      </c>
      <c r="I1747" t="s">
        <v>6245</v>
      </c>
      <c r="J1747">
        <v>37</v>
      </c>
      <c r="K1747" t="s">
        <v>4778</v>
      </c>
      <c r="L1747" t="s">
        <v>1882</v>
      </c>
      <c r="M1747" t="s">
        <v>6246</v>
      </c>
      <c r="N1747" t="s">
        <v>4458</v>
      </c>
      <c r="O1747" t="s">
        <v>4459</v>
      </c>
      <c r="R1747">
        <f>1</f>
        <v>1</v>
      </c>
      <c r="S1747">
        <f>8.5</f>
        <v>8.5</v>
      </c>
      <c r="T1747">
        <f>7.3</f>
        <v>7.3</v>
      </c>
      <c r="U1747">
        <f>85</f>
        <v>85</v>
      </c>
      <c r="V1747" t="s">
        <v>207</v>
      </c>
      <c r="X1747">
        <f>0</f>
        <v>0</v>
      </c>
      <c r="Y1747">
        <f>0.3</f>
        <v>0.3</v>
      </c>
      <c r="Z1747">
        <f>0</f>
        <v>0</v>
      </c>
      <c r="AA1747" t="s">
        <v>158</v>
      </c>
      <c r="AB1747" t="s">
        <v>158</v>
      </c>
      <c r="AC1747">
        <f>0</f>
        <v>0</v>
      </c>
      <c r="AD1747">
        <f>0</f>
        <v>0</v>
      </c>
      <c r="AE1747">
        <f>0</f>
        <v>0</v>
      </c>
    </row>
    <row r="1748" spans="1:63" x14ac:dyDescent="0.25">
      <c r="A1748" t="s">
        <v>4460</v>
      </c>
      <c r="B1748" t="s">
        <v>148</v>
      </c>
      <c r="C1748" s="1">
        <v>45799</v>
      </c>
      <c r="D1748" t="s">
        <v>317</v>
      </c>
      <c r="E1748" t="s">
        <v>318</v>
      </c>
      <c r="F1748" t="s">
        <v>1499</v>
      </c>
      <c r="G1748" t="s">
        <v>1500</v>
      </c>
      <c r="H1748">
        <v>1479</v>
      </c>
      <c r="I1748" t="s">
        <v>1501</v>
      </c>
      <c r="J1748">
        <v>426</v>
      </c>
      <c r="K1748" t="s">
        <v>5254</v>
      </c>
      <c r="M1748" t="s">
        <v>1502</v>
      </c>
      <c r="N1748" t="s">
        <v>1503</v>
      </c>
      <c r="O1748" t="s">
        <v>1504</v>
      </c>
      <c r="Q1748" t="s">
        <v>845</v>
      </c>
      <c r="R1748">
        <f>1</f>
        <v>1</v>
      </c>
      <c r="S1748">
        <f>13.6</f>
        <v>13.6</v>
      </c>
      <c r="T1748">
        <f>7.9</f>
        <v>7.9</v>
      </c>
      <c r="U1748">
        <f>228</f>
        <v>228</v>
      </c>
      <c r="X1748">
        <f>0</f>
        <v>0</v>
      </c>
      <c r="Y1748" t="s">
        <v>157</v>
      </c>
      <c r="Z1748">
        <f>0</f>
        <v>0</v>
      </c>
      <c r="AA1748">
        <f>0</f>
        <v>0</v>
      </c>
      <c r="AB1748">
        <f>0</f>
        <v>0</v>
      </c>
      <c r="AD1748">
        <f>0</f>
        <v>0</v>
      </c>
      <c r="AE1748">
        <f>0</f>
        <v>0</v>
      </c>
      <c r="AH1748" t="s">
        <v>157</v>
      </c>
      <c r="AR1748" t="s">
        <v>167</v>
      </c>
      <c r="AS1748">
        <f>0.34</f>
        <v>0.34</v>
      </c>
      <c r="AY1748" t="s">
        <v>158</v>
      </c>
      <c r="AZ1748" t="s">
        <v>158</v>
      </c>
      <c r="BA1748" t="s">
        <v>216</v>
      </c>
      <c r="BB1748" t="s">
        <v>158</v>
      </c>
      <c r="BC1748" t="s">
        <v>167</v>
      </c>
      <c r="BD1748" t="s">
        <v>167</v>
      </c>
      <c r="BE1748" t="s">
        <v>216</v>
      </c>
      <c r="BF1748" t="s">
        <v>167</v>
      </c>
      <c r="BG1748" t="s">
        <v>158</v>
      </c>
      <c r="BH1748" t="s">
        <v>167</v>
      </c>
      <c r="BI1748" t="s">
        <v>167</v>
      </c>
      <c r="BK1748" t="s">
        <v>158</v>
      </c>
    </row>
    <row r="1749" spans="1:63" x14ac:dyDescent="0.25">
      <c r="A1749" t="s">
        <v>4461</v>
      </c>
      <c r="B1749" t="s">
        <v>148</v>
      </c>
      <c r="C1749" s="1">
        <v>45741</v>
      </c>
      <c r="D1749" t="s">
        <v>222</v>
      </c>
      <c r="E1749" t="s">
        <v>223</v>
      </c>
      <c r="F1749" t="s">
        <v>224</v>
      </c>
      <c r="G1749" t="s">
        <v>4462</v>
      </c>
      <c r="H1749">
        <v>1510</v>
      </c>
      <c r="I1749" t="s">
        <v>4463</v>
      </c>
      <c r="J1749">
        <v>8</v>
      </c>
      <c r="K1749" t="s">
        <v>5257</v>
      </c>
      <c r="L1749" t="s">
        <v>5001</v>
      </c>
      <c r="M1749" t="s">
        <v>5747</v>
      </c>
      <c r="N1749" t="s">
        <v>4464</v>
      </c>
      <c r="O1749" t="s">
        <v>4465</v>
      </c>
      <c r="Q1749" t="s">
        <v>6298</v>
      </c>
      <c r="R1749">
        <f>1</f>
        <v>1</v>
      </c>
      <c r="S1749">
        <f>11.4</f>
        <v>11.4</v>
      </c>
      <c r="T1749">
        <f>8.1</f>
        <v>8.1</v>
      </c>
      <c r="U1749">
        <f>379</f>
        <v>379</v>
      </c>
      <c r="X1749">
        <f>1</f>
        <v>1</v>
      </c>
      <c r="Y1749">
        <f>0.26</f>
        <v>0.26</v>
      </c>
      <c r="Z1749">
        <f>0</f>
        <v>0</v>
      </c>
      <c r="AA1749">
        <f>0</f>
        <v>0</v>
      </c>
      <c r="AB1749">
        <f>0</f>
        <v>0</v>
      </c>
      <c r="AC1749">
        <f>0</f>
        <v>0</v>
      </c>
      <c r="AD1749">
        <f>0</f>
        <v>0</v>
      </c>
      <c r="AE1749">
        <f>0</f>
        <v>0</v>
      </c>
      <c r="AH1749" t="s">
        <v>166</v>
      </c>
    </row>
    <row r="1750" spans="1:63" x14ac:dyDescent="0.25">
      <c r="A1750" t="s">
        <v>4466</v>
      </c>
      <c r="B1750" t="s">
        <v>148</v>
      </c>
      <c r="C1750" s="1">
        <v>45831</v>
      </c>
      <c r="D1750" t="s">
        <v>618</v>
      </c>
      <c r="E1750" t="s">
        <v>619</v>
      </c>
      <c r="F1750" t="s">
        <v>730</v>
      </c>
      <c r="G1750" t="s">
        <v>5748</v>
      </c>
      <c r="H1750">
        <v>1613</v>
      </c>
      <c r="I1750" t="s">
        <v>5749</v>
      </c>
      <c r="J1750">
        <v>45</v>
      </c>
      <c r="K1750" t="s">
        <v>5254</v>
      </c>
      <c r="L1750" t="s">
        <v>431</v>
      </c>
      <c r="M1750" t="s">
        <v>5749</v>
      </c>
      <c r="N1750" t="s">
        <v>4467</v>
      </c>
      <c r="O1750" t="s">
        <v>4468</v>
      </c>
      <c r="R1750">
        <f>1</f>
        <v>1</v>
      </c>
      <c r="S1750">
        <f>10.2</f>
        <v>10.199999999999999</v>
      </c>
      <c r="T1750">
        <f>7.9</f>
        <v>7.9</v>
      </c>
      <c r="U1750">
        <f>122</f>
        <v>122</v>
      </c>
      <c r="V1750">
        <f>0.06</f>
        <v>0.06</v>
      </c>
      <c r="X1750">
        <f>0</f>
        <v>0</v>
      </c>
      <c r="Y1750">
        <f>0.1</f>
        <v>0.1</v>
      </c>
      <c r="Z1750">
        <f>0</f>
        <v>0</v>
      </c>
      <c r="AA1750" t="s">
        <v>158</v>
      </c>
      <c r="AB1750" t="s">
        <v>158</v>
      </c>
      <c r="AD1750">
        <f>0</f>
        <v>0</v>
      </c>
      <c r="AE1750">
        <f>0</f>
        <v>0</v>
      </c>
      <c r="AH1750" t="s">
        <v>157</v>
      </c>
    </row>
    <row r="1751" spans="1:63" x14ac:dyDescent="0.25">
      <c r="A1751" t="s">
        <v>4469</v>
      </c>
      <c r="B1751" t="s">
        <v>148</v>
      </c>
      <c r="C1751" s="1">
        <v>45764</v>
      </c>
      <c r="D1751" t="s">
        <v>317</v>
      </c>
      <c r="E1751" t="s">
        <v>318</v>
      </c>
      <c r="F1751" t="s">
        <v>5108</v>
      </c>
      <c r="G1751" t="s">
        <v>6247</v>
      </c>
      <c r="H1751">
        <v>1616</v>
      </c>
      <c r="I1751" t="s">
        <v>6247</v>
      </c>
      <c r="J1751">
        <v>20</v>
      </c>
      <c r="K1751" t="s">
        <v>5254</v>
      </c>
      <c r="L1751" t="s">
        <v>4966</v>
      </c>
      <c r="M1751" t="s">
        <v>6247</v>
      </c>
      <c r="N1751" t="s">
        <v>5243</v>
      </c>
      <c r="O1751" t="s">
        <v>4470</v>
      </c>
      <c r="Q1751" t="s">
        <v>329</v>
      </c>
      <c r="R1751">
        <f>1</f>
        <v>1</v>
      </c>
      <c r="S1751">
        <f>11.1</f>
        <v>11.1</v>
      </c>
      <c r="T1751">
        <f>7.2</f>
        <v>7.2</v>
      </c>
      <c r="U1751">
        <f>124</f>
        <v>124</v>
      </c>
      <c r="X1751">
        <f>0</f>
        <v>0</v>
      </c>
      <c r="Y1751">
        <f>1.81</f>
        <v>1.81</v>
      </c>
      <c r="Z1751">
        <f>0</f>
        <v>0</v>
      </c>
      <c r="AA1751">
        <f>6</f>
        <v>6</v>
      </c>
      <c r="AB1751">
        <f>6</f>
        <v>6</v>
      </c>
      <c r="AD1751">
        <f>0</f>
        <v>0</v>
      </c>
      <c r="AE1751">
        <f>0</f>
        <v>0</v>
      </c>
      <c r="AH1751" t="s">
        <v>157</v>
      </c>
    </row>
    <row r="1752" spans="1:63" x14ac:dyDescent="0.25">
      <c r="A1752" t="s">
        <v>4471</v>
      </c>
      <c r="B1752" t="s">
        <v>148</v>
      </c>
      <c r="C1752" s="1">
        <v>45782</v>
      </c>
      <c r="D1752" t="s">
        <v>269</v>
      </c>
      <c r="E1752" t="s">
        <v>270</v>
      </c>
      <c r="F1752" t="s">
        <v>1917</v>
      </c>
      <c r="G1752" t="s">
        <v>5750</v>
      </c>
      <c r="H1752">
        <v>1595</v>
      </c>
      <c r="I1752" t="s">
        <v>5751</v>
      </c>
      <c r="J1752">
        <v>25</v>
      </c>
      <c r="K1752" t="s">
        <v>5257</v>
      </c>
      <c r="M1752" t="s">
        <v>5752</v>
      </c>
      <c r="N1752" t="s">
        <v>5753</v>
      </c>
      <c r="O1752" t="s">
        <v>4472</v>
      </c>
      <c r="R1752">
        <f>1</f>
        <v>1</v>
      </c>
      <c r="S1752">
        <f>15.9</f>
        <v>15.9</v>
      </c>
      <c r="T1752">
        <f>7.6</f>
        <v>7.6</v>
      </c>
      <c r="U1752">
        <f>569</f>
        <v>569</v>
      </c>
      <c r="X1752">
        <f>0</f>
        <v>0</v>
      </c>
      <c r="Y1752">
        <f>0.07</f>
        <v>7.0000000000000007E-2</v>
      </c>
      <c r="Z1752">
        <f>0</f>
        <v>0</v>
      </c>
      <c r="AA1752" t="s">
        <v>158</v>
      </c>
      <c r="AB1752" t="s">
        <v>158</v>
      </c>
      <c r="AC1752">
        <f>0</f>
        <v>0</v>
      </c>
      <c r="AD1752">
        <f>0</f>
        <v>0</v>
      </c>
      <c r="AE1752">
        <f>0</f>
        <v>0</v>
      </c>
      <c r="AH1752" t="s">
        <v>166</v>
      </c>
      <c r="BI1752" t="s">
        <v>157</v>
      </c>
    </row>
    <row r="1753" spans="1:63" x14ac:dyDescent="0.25">
      <c r="A1753" t="s">
        <v>4473</v>
      </c>
      <c r="B1753" t="s">
        <v>148</v>
      </c>
      <c r="C1753" s="1">
        <v>45771</v>
      </c>
      <c r="D1753" t="s">
        <v>175</v>
      </c>
      <c r="E1753" t="s">
        <v>284</v>
      </c>
      <c r="F1753" t="s">
        <v>678</v>
      </c>
      <c r="G1753" t="s">
        <v>6248</v>
      </c>
      <c r="H1753">
        <v>1560</v>
      </c>
      <c r="I1753" t="s">
        <v>6248</v>
      </c>
      <c r="J1753">
        <v>2</v>
      </c>
      <c r="K1753" t="s">
        <v>5254</v>
      </c>
      <c r="L1753" t="s">
        <v>302</v>
      </c>
      <c r="M1753" t="s">
        <v>6249</v>
      </c>
      <c r="N1753" t="s">
        <v>6250</v>
      </c>
      <c r="O1753" t="s">
        <v>4474</v>
      </c>
      <c r="R1753">
        <f>1</f>
        <v>1</v>
      </c>
      <c r="S1753">
        <f>12</f>
        <v>12</v>
      </c>
      <c r="T1753">
        <f>7.8</f>
        <v>7.8</v>
      </c>
      <c r="U1753">
        <f>350</f>
        <v>350</v>
      </c>
      <c r="W1753">
        <f>0.08</f>
        <v>0.08</v>
      </c>
      <c r="X1753">
        <f>1</f>
        <v>1</v>
      </c>
      <c r="Y1753">
        <f>0.5</f>
        <v>0.5</v>
      </c>
      <c r="Z1753">
        <f>0</f>
        <v>0</v>
      </c>
      <c r="AA1753" t="s">
        <v>158</v>
      </c>
      <c r="AB1753" t="s">
        <v>158</v>
      </c>
      <c r="AD1753">
        <f>0</f>
        <v>0</v>
      </c>
      <c r="AE1753">
        <f>0</f>
        <v>0</v>
      </c>
    </row>
    <row r="1754" spans="1:63" x14ac:dyDescent="0.25">
      <c r="A1754" t="s">
        <v>4475</v>
      </c>
      <c r="B1754" t="s">
        <v>268</v>
      </c>
      <c r="C1754" s="1">
        <v>45853</v>
      </c>
      <c r="D1754" t="s">
        <v>317</v>
      </c>
      <c r="E1754" t="s">
        <v>176</v>
      </c>
      <c r="F1754" t="s">
        <v>5754</v>
      </c>
      <c r="G1754" t="s">
        <v>6251</v>
      </c>
      <c r="H1754">
        <v>1670</v>
      </c>
      <c r="I1754" t="s">
        <v>6252</v>
      </c>
      <c r="J1754">
        <v>46</v>
      </c>
      <c r="K1754" t="s">
        <v>4778</v>
      </c>
      <c r="M1754" t="s">
        <v>5384</v>
      </c>
      <c r="N1754" t="s">
        <v>5755</v>
      </c>
      <c r="O1754" t="s">
        <v>4476</v>
      </c>
      <c r="Q1754" t="s">
        <v>6340</v>
      </c>
      <c r="R1754">
        <f>1</f>
        <v>1</v>
      </c>
      <c r="S1754">
        <f>18.4</f>
        <v>18.399999999999999</v>
      </c>
      <c r="T1754">
        <f>8</f>
        <v>8</v>
      </c>
      <c r="U1754">
        <f>390</f>
        <v>390</v>
      </c>
      <c r="X1754">
        <f>0</f>
        <v>0</v>
      </c>
      <c r="Y1754">
        <f>0.23</f>
        <v>0.23</v>
      </c>
      <c r="Z1754">
        <f>10</f>
        <v>10</v>
      </c>
      <c r="AA1754" t="s">
        <v>705</v>
      </c>
      <c r="AB1754" t="s">
        <v>705</v>
      </c>
      <c r="AC1754">
        <f>0</f>
        <v>0</v>
      </c>
      <c r="AD1754">
        <f>23</f>
        <v>23</v>
      </c>
      <c r="AE1754" t="s">
        <v>1845</v>
      </c>
      <c r="AH1754" t="s">
        <v>157</v>
      </c>
    </row>
    <row r="1755" spans="1:63" x14ac:dyDescent="0.25">
      <c r="A1755" t="s">
        <v>4477</v>
      </c>
      <c r="B1755" t="s">
        <v>268</v>
      </c>
      <c r="C1755" s="1">
        <v>45790</v>
      </c>
      <c r="D1755" t="s">
        <v>311</v>
      </c>
      <c r="E1755" t="s">
        <v>312</v>
      </c>
      <c r="F1755" t="s">
        <v>5756</v>
      </c>
      <c r="G1755" t="s">
        <v>4478</v>
      </c>
      <c r="H1755">
        <v>1189</v>
      </c>
      <c r="I1755" t="s">
        <v>4478</v>
      </c>
      <c r="J1755">
        <v>40</v>
      </c>
      <c r="K1755" t="s">
        <v>5331</v>
      </c>
      <c r="L1755" t="s">
        <v>180</v>
      </c>
      <c r="M1755" t="s">
        <v>6253</v>
      </c>
      <c r="N1755" t="s">
        <v>5757</v>
      </c>
      <c r="O1755" t="s">
        <v>4479</v>
      </c>
      <c r="R1755">
        <f>1</f>
        <v>1</v>
      </c>
      <c r="S1755">
        <f>11.4</f>
        <v>11.4</v>
      </c>
      <c r="T1755">
        <f>6.4</f>
        <v>6.4</v>
      </c>
      <c r="U1755">
        <f>24</f>
        <v>24</v>
      </c>
      <c r="X1755">
        <f>0</f>
        <v>0</v>
      </c>
      <c r="Y1755" t="s">
        <v>157</v>
      </c>
      <c r="Z1755">
        <f>0</f>
        <v>0</v>
      </c>
      <c r="AA1755">
        <f>23</f>
        <v>23</v>
      </c>
      <c r="AB1755">
        <f>43</f>
        <v>43</v>
      </c>
      <c r="AC1755">
        <f>0</f>
        <v>0</v>
      </c>
      <c r="AD1755">
        <f>0</f>
        <v>0</v>
      </c>
      <c r="AE1755">
        <f>6</f>
        <v>6</v>
      </c>
      <c r="AH1755" t="s">
        <v>157</v>
      </c>
    </row>
    <row r="1756" spans="1:63" x14ac:dyDescent="0.25">
      <c r="A1756" t="s">
        <v>4480</v>
      </c>
      <c r="B1756" t="s">
        <v>148</v>
      </c>
      <c r="C1756" s="1">
        <v>45721</v>
      </c>
      <c r="D1756" t="s">
        <v>175</v>
      </c>
      <c r="E1756" t="s">
        <v>176</v>
      </c>
      <c r="F1756" t="s">
        <v>690</v>
      </c>
      <c r="G1756" t="s">
        <v>4481</v>
      </c>
      <c r="H1756">
        <v>1646</v>
      </c>
      <c r="I1756" t="s">
        <v>4481</v>
      </c>
      <c r="J1756">
        <v>101</v>
      </c>
      <c r="K1756" t="s">
        <v>5254</v>
      </c>
      <c r="L1756" t="s">
        <v>726</v>
      </c>
      <c r="M1756" t="s">
        <v>6254</v>
      </c>
      <c r="N1756" t="s">
        <v>4482</v>
      </c>
      <c r="O1756" t="s">
        <v>4483</v>
      </c>
      <c r="R1756">
        <f>1</f>
        <v>1</v>
      </c>
      <c r="S1756">
        <f>6.2</f>
        <v>6.2</v>
      </c>
      <c r="T1756">
        <f>8.1</f>
        <v>8.1</v>
      </c>
      <c r="U1756">
        <f>246</f>
        <v>246</v>
      </c>
      <c r="V1756">
        <f>0.11</f>
        <v>0.11</v>
      </c>
      <c r="X1756">
        <f>1</f>
        <v>1</v>
      </c>
      <c r="Y1756" t="s">
        <v>157</v>
      </c>
      <c r="Z1756">
        <f>0</f>
        <v>0</v>
      </c>
      <c r="AA1756" t="s">
        <v>158</v>
      </c>
      <c r="AB1756" t="s">
        <v>158</v>
      </c>
      <c r="AD1756">
        <f>0</f>
        <v>0</v>
      </c>
      <c r="AE1756">
        <f>0</f>
        <v>0</v>
      </c>
    </row>
    <row r="1757" spans="1:63" x14ac:dyDescent="0.25">
      <c r="A1757" t="s">
        <v>4484</v>
      </c>
      <c r="B1757" t="s">
        <v>148</v>
      </c>
      <c r="C1757" s="1">
        <v>45826</v>
      </c>
      <c r="D1757" t="s">
        <v>242</v>
      </c>
      <c r="E1757" t="s">
        <v>243</v>
      </c>
      <c r="F1757" t="s">
        <v>4485</v>
      </c>
      <c r="G1757" t="s">
        <v>4485</v>
      </c>
      <c r="H1757">
        <v>1685</v>
      </c>
      <c r="I1757" t="s">
        <v>4485</v>
      </c>
      <c r="J1757">
        <v>43</v>
      </c>
      <c r="K1757" t="s">
        <v>5254</v>
      </c>
      <c r="L1757" t="s">
        <v>393</v>
      </c>
      <c r="M1757" t="s">
        <v>4486</v>
      </c>
      <c r="N1757" t="s">
        <v>4487</v>
      </c>
      <c r="O1757" t="s">
        <v>4488</v>
      </c>
      <c r="R1757">
        <f>1</f>
        <v>1</v>
      </c>
      <c r="S1757">
        <f>17.1</f>
        <v>17.100000000000001</v>
      </c>
      <c r="T1757">
        <f>8.2</f>
        <v>8.1999999999999993</v>
      </c>
      <c r="U1757">
        <f>228</f>
        <v>228</v>
      </c>
      <c r="V1757">
        <f>0.13</f>
        <v>0.13</v>
      </c>
      <c r="X1757">
        <f>0</f>
        <v>0</v>
      </c>
      <c r="Y1757">
        <f>0.5</f>
        <v>0.5</v>
      </c>
      <c r="Z1757">
        <f>0</f>
        <v>0</v>
      </c>
      <c r="AA1757" t="s">
        <v>158</v>
      </c>
      <c r="AB1757" t="s">
        <v>158</v>
      </c>
      <c r="AC1757">
        <f>0</f>
        <v>0</v>
      </c>
      <c r="AD1757">
        <f>0</f>
        <v>0</v>
      </c>
      <c r="AE1757">
        <f>0</f>
        <v>0</v>
      </c>
      <c r="AH1757" t="s">
        <v>157</v>
      </c>
    </row>
    <row r="1758" spans="1:63" x14ac:dyDescent="0.25">
      <c r="A1758" t="s">
        <v>4489</v>
      </c>
      <c r="B1758" t="s">
        <v>148</v>
      </c>
      <c r="C1758" s="1">
        <v>45758</v>
      </c>
      <c r="D1758" t="s">
        <v>311</v>
      </c>
      <c r="E1758" t="s">
        <v>312</v>
      </c>
      <c r="F1758" t="s">
        <v>2047</v>
      </c>
      <c r="G1758" t="s">
        <v>2048</v>
      </c>
      <c r="H1758">
        <v>1191</v>
      </c>
      <c r="I1758" t="s">
        <v>4490</v>
      </c>
      <c r="J1758">
        <v>45</v>
      </c>
      <c r="K1758" t="s">
        <v>4778</v>
      </c>
      <c r="L1758" t="s">
        <v>1882</v>
      </c>
      <c r="M1758" t="s">
        <v>4491</v>
      </c>
      <c r="N1758" t="s">
        <v>5078</v>
      </c>
      <c r="O1758" t="s">
        <v>4492</v>
      </c>
      <c r="R1758">
        <f>1</f>
        <v>1</v>
      </c>
      <c r="S1758">
        <f>12</f>
        <v>12</v>
      </c>
      <c r="T1758">
        <f>6.5</f>
        <v>6.5</v>
      </c>
      <c r="U1758">
        <f>88</f>
        <v>88</v>
      </c>
      <c r="X1758">
        <f>0</f>
        <v>0</v>
      </c>
      <c r="Y1758" t="s">
        <v>157</v>
      </c>
      <c r="Z1758">
        <f>0</f>
        <v>0</v>
      </c>
      <c r="AA1758" t="s">
        <v>158</v>
      </c>
      <c r="AB1758" t="s">
        <v>158</v>
      </c>
      <c r="AC1758">
        <f>0</f>
        <v>0</v>
      </c>
      <c r="AD1758">
        <f>0</f>
        <v>0</v>
      </c>
      <c r="AE1758">
        <f>0</f>
        <v>0</v>
      </c>
      <c r="AH1758" t="s">
        <v>157</v>
      </c>
      <c r="BI1758" t="s">
        <v>836</v>
      </c>
    </row>
    <row r="1759" spans="1:63" x14ac:dyDescent="0.25">
      <c r="A1759" t="s">
        <v>4493</v>
      </c>
      <c r="B1759" t="s">
        <v>268</v>
      </c>
      <c r="C1759" s="1">
        <v>45875</v>
      </c>
      <c r="D1759" t="s">
        <v>222</v>
      </c>
      <c r="E1759" t="s">
        <v>223</v>
      </c>
      <c r="F1759" t="s">
        <v>4745</v>
      </c>
      <c r="G1759" t="s">
        <v>4494</v>
      </c>
      <c r="H1759">
        <v>1296</v>
      </c>
      <c r="I1759" t="s">
        <v>4494</v>
      </c>
      <c r="J1759">
        <v>36</v>
      </c>
      <c r="K1759" t="s">
        <v>5257</v>
      </c>
      <c r="L1759" t="s">
        <v>431</v>
      </c>
      <c r="M1759" t="s">
        <v>5758</v>
      </c>
      <c r="N1759" t="s">
        <v>4495</v>
      </c>
      <c r="O1759" t="s">
        <v>4496</v>
      </c>
      <c r="Q1759" t="s">
        <v>5759</v>
      </c>
      <c r="R1759">
        <f>1</f>
        <v>1</v>
      </c>
      <c r="S1759">
        <f>17.4</f>
        <v>17.399999999999999</v>
      </c>
      <c r="T1759">
        <f>7.9</f>
        <v>7.9</v>
      </c>
      <c r="U1759">
        <f>334</f>
        <v>334</v>
      </c>
      <c r="X1759">
        <f>1</f>
        <v>1</v>
      </c>
      <c r="Y1759">
        <f>0.19</f>
        <v>0.19</v>
      </c>
      <c r="Z1759">
        <f>0</f>
        <v>0</v>
      </c>
      <c r="AA1759">
        <f>2</f>
        <v>2</v>
      </c>
      <c r="AB1759">
        <f>5</f>
        <v>5</v>
      </c>
      <c r="AD1759">
        <f>0</f>
        <v>0</v>
      </c>
      <c r="AE1759">
        <f>29</f>
        <v>29</v>
      </c>
      <c r="AH1759" t="s">
        <v>166</v>
      </c>
    </row>
    <row r="1760" spans="1:63" x14ac:dyDescent="0.25">
      <c r="A1760" t="s">
        <v>4497</v>
      </c>
      <c r="B1760" t="s">
        <v>148</v>
      </c>
      <c r="C1760" s="1">
        <v>45814</v>
      </c>
      <c r="D1760" t="s">
        <v>317</v>
      </c>
      <c r="E1760" t="s">
        <v>318</v>
      </c>
      <c r="F1760" t="s">
        <v>4965</v>
      </c>
      <c r="G1760" t="s">
        <v>4498</v>
      </c>
      <c r="H1760">
        <v>1710</v>
      </c>
      <c r="I1760" t="s">
        <v>4499</v>
      </c>
      <c r="J1760">
        <v>18</v>
      </c>
      <c r="K1760" t="s">
        <v>5257</v>
      </c>
      <c r="M1760" t="s">
        <v>5079</v>
      </c>
      <c r="N1760" t="s">
        <v>5080</v>
      </c>
      <c r="R1760">
        <f>1</f>
        <v>1</v>
      </c>
      <c r="S1760">
        <f>11</f>
        <v>11</v>
      </c>
      <c r="T1760">
        <f>7.8</f>
        <v>7.8</v>
      </c>
      <c r="U1760">
        <f>255</f>
        <v>255</v>
      </c>
      <c r="X1760">
        <f>0</f>
        <v>0</v>
      </c>
      <c r="Y1760">
        <f>0.13</f>
        <v>0.13</v>
      </c>
      <c r="Z1760">
        <f>0</f>
        <v>0</v>
      </c>
      <c r="AA1760">
        <f>0</f>
        <v>0</v>
      </c>
      <c r="AB1760">
        <f>0</f>
        <v>0</v>
      </c>
      <c r="AD1760">
        <f>0</f>
        <v>0</v>
      </c>
      <c r="AE1760">
        <f>0</f>
        <v>0</v>
      </c>
      <c r="AH1760" t="s">
        <v>157</v>
      </c>
    </row>
    <row r="1761" spans="1:34" x14ac:dyDescent="0.25">
      <c r="A1761" t="s">
        <v>4500</v>
      </c>
      <c r="B1761" t="s">
        <v>148</v>
      </c>
      <c r="C1761" s="1">
        <v>45740</v>
      </c>
      <c r="D1761" t="s">
        <v>317</v>
      </c>
      <c r="E1761" t="s">
        <v>318</v>
      </c>
      <c r="F1761" t="s">
        <v>4965</v>
      </c>
      <c r="G1761" t="s">
        <v>4501</v>
      </c>
      <c r="H1761">
        <v>1711</v>
      </c>
      <c r="I1761" t="s">
        <v>4502</v>
      </c>
      <c r="J1761">
        <v>28</v>
      </c>
      <c r="K1761" t="s">
        <v>5257</v>
      </c>
      <c r="M1761" t="s">
        <v>4503</v>
      </c>
      <c r="N1761" t="s">
        <v>5081</v>
      </c>
      <c r="Q1761" t="s">
        <v>329</v>
      </c>
      <c r="R1761">
        <f>1</f>
        <v>1</v>
      </c>
      <c r="S1761">
        <f>5.8</f>
        <v>5.8</v>
      </c>
      <c r="T1761">
        <f>7.9</f>
        <v>7.9</v>
      </c>
      <c r="U1761">
        <f>254</f>
        <v>254</v>
      </c>
      <c r="X1761">
        <f>0</f>
        <v>0</v>
      </c>
      <c r="Y1761">
        <f>0.32</f>
        <v>0.32</v>
      </c>
      <c r="Z1761">
        <f>0</f>
        <v>0</v>
      </c>
      <c r="AA1761">
        <f>1</f>
        <v>1</v>
      </c>
      <c r="AB1761">
        <f>1</f>
        <v>1</v>
      </c>
      <c r="AD1761">
        <f>0</f>
        <v>0</v>
      </c>
      <c r="AE1761">
        <f>0</f>
        <v>0</v>
      </c>
      <c r="AH1761" t="s">
        <v>157</v>
      </c>
    </row>
    <row r="1762" spans="1:34" x14ac:dyDescent="0.25">
      <c r="A1762" t="s">
        <v>4504</v>
      </c>
      <c r="B1762" t="s">
        <v>148</v>
      </c>
      <c r="C1762" s="1">
        <v>45814</v>
      </c>
      <c r="D1762" t="s">
        <v>317</v>
      </c>
      <c r="E1762" t="s">
        <v>318</v>
      </c>
      <c r="F1762" t="s">
        <v>4505</v>
      </c>
      <c r="G1762" t="s">
        <v>5244</v>
      </c>
      <c r="H1762">
        <v>1712</v>
      </c>
      <c r="I1762" t="s">
        <v>4506</v>
      </c>
      <c r="J1762">
        <v>1</v>
      </c>
      <c r="K1762" t="s">
        <v>5254</v>
      </c>
      <c r="M1762" t="s">
        <v>4507</v>
      </c>
      <c r="N1762" t="s">
        <v>4508</v>
      </c>
      <c r="Q1762" t="s">
        <v>6505</v>
      </c>
      <c r="R1762">
        <f>1</f>
        <v>1</v>
      </c>
      <c r="S1762">
        <f>11.5</f>
        <v>11.5</v>
      </c>
      <c r="T1762">
        <f>7.5</f>
        <v>7.5</v>
      </c>
      <c r="U1762">
        <f>372</f>
        <v>372</v>
      </c>
      <c r="X1762">
        <f>0</f>
        <v>0</v>
      </c>
      <c r="Y1762">
        <f>0.44</f>
        <v>0.44</v>
      </c>
      <c r="Z1762">
        <f>0</f>
        <v>0</v>
      </c>
      <c r="AA1762">
        <f>0</f>
        <v>0</v>
      </c>
      <c r="AB1762">
        <f>0</f>
        <v>0</v>
      </c>
      <c r="AD1762">
        <f>0</f>
        <v>0</v>
      </c>
      <c r="AE1762">
        <f>0</f>
        <v>0</v>
      </c>
      <c r="AH1762" t="s">
        <v>157</v>
      </c>
    </row>
    <row r="1763" spans="1:34" x14ac:dyDescent="0.25">
      <c r="A1763" t="s">
        <v>4509</v>
      </c>
      <c r="B1763" t="s">
        <v>148</v>
      </c>
      <c r="C1763" s="1">
        <v>45785</v>
      </c>
      <c r="D1763" t="s">
        <v>317</v>
      </c>
      <c r="E1763" t="s">
        <v>318</v>
      </c>
      <c r="F1763" t="s">
        <v>6576</v>
      </c>
      <c r="G1763" t="s">
        <v>4510</v>
      </c>
      <c r="H1763">
        <v>1713</v>
      </c>
      <c r="I1763" t="s">
        <v>4510</v>
      </c>
      <c r="J1763">
        <v>43</v>
      </c>
      <c r="K1763" t="s">
        <v>5257</v>
      </c>
      <c r="L1763" t="s">
        <v>4966</v>
      </c>
      <c r="M1763" t="s">
        <v>6255</v>
      </c>
      <c r="N1763" t="s">
        <v>4511</v>
      </c>
      <c r="Q1763" t="s">
        <v>347</v>
      </c>
      <c r="R1763">
        <f>1</f>
        <v>1</v>
      </c>
      <c r="S1763">
        <f>11.5</f>
        <v>11.5</v>
      </c>
      <c r="T1763">
        <f>7.4</f>
        <v>7.4</v>
      </c>
      <c r="U1763">
        <f>58</f>
        <v>58</v>
      </c>
      <c r="X1763">
        <f>0</f>
        <v>0</v>
      </c>
      <c r="Y1763">
        <f>0.95</f>
        <v>0.95</v>
      </c>
      <c r="Z1763">
        <f>0</f>
        <v>0</v>
      </c>
      <c r="AA1763">
        <f>2</f>
        <v>2</v>
      </c>
      <c r="AB1763">
        <f>2</f>
        <v>2</v>
      </c>
      <c r="AD1763">
        <f>0</f>
        <v>0</v>
      </c>
      <c r="AE1763">
        <f>0</f>
        <v>0</v>
      </c>
      <c r="AH1763" t="s">
        <v>157</v>
      </c>
    </row>
    <row r="1764" spans="1:34" x14ac:dyDescent="0.25">
      <c r="A1764" t="s">
        <v>4512</v>
      </c>
      <c r="B1764" t="s">
        <v>268</v>
      </c>
      <c r="C1764" s="1">
        <v>45841</v>
      </c>
      <c r="D1764" t="s">
        <v>242</v>
      </c>
      <c r="E1764" t="s">
        <v>243</v>
      </c>
      <c r="F1764" t="s">
        <v>6835</v>
      </c>
      <c r="G1764" t="s">
        <v>6836</v>
      </c>
      <c r="H1764">
        <v>1714</v>
      </c>
      <c r="I1764" t="s">
        <v>6837</v>
      </c>
      <c r="J1764">
        <v>1</v>
      </c>
      <c r="K1764" t="s">
        <v>5257</v>
      </c>
      <c r="M1764" t="s">
        <v>6835</v>
      </c>
      <c r="N1764" t="s">
        <v>4932</v>
      </c>
      <c r="R1764">
        <f>1</f>
        <v>1</v>
      </c>
      <c r="S1764">
        <f>18.3</f>
        <v>18.3</v>
      </c>
      <c r="T1764">
        <f>7.5</f>
        <v>7.5</v>
      </c>
      <c r="U1764">
        <f>466</f>
        <v>466</v>
      </c>
      <c r="X1764">
        <f>0</f>
        <v>0</v>
      </c>
      <c r="Y1764">
        <f>0.21</f>
        <v>0.21</v>
      </c>
      <c r="Z1764">
        <f>0</f>
        <v>0</v>
      </c>
      <c r="AA1764">
        <f>11</f>
        <v>11</v>
      </c>
      <c r="AB1764" t="s">
        <v>158</v>
      </c>
      <c r="AD1764">
        <f>0</f>
        <v>0</v>
      </c>
      <c r="AE1764" t="s">
        <v>1845</v>
      </c>
      <c r="AH1764" t="s">
        <v>157</v>
      </c>
    </row>
    <row r="1765" spans="1:34" x14ac:dyDescent="0.25">
      <c r="A1765" t="s">
        <v>4513</v>
      </c>
      <c r="B1765" t="s">
        <v>268</v>
      </c>
      <c r="C1765" s="1">
        <v>45842</v>
      </c>
      <c r="D1765" t="s">
        <v>618</v>
      </c>
      <c r="E1765" t="s">
        <v>619</v>
      </c>
      <c r="F1765" t="s">
        <v>4514</v>
      </c>
      <c r="G1765" t="s">
        <v>4515</v>
      </c>
      <c r="H1765">
        <v>1719</v>
      </c>
      <c r="I1765" t="s">
        <v>4515</v>
      </c>
      <c r="J1765">
        <v>1</v>
      </c>
      <c r="K1765" t="s">
        <v>5254</v>
      </c>
      <c r="M1765" t="s">
        <v>4515</v>
      </c>
      <c r="N1765" t="s">
        <v>4516</v>
      </c>
      <c r="R1765">
        <f>1</f>
        <v>1</v>
      </c>
      <c r="S1765">
        <f>19</f>
        <v>19</v>
      </c>
      <c r="T1765">
        <f>7.8</f>
        <v>7.8</v>
      </c>
      <c r="U1765">
        <f>235</f>
        <v>235</v>
      </c>
      <c r="X1765">
        <f>0</f>
        <v>0</v>
      </c>
      <c r="Y1765">
        <f>0.1</f>
        <v>0.1</v>
      </c>
      <c r="Z1765">
        <f>0</f>
        <v>0</v>
      </c>
      <c r="AA1765">
        <f>36</f>
        <v>36</v>
      </c>
      <c r="AB1765">
        <f>11</f>
        <v>11</v>
      </c>
      <c r="AD1765">
        <f>0</f>
        <v>0</v>
      </c>
      <c r="AE1765">
        <f>10</f>
        <v>10</v>
      </c>
      <c r="AH1765" t="s">
        <v>157</v>
      </c>
    </row>
    <row r="1766" spans="1:34" x14ac:dyDescent="0.25">
      <c r="A1766" t="s">
        <v>4517</v>
      </c>
      <c r="B1766" t="s">
        <v>148</v>
      </c>
      <c r="C1766" s="1">
        <v>45840</v>
      </c>
      <c r="D1766" t="s">
        <v>242</v>
      </c>
      <c r="E1766" t="s">
        <v>295</v>
      </c>
      <c r="F1766" t="s">
        <v>764</v>
      </c>
      <c r="G1766" t="s">
        <v>4518</v>
      </c>
      <c r="H1766">
        <v>1421</v>
      </c>
      <c r="I1766" t="s">
        <v>4518</v>
      </c>
      <c r="J1766">
        <v>35</v>
      </c>
      <c r="K1766" t="s">
        <v>5257</v>
      </c>
      <c r="L1766" t="s">
        <v>4808</v>
      </c>
      <c r="M1766" t="s">
        <v>6838</v>
      </c>
      <c r="N1766" t="s">
        <v>4519</v>
      </c>
      <c r="R1766">
        <f>1</f>
        <v>1</v>
      </c>
      <c r="S1766">
        <f>22.6</f>
        <v>22.6</v>
      </c>
      <c r="T1766">
        <f>7.7</f>
        <v>7.7</v>
      </c>
      <c r="U1766">
        <f>399</f>
        <v>399</v>
      </c>
      <c r="X1766">
        <f>0</f>
        <v>0</v>
      </c>
      <c r="Y1766">
        <f>0.99</f>
        <v>0.99</v>
      </c>
      <c r="Z1766">
        <f>0</f>
        <v>0</v>
      </c>
      <c r="AA1766">
        <f>23</f>
        <v>23</v>
      </c>
      <c r="AB1766" t="s">
        <v>158</v>
      </c>
      <c r="AD1766">
        <f>0</f>
        <v>0</v>
      </c>
      <c r="AE1766">
        <f>0</f>
        <v>0</v>
      </c>
      <c r="AH1766" t="s">
        <v>157</v>
      </c>
    </row>
    <row r="1767" spans="1:34" x14ac:dyDescent="0.25">
      <c r="A1767" t="s">
        <v>4520</v>
      </c>
      <c r="B1767" t="s">
        <v>148</v>
      </c>
      <c r="C1767" s="1">
        <v>45770</v>
      </c>
      <c r="D1767" t="s">
        <v>175</v>
      </c>
      <c r="E1767" t="s">
        <v>270</v>
      </c>
      <c r="F1767" t="s">
        <v>354</v>
      </c>
      <c r="G1767" t="s">
        <v>4521</v>
      </c>
      <c r="H1767">
        <v>1721</v>
      </c>
      <c r="I1767" t="s">
        <v>4521</v>
      </c>
      <c r="J1767">
        <v>5</v>
      </c>
      <c r="K1767" t="s">
        <v>5254</v>
      </c>
      <c r="L1767" t="s">
        <v>4966</v>
      </c>
      <c r="M1767" t="s">
        <v>6839</v>
      </c>
      <c r="N1767" t="s">
        <v>4522</v>
      </c>
      <c r="R1767">
        <f>1</f>
        <v>1</v>
      </c>
      <c r="S1767">
        <f>14.3</f>
        <v>14.3</v>
      </c>
      <c r="T1767">
        <f>7.5</f>
        <v>7.5</v>
      </c>
      <c r="U1767">
        <f>383</f>
        <v>383</v>
      </c>
      <c r="X1767">
        <f>0</f>
        <v>0</v>
      </c>
      <c r="Y1767" t="s">
        <v>207</v>
      </c>
      <c r="Z1767">
        <f>0</f>
        <v>0</v>
      </c>
      <c r="AA1767">
        <f>85</f>
        <v>85</v>
      </c>
      <c r="AB1767" t="s">
        <v>158</v>
      </c>
      <c r="AD1767">
        <f>0</f>
        <v>0</v>
      </c>
      <c r="AE1767">
        <f>0</f>
        <v>0</v>
      </c>
    </row>
    <row r="1768" spans="1:34" x14ac:dyDescent="0.25">
      <c r="A1768" t="s">
        <v>4523</v>
      </c>
      <c r="B1768" t="s">
        <v>148</v>
      </c>
      <c r="C1768" s="1">
        <v>45824</v>
      </c>
      <c r="D1768" t="s">
        <v>175</v>
      </c>
      <c r="E1768" t="s">
        <v>176</v>
      </c>
      <c r="F1768" t="s">
        <v>2692</v>
      </c>
      <c r="G1768" t="s">
        <v>4524</v>
      </c>
      <c r="H1768">
        <v>1722</v>
      </c>
      <c r="I1768" t="s">
        <v>4525</v>
      </c>
      <c r="J1768">
        <v>1</v>
      </c>
      <c r="K1768" t="s">
        <v>5254</v>
      </c>
      <c r="M1768" t="s">
        <v>4526</v>
      </c>
      <c r="N1768" t="s">
        <v>6256</v>
      </c>
      <c r="Q1768" t="s">
        <v>347</v>
      </c>
      <c r="R1768">
        <f>1</f>
        <v>1</v>
      </c>
      <c r="S1768">
        <f>15.4</f>
        <v>15.4</v>
      </c>
      <c r="T1768">
        <f>7.6</f>
        <v>7.6</v>
      </c>
      <c r="U1768">
        <f>337</f>
        <v>337</v>
      </c>
      <c r="X1768">
        <f>0</f>
        <v>0</v>
      </c>
      <c r="Y1768" t="s">
        <v>157</v>
      </c>
      <c r="Z1768">
        <f>0</f>
        <v>0</v>
      </c>
      <c r="AA1768">
        <f>0</f>
        <v>0</v>
      </c>
      <c r="AB1768">
        <f>0</f>
        <v>0</v>
      </c>
      <c r="AD1768">
        <f>0</f>
        <v>0</v>
      </c>
      <c r="AE1768">
        <f>0</f>
        <v>0</v>
      </c>
      <c r="AH1768" t="s">
        <v>157</v>
      </c>
    </row>
    <row r="1769" spans="1:34" x14ac:dyDescent="0.25">
      <c r="A1769" t="s">
        <v>4527</v>
      </c>
      <c r="B1769" t="s">
        <v>148</v>
      </c>
      <c r="C1769" s="1">
        <v>45726</v>
      </c>
      <c r="D1769" t="s">
        <v>618</v>
      </c>
      <c r="E1769" t="s">
        <v>619</v>
      </c>
      <c r="F1769" t="s">
        <v>5317</v>
      </c>
      <c r="G1769" t="s">
        <v>6257</v>
      </c>
      <c r="H1769">
        <v>1727</v>
      </c>
      <c r="I1769" t="s">
        <v>6257</v>
      </c>
      <c r="J1769">
        <v>55</v>
      </c>
      <c r="K1769" t="s">
        <v>5257</v>
      </c>
      <c r="M1769" t="s">
        <v>6258</v>
      </c>
      <c r="N1769" t="s">
        <v>6259</v>
      </c>
      <c r="R1769">
        <f>1</f>
        <v>1</v>
      </c>
      <c r="S1769">
        <f>8.6</f>
        <v>8.6</v>
      </c>
      <c r="T1769">
        <f>7.3</f>
        <v>7.3</v>
      </c>
      <c r="U1769">
        <f>31</f>
        <v>31</v>
      </c>
      <c r="X1769">
        <f>0</f>
        <v>0</v>
      </c>
      <c r="Y1769">
        <f>0.1</f>
        <v>0.1</v>
      </c>
      <c r="Z1769">
        <f>0</f>
        <v>0</v>
      </c>
      <c r="AA1769" t="s">
        <v>158</v>
      </c>
      <c r="AB1769" t="s">
        <v>158</v>
      </c>
      <c r="AD1769">
        <f>0</f>
        <v>0</v>
      </c>
      <c r="AE1769">
        <f>0</f>
        <v>0</v>
      </c>
      <c r="AH1769" t="s">
        <v>157</v>
      </c>
    </row>
    <row r="1770" spans="1:34" x14ac:dyDescent="0.25">
      <c r="A1770" t="s">
        <v>4528</v>
      </c>
      <c r="B1770" t="s">
        <v>148</v>
      </c>
      <c r="C1770" s="1">
        <v>45789</v>
      </c>
      <c r="D1770" t="s">
        <v>242</v>
      </c>
      <c r="E1770" t="s">
        <v>243</v>
      </c>
      <c r="F1770" t="s">
        <v>4529</v>
      </c>
      <c r="G1770" t="s">
        <v>6840</v>
      </c>
      <c r="H1770">
        <v>1737</v>
      </c>
      <c r="I1770" t="s">
        <v>6841</v>
      </c>
      <c r="J1770">
        <v>1</v>
      </c>
      <c r="K1770" t="s">
        <v>5254</v>
      </c>
      <c r="M1770" t="s">
        <v>6841</v>
      </c>
      <c r="N1770" t="s">
        <v>6842</v>
      </c>
      <c r="R1770">
        <f>1</f>
        <v>1</v>
      </c>
      <c r="S1770">
        <f>11.6</f>
        <v>11.6</v>
      </c>
      <c r="T1770">
        <f>7.7</f>
        <v>7.7</v>
      </c>
      <c r="U1770">
        <f>327</f>
        <v>327</v>
      </c>
      <c r="X1770">
        <f>0</f>
        <v>0</v>
      </c>
      <c r="Y1770" t="s">
        <v>157</v>
      </c>
      <c r="Z1770">
        <f>0</f>
        <v>0</v>
      </c>
      <c r="AA1770" t="s">
        <v>158</v>
      </c>
      <c r="AB1770" t="s">
        <v>158</v>
      </c>
      <c r="AD1770">
        <f>0</f>
        <v>0</v>
      </c>
      <c r="AE1770">
        <f>0</f>
        <v>0</v>
      </c>
      <c r="AH1770" t="s">
        <v>157</v>
      </c>
    </row>
    <row r="1771" spans="1:34" x14ac:dyDescent="0.25">
      <c r="A1771" t="s">
        <v>4530</v>
      </c>
      <c r="B1771" t="s">
        <v>268</v>
      </c>
      <c r="C1771" s="1">
        <v>45840</v>
      </c>
      <c r="D1771" t="s">
        <v>618</v>
      </c>
      <c r="E1771" t="s">
        <v>619</v>
      </c>
      <c r="F1771" t="s">
        <v>4531</v>
      </c>
      <c r="G1771" t="s">
        <v>6843</v>
      </c>
      <c r="H1771">
        <v>1738</v>
      </c>
      <c r="I1771" t="s">
        <v>6844</v>
      </c>
      <c r="J1771">
        <v>25</v>
      </c>
      <c r="K1771" t="s">
        <v>5254</v>
      </c>
      <c r="M1771" t="s">
        <v>6844</v>
      </c>
      <c r="N1771" t="s">
        <v>6260</v>
      </c>
      <c r="R1771">
        <f>1</f>
        <v>1</v>
      </c>
      <c r="S1771">
        <f>18.6</f>
        <v>18.600000000000001</v>
      </c>
      <c r="T1771">
        <f>7.8</f>
        <v>7.8</v>
      </c>
      <c r="U1771">
        <f>117</f>
        <v>117</v>
      </c>
      <c r="X1771">
        <f>0</f>
        <v>0</v>
      </c>
      <c r="Y1771">
        <f>0.1</f>
        <v>0.1</v>
      </c>
      <c r="Z1771">
        <f>12</f>
        <v>12</v>
      </c>
      <c r="AA1771">
        <f>13</f>
        <v>13</v>
      </c>
      <c r="AB1771">
        <f>12</f>
        <v>12</v>
      </c>
      <c r="AD1771">
        <f>1</f>
        <v>1</v>
      </c>
      <c r="AE1771">
        <f>24</f>
        <v>24</v>
      </c>
      <c r="AH1771" t="s">
        <v>157</v>
      </c>
    </row>
    <row r="1772" spans="1:34" x14ac:dyDescent="0.25">
      <c r="A1772" t="s">
        <v>4532</v>
      </c>
      <c r="B1772" t="s">
        <v>148</v>
      </c>
      <c r="C1772" s="1">
        <v>45869</v>
      </c>
      <c r="D1772" t="s">
        <v>242</v>
      </c>
      <c r="E1772" t="s">
        <v>243</v>
      </c>
      <c r="F1772" t="s">
        <v>4533</v>
      </c>
      <c r="G1772" t="s">
        <v>6845</v>
      </c>
      <c r="H1772">
        <v>1739</v>
      </c>
      <c r="I1772" t="s">
        <v>6846</v>
      </c>
      <c r="J1772">
        <v>3</v>
      </c>
      <c r="K1772" t="s">
        <v>4778</v>
      </c>
      <c r="M1772" t="s">
        <v>6846</v>
      </c>
      <c r="N1772" t="s">
        <v>5245</v>
      </c>
      <c r="P1772" t="s">
        <v>6515</v>
      </c>
      <c r="R1772">
        <f>1</f>
        <v>1</v>
      </c>
      <c r="S1772">
        <f>19.2</f>
        <v>19.2</v>
      </c>
      <c r="T1772">
        <f>7.3</f>
        <v>7.3</v>
      </c>
      <c r="U1772">
        <f>395</f>
        <v>395</v>
      </c>
      <c r="X1772">
        <f>1</f>
        <v>1</v>
      </c>
      <c r="Y1772">
        <f>0.15</f>
        <v>0.15</v>
      </c>
      <c r="Z1772">
        <f>0</f>
        <v>0</v>
      </c>
      <c r="AA1772" t="s">
        <v>158</v>
      </c>
      <c r="AB1772" t="s">
        <v>158</v>
      </c>
      <c r="AD1772">
        <f>0</f>
        <v>0</v>
      </c>
      <c r="AE1772">
        <f>0</f>
        <v>0</v>
      </c>
      <c r="AH1772" t="s">
        <v>157</v>
      </c>
    </row>
    <row r="1773" spans="1:34" x14ac:dyDescent="0.25">
      <c r="A1773" t="s">
        <v>4534</v>
      </c>
      <c r="B1773" t="s">
        <v>148</v>
      </c>
      <c r="C1773" s="1">
        <v>45897</v>
      </c>
      <c r="D1773" t="s">
        <v>317</v>
      </c>
      <c r="E1773" t="s">
        <v>318</v>
      </c>
      <c r="F1773" t="s">
        <v>4535</v>
      </c>
      <c r="G1773" t="s">
        <v>6847</v>
      </c>
      <c r="H1773">
        <v>1741</v>
      </c>
      <c r="I1773" t="s">
        <v>6848</v>
      </c>
      <c r="J1773">
        <v>1</v>
      </c>
      <c r="K1773" t="s">
        <v>5254</v>
      </c>
      <c r="M1773" t="s">
        <v>6848</v>
      </c>
      <c r="N1773" t="s">
        <v>6261</v>
      </c>
      <c r="Q1773" t="s">
        <v>845</v>
      </c>
      <c r="R1773">
        <f>1</f>
        <v>1</v>
      </c>
      <c r="S1773">
        <f>12.1</f>
        <v>12.1</v>
      </c>
      <c r="T1773">
        <f>8.1</f>
        <v>8.1</v>
      </c>
      <c r="U1773">
        <f>168</f>
        <v>168</v>
      </c>
      <c r="X1773">
        <f>0</f>
        <v>0</v>
      </c>
      <c r="Y1773" t="s">
        <v>157</v>
      </c>
      <c r="Z1773">
        <f>0</f>
        <v>0</v>
      </c>
      <c r="AA1773">
        <f>14</f>
        <v>14</v>
      </c>
      <c r="AB1773">
        <f>4</f>
        <v>4</v>
      </c>
      <c r="AD1773">
        <f>0</f>
        <v>0</v>
      </c>
      <c r="AE1773">
        <f>0</f>
        <v>0</v>
      </c>
      <c r="AH1773" t="s">
        <v>157</v>
      </c>
    </row>
    <row r="1774" spans="1:34" x14ac:dyDescent="0.25">
      <c r="A1774" t="s">
        <v>4536</v>
      </c>
      <c r="B1774" t="s">
        <v>148</v>
      </c>
      <c r="C1774" s="1">
        <v>45803</v>
      </c>
      <c r="D1774" t="s">
        <v>317</v>
      </c>
      <c r="E1774" t="s">
        <v>318</v>
      </c>
      <c r="F1774" t="s">
        <v>4535</v>
      </c>
      <c r="G1774" t="s">
        <v>6847</v>
      </c>
      <c r="H1774">
        <v>1741</v>
      </c>
      <c r="I1774" t="s">
        <v>6848</v>
      </c>
      <c r="J1774">
        <v>1</v>
      </c>
      <c r="K1774" t="s">
        <v>5254</v>
      </c>
      <c r="M1774" t="s">
        <v>6848</v>
      </c>
      <c r="N1774" t="s">
        <v>6261</v>
      </c>
      <c r="Q1774" t="s">
        <v>845</v>
      </c>
      <c r="R1774">
        <f>1</f>
        <v>1</v>
      </c>
      <c r="S1774">
        <f>7.3</f>
        <v>7.3</v>
      </c>
      <c r="T1774">
        <f>8.1</f>
        <v>8.1</v>
      </c>
      <c r="U1774">
        <f>155</f>
        <v>155</v>
      </c>
      <c r="X1774">
        <f>0</f>
        <v>0</v>
      </c>
      <c r="Y1774">
        <f>0.11</f>
        <v>0.11</v>
      </c>
      <c r="Z1774">
        <f>0</f>
        <v>0</v>
      </c>
      <c r="AA1774">
        <f>7</f>
        <v>7</v>
      </c>
      <c r="AB1774">
        <f>0</f>
        <v>0</v>
      </c>
      <c r="AD1774">
        <f>0</f>
        <v>0</v>
      </c>
      <c r="AE1774">
        <f>0</f>
        <v>0</v>
      </c>
      <c r="AH1774" t="s">
        <v>157</v>
      </c>
    </row>
    <row r="1775" spans="1:34" x14ac:dyDescent="0.25">
      <c r="A1775" t="s">
        <v>4537</v>
      </c>
      <c r="B1775" t="s">
        <v>268</v>
      </c>
      <c r="C1775" s="1">
        <v>45737</v>
      </c>
      <c r="D1775" t="s">
        <v>317</v>
      </c>
      <c r="E1775" t="s">
        <v>318</v>
      </c>
      <c r="F1775" t="s">
        <v>6849</v>
      </c>
      <c r="G1775" t="s">
        <v>6850</v>
      </c>
      <c r="H1775">
        <v>1742</v>
      </c>
      <c r="I1775" t="s">
        <v>6851</v>
      </c>
      <c r="J1775">
        <v>44</v>
      </c>
      <c r="K1775" t="s">
        <v>5254</v>
      </c>
      <c r="M1775" t="s">
        <v>6852</v>
      </c>
      <c r="N1775" t="s">
        <v>6853</v>
      </c>
      <c r="Q1775" t="s">
        <v>6340</v>
      </c>
      <c r="R1775">
        <f>1</f>
        <v>1</v>
      </c>
      <c r="S1775">
        <f>8</f>
        <v>8</v>
      </c>
      <c r="T1775">
        <f>7.6</f>
        <v>7.6</v>
      </c>
      <c r="U1775">
        <f>368</f>
        <v>368</v>
      </c>
      <c r="X1775">
        <f>0</f>
        <v>0</v>
      </c>
      <c r="Y1775" t="s">
        <v>157</v>
      </c>
      <c r="Z1775">
        <f>0</f>
        <v>0</v>
      </c>
      <c r="AA1775" t="s">
        <v>705</v>
      </c>
      <c r="AB1775" t="s">
        <v>705</v>
      </c>
      <c r="AD1775">
        <f>0</f>
        <v>0</v>
      </c>
      <c r="AE1775">
        <f>0</f>
        <v>0</v>
      </c>
      <c r="AH1775" t="s">
        <v>157</v>
      </c>
    </row>
    <row r="1776" spans="1:34" x14ac:dyDescent="0.25">
      <c r="A1776" t="s">
        <v>4538</v>
      </c>
      <c r="B1776" t="s">
        <v>268</v>
      </c>
      <c r="C1776" s="1">
        <v>45817</v>
      </c>
      <c r="D1776" t="s">
        <v>175</v>
      </c>
      <c r="E1776" t="s">
        <v>176</v>
      </c>
      <c r="F1776" t="s">
        <v>4539</v>
      </c>
      <c r="G1776" t="s">
        <v>6262</v>
      </c>
      <c r="H1776">
        <v>1746</v>
      </c>
      <c r="I1776" t="s">
        <v>6263</v>
      </c>
      <c r="J1776">
        <v>1</v>
      </c>
      <c r="K1776" t="s">
        <v>5257</v>
      </c>
      <c r="M1776" t="s">
        <v>6263</v>
      </c>
      <c r="N1776" t="s">
        <v>4540</v>
      </c>
      <c r="Q1776" t="s">
        <v>6516</v>
      </c>
      <c r="R1776">
        <f>1</f>
        <v>1</v>
      </c>
      <c r="S1776">
        <f>19.1</f>
        <v>19.100000000000001</v>
      </c>
      <c r="T1776">
        <f>7.1</f>
        <v>7.1</v>
      </c>
      <c r="U1776">
        <f>88</f>
        <v>88</v>
      </c>
      <c r="X1776">
        <f>0</f>
        <v>0</v>
      </c>
      <c r="Y1776" t="s">
        <v>157</v>
      </c>
      <c r="Z1776">
        <f>1</f>
        <v>1</v>
      </c>
      <c r="AA1776" t="s">
        <v>158</v>
      </c>
      <c r="AB1776">
        <f>23</f>
        <v>23</v>
      </c>
      <c r="AD1776">
        <f>0</f>
        <v>0</v>
      </c>
      <c r="AE1776">
        <f>29</f>
        <v>29</v>
      </c>
      <c r="AH1776" t="s">
        <v>157</v>
      </c>
    </row>
    <row r="1777" spans="1:34" x14ac:dyDescent="0.25">
      <c r="A1777" t="s">
        <v>4541</v>
      </c>
      <c r="B1777" t="s">
        <v>148</v>
      </c>
      <c r="C1777" s="1">
        <v>45831</v>
      </c>
      <c r="D1777" t="s">
        <v>317</v>
      </c>
      <c r="E1777" t="s">
        <v>318</v>
      </c>
      <c r="F1777" t="s">
        <v>4542</v>
      </c>
      <c r="G1777" t="s">
        <v>4543</v>
      </c>
      <c r="H1777">
        <v>1748</v>
      </c>
      <c r="I1777" t="s">
        <v>4544</v>
      </c>
      <c r="J1777">
        <v>1</v>
      </c>
      <c r="K1777" t="s">
        <v>5254</v>
      </c>
      <c r="M1777" t="s">
        <v>4544</v>
      </c>
      <c r="N1777" t="s">
        <v>5246</v>
      </c>
      <c r="Q1777" t="s">
        <v>845</v>
      </c>
      <c r="R1777">
        <f>1</f>
        <v>1</v>
      </c>
      <c r="S1777">
        <f>7.9</f>
        <v>7.9</v>
      </c>
      <c r="T1777">
        <f>7.9</f>
        <v>7.9</v>
      </c>
      <c r="U1777">
        <f>158</f>
        <v>158</v>
      </c>
      <c r="X1777">
        <f>0</f>
        <v>0</v>
      </c>
      <c r="Y1777">
        <f>0.16</f>
        <v>0.16</v>
      </c>
      <c r="Z1777">
        <f>0</f>
        <v>0</v>
      </c>
      <c r="AA1777">
        <f>0</f>
        <v>0</v>
      </c>
      <c r="AB1777">
        <f>0</f>
        <v>0</v>
      </c>
      <c r="AD1777">
        <f>0</f>
        <v>0</v>
      </c>
      <c r="AE1777">
        <f>0</f>
        <v>0</v>
      </c>
      <c r="AH1777" t="s">
        <v>157</v>
      </c>
    </row>
    <row r="1778" spans="1:34" x14ac:dyDescent="0.25">
      <c r="A1778" t="s">
        <v>4545</v>
      </c>
      <c r="B1778" t="s">
        <v>268</v>
      </c>
      <c r="C1778" s="1">
        <v>45814</v>
      </c>
      <c r="D1778" t="s">
        <v>311</v>
      </c>
      <c r="E1778" t="s">
        <v>312</v>
      </c>
      <c r="F1778" t="s">
        <v>6854</v>
      </c>
      <c r="G1778" t="s">
        <v>4546</v>
      </c>
      <c r="H1778">
        <v>1751</v>
      </c>
      <c r="I1778" t="s">
        <v>4547</v>
      </c>
      <c r="J1778">
        <v>1</v>
      </c>
      <c r="K1778" t="s">
        <v>5257</v>
      </c>
      <c r="M1778" t="s">
        <v>4547</v>
      </c>
      <c r="N1778" t="s">
        <v>4548</v>
      </c>
      <c r="R1778">
        <f>1</f>
        <v>1</v>
      </c>
      <c r="S1778">
        <f>10.6</f>
        <v>10.6</v>
      </c>
      <c r="T1778">
        <f>7.5</f>
        <v>7.5</v>
      </c>
      <c r="U1778">
        <f>55</f>
        <v>55</v>
      </c>
      <c r="X1778">
        <f>0</f>
        <v>0</v>
      </c>
      <c r="Y1778" t="s">
        <v>157</v>
      </c>
      <c r="Z1778">
        <f>0</f>
        <v>0</v>
      </c>
      <c r="AA1778">
        <f>44</f>
        <v>44</v>
      </c>
      <c r="AB1778" t="s">
        <v>158</v>
      </c>
      <c r="AD1778">
        <f>0</f>
        <v>0</v>
      </c>
      <c r="AE1778">
        <f>18</f>
        <v>18</v>
      </c>
      <c r="AH1778" t="s">
        <v>157</v>
      </c>
    </row>
    <row r="1779" spans="1:34" x14ac:dyDescent="0.25">
      <c r="A1779" t="s">
        <v>4549</v>
      </c>
      <c r="B1779" t="s">
        <v>148</v>
      </c>
      <c r="C1779" s="1">
        <v>45821</v>
      </c>
      <c r="D1779" t="s">
        <v>317</v>
      </c>
      <c r="E1779" t="s">
        <v>318</v>
      </c>
      <c r="F1779" t="s">
        <v>4550</v>
      </c>
      <c r="G1779" t="s">
        <v>6264</v>
      </c>
      <c r="H1779">
        <v>1752</v>
      </c>
      <c r="I1779" t="s">
        <v>6265</v>
      </c>
      <c r="J1779">
        <v>1</v>
      </c>
      <c r="K1779" t="s">
        <v>5254</v>
      </c>
      <c r="M1779" t="s">
        <v>6265</v>
      </c>
      <c r="N1779" t="s">
        <v>5082</v>
      </c>
      <c r="Q1779" t="s">
        <v>845</v>
      </c>
      <c r="R1779">
        <f>1</f>
        <v>1</v>
      </c>
      <c r="S1779">
        <f>10.4</f>
        <v>10.4</v>
      </c>
      <c r="T1779">
        <f>7.8</f>
        <v>7.8</v>
      </c>
      <c r="U1779">
        <f>252</f>
        <v>252</v>
      </c>
      <c r="X1779">
        <f>0</f>
        <v>0</v>
      </c>
      <c r="Y1779" t="s">
        <v>157</v>
      </c>
      <c r="Z1779">
        <f>0</f>
        <v>0</v>
      </c>
      <c r="AA1779">
        <f>7</f>
        <v>7</v>
      </c>
      <c r="AB1779">
        <f>1</f>
        <v>1</v>
      </c>
      <c r="AD1779">
        <f>0</f>
        <v>0</v>
      </c>
      <c r="AE1779">
        <f>0</f>
        <v>0</v>
      </c>
      <c r="AH1779" t="s">
        <v>157</v>
      </c>
    </row>
    <row r="1780" spans="1:34" x14ac:dyDescent="0.25">
      <c r="A1780" t="s">
        <v>4551</v>
      </c>
      <c r="B1780" t="s">
        <v>268</v>
      </c>
      <c r="C1780" s="1">
        <v>45887</v>
      </c>
      <c r="D1780" t="s">
        <v>317</v>
      </c>
      <c r="E1780" t="s">
        <v>318</v>
      </c>
      <c r="F1780" t="s">
        <v>4550</v>
      </c>
      <c r="G1780" t="s">
        <v>6264</v>
      </c>
      <c r="H1780">
        <v>1752</v>
      </c>
      <c r="I1780" t="s">
        <v>6265</v>
      </c>
      <c r="J1780">
        <v>1</v>
      </c>
      <c r="K1780" t="s">
        <v>5254</v>
      </c>
      <c r="M1780" t="s">
        <v>6265</v>
      </c>
      <c r="N1780" t="s">
        <v>5082</v>
      </c>
      <c r="Q1780" t="s">
        <v>845</v>
      </c>
      <c r="R1780">
        <f>1</f>
        <v>1</v>
      </c>
      <c r="S1780">
        <f>14.7</f>
        <v>14.7</v>
      </c>
      <c r="T1780">
        <f>7.8</f>
        <v>7.8</v>
      </c>
      <c r="U1780">
        <f>255</f>
        <v>255</v>
      </c>
      <c r="X1780">
        <f>0</f>
        <v>0</v>
      </c>
      <c r="Y1780" t="s">
        <v>157</v>
      </c>
      <c r="Z1780">
        <f>5</f>
        <v>5</v>
      </c>
      <c r="AA1780">
        <f>13</f>
        <v>13</v>
      </c>
      <c r="AB1780">
        <f>6</f>
        <v>6</v>
      </c>
      <c r="AD1780">
        <f>0</f>
        <v>0</v>
      </c>
      <c r="AE1780">
        <f>6</f>
        <v>6</v>
      </c>
      <c r="AH1780" t="s">
        <v>157</v>
      </c>
    </row>
    <row r="1781" spans="1:34" x14ac:dyDescent="0.25">
      <c r="A1781" t="s">
        <v>4552</v>
      </c>
      <c r="B1781" t="s">
        <v>148</v>
      </c>
      <c r="C1781" s="1">
        <v>45847</v>
      </c>
      <c r="D1781" t="s">
        <v>317</v>
      </c>
      <c r="E1781" t="s">
        <v>318</v>
      </c>
      <c r="F1781" t="s">
        <v>6855</v>
      </c>
      <c r="G1781" t="s">
        <v>6856</v>
      </c>
      <c r="H1781">
        <v>1754</v>
      </c>
      <c r="I1781" t="s">
        <v>6857</v>
      </c>
      <c r="J1781">
        <v>1</v>
      </c>
      <c r="K1781" t="s">
        <v>4778</v>
      </c>
      <c r="M1781" t="s">
        <v>6858</v>
      </c>
      <c r="N1781" t="s">
        <v>4553</v>
      </c>
      <c r="Q1781" t="s">
        <v>6339</v>
      </c>
      <c r="R1781">
        <f>1</f>
        <v>1</v>
      </c>
      <c r="S1781">
        <f>13.3</f>
        <v>13.3</v>
      </c>
      <c r="T1781">
        <f>7.9</f>
        <v>7.9</v>
      </c>
      <c r="U1781">
        <f>102</f>
        <v>102</v>
      </c>
      <c r="X1781">
        <f>0</f>
        <v>0</v>
      </c>
      <c r="Y1781">
        <f>0.58</f>
        <v>0.57999999999999996</v>
      </c>
      <c r="Z1781">
        <f>0</f>
        <v>0</v>
      </c>
      <c r="AA1781">
        <f>0</f>
        <v>0</v>
      </c>
      <c r="AB1781">
        <f>0</f>
        <v>0</v>
      </c>
      <c r="AD1781">
        <f>0</f>
        <v>0</v>
      </c>
      <c r="AE1781">
        <f>0</f>
        <v>0</v>
      </c>
      <c r="AH1781" t="s">
        <v>157</v>
      </c>
    </row>
    <row r="1782" spans="1:34" x14ac:dyDescent="0.25">
      <c r="A1782" t="s">
        <v>4554</v>
      </c>
      <c r="B1782" t="s">
        <v>148</v>
      </c>
      <c r="C1782" s="1">
        <v>45894</v>
      </c>
      <c r="D1782" t="s">
        <v>317</v>
      </c>
      <c r="E1782" t="s">
        <v>318</v>
      </c>
      <c r="F1782" t="s">
        <v>6855</v>
      </c>
      <c r="G1782" t="s">
        <v>4555</v>
      </c>
      <c r="H1782">
        <v>1755</v>
      </c>
      <c r="I1782" t="s">
        <v>4556</v>
      </c>
      <c r="J1782">
        <v>2</v>
      </c>
      <c r="K1782" t="s">
        <v>5254</v>
      </c>
      <c r="M1782" t="s">
        <v>6859</v>
      </c>
      <c r="N1782" t="s">
        <v>4557</v>
      </c>
      <c r="R1782">
        <f>1</f>
        <v>1</v>
      </c>
      <c r="S1782">
        <f>10.7</f>
        <v>10.7</v>
      </c>
      <c r="T1782">
        <f>8</f>
        <v>8</v>
      </c>
      <c r="U1782">
        <f>179</f>
        <v>179</v>
      </c>
      <c r="X1782">
        <f>0</f>
        <v>0</v>
      </c>
      <c r="Y1782" t="s">
        <v>157</v>
      </c>
      <c r="Z1782">
        <f>0</f>
        <v>0</v>
      </c>
      <c r="AA1782">
        <f>0</f>
        <v>0</v>
      </c>
      <c r="AB1782">
        <f>0</f>
        <v>0</v>
      </c>
      <c r="AD1782">
        <f>0</f>
        <v>0</v>
      </c>
      <c r="AE1782">
        <f>0</f>
        <v>0</v>
      </c>
      <c r="AH1782" t="s">
        <v>157</v>
      </c>
    </row>
    <row r="1783" spans="1:34" x14ac:dyDescent="0.25">
      <c r="A1783" t="s">
        <v>4558</v>
      </c>
      <c r="B1783" t="s">
        <v>148</v>
      </c>
      <c r="C1783" s="1">
        <v>45799</v>
      </c>
      <c r="D1783" t="s">
        <v>317</v>
      </c>
      <c r="E1783" t="s">
        <v>318</v>
      </c>
      <c r="F1783" t="s">
        <v>6855</v>
      </c>
      <c r="G1783" t="s">
        <v>4555</v>
      </c>
      <c r="H1783">
        <v>1755</v>
      </c>
      <c r="I1783" t="s">
        <v>4556</v>
      </c>
      <c r="J1783">
        <v>2</v>
      </c>
      <c r="K1783" t="s">
        <v>5254</v>
      </c>
      <c r="M1783" t="s">
        <v>6859</v>
      </c>
      <c r="N1783" t="s">
        <v>4557</v>
      </c>
      <c r="R1783">
        <f>1</f>
        <v>1</v>
      </c>
      <c r="S1783">
        <f>9.7</f>
        <v>9.6999999999999993</v>
      </c>
      <c r="T1783">
        <f>7.9</f>
        <v>7.9</v>
      </c>
      <c r="U1783">
        <f>167</f>
        <v>167</v>
      </c>
      <c r="X1783">
        <f>0</f>
        <v>0</v>
      </c>
      <c r="Y1783" t="s">
        <v>157</v>
      </c>
      <c r="Z1783">
        <f>0</f>
        <v>0</v>
      </c>
      <c r="AA1783">
        <f>0</f>
        <v>0</v>
      </c>
      <c r="AB1783">
        <f>0</f>
        <v>0</v>
      </c>
      <c r="AD1783">
        <f>0</f>
        <v>0</v>
      </c>
      <c r="AE1783">
        <f>0</f>
        <v>0</v>
      </c>
      <c r="AH1783" t="s">
        <v>157</v>
      </c>
    </row>
    <row r="1784" spans="1:34" x14ac:dyDescent="0.25">
      <c r="A1784" t="s">
        <v>4559</v>
      </c>
      <c r="B1784" t="s">
        <v>268</v>
      </c>
      <c r="C1784" s="1">
        <v>45789</v>
      </c>
      <c r="D1784" t="s">
        <v>618</v>
      </c>
      <c r="E1784" t="s">
        <v>619</v>
      </c>
      <c r="F1784" t="s">
        <v>4560</v>
      </c>
      <c r="G1784" t="s">
        <v>4561</v>
      </c>
      <c r="H1784">
        <v>1759</v>
      </c>
      <c r="I1784" t="s">
        <v>6860</v>
      </c>
      <c r="J1784">
        <v>8</v>
      </c>
      <c r="K1784" t="s">
        <v>5254</v>
      </c>
      <c r="M1784" t="s">
        <v>6860</v>
      </c>
      <c r="N1784" t="s">
        <v>6266</v>
      </c>
      <c r="R1784">
        <f>1</f>
        <v>1</v>
      </c>
      <c r="S1784">
        <f>12.1</f>
        <v>12.1</v>
      </c>
      <c r="T1784">
        <f>6.6</f>
        <v>6.6</v>
      </c>
      <c r="U1784">
        <f>29</f>
        <v>29</v>
      </c>
      <c r="X1784">
        <f>0</f>
        <v>0</v>
      </c>
      <c r="Y1784">
        <f>0.1</f>
        <v>0.1</v>
      </c>
      <c r="Z1784">
        <f>0</f>
        <v>0</v>
      </c>
      <c r="AA1784">
        <f>26</f>
        <v>26</v>
      </c>
      <c r="AB1784">
        <f>10</f>
        <v>10</v>
      </c>
      <c r="AD1784">
        <f>0</f>
        <v>0</v>
      </c>
      <c r="AE1784">
        <f>7</f>
        <v>7</v>
      </c>
      <c r="AH1784" t="s">
        <v>157</v>
      </c>
    </row>
    <row r="1785" spans="1:34" x14ac:dyDescent="0.25">
      <c r="A1785" t="s">
        <v>4562</v>
      </c>
      <c r="B1785" t="s">
        <v>268</v>
      </c>
      <c r="C1785" s="1">
        <v>45881</v>
      </c>
      <c r="D1785" t="s">
        <v>618</v>
      </c>
      <c r="E1785" t="s">
        <v>619</v>
      </c>
      <c r="F1785" t="s">
        <v>6267</v>
      </c>
      <c r="G1785" t="s">
        <v>6861</v>
      </c>
      <c r="H1785">
        <v>1760</v>
      </c>
      <c r="I1785" t="s">
        <v>6862</v>
      </c>
      <c r="J1785">
        <v>1</v>
      </c>
      <c r="K1785" t="s">
        <v>5254</v>
      </c>
      <c r="M1785" t="s">
        <v>6862</v>
      </c>
      <c r="N1785" t="s">
        <v>6268</v>
      </c>
      <c r="Z1785">
        <f>0</f>
        <v>0</v>
      </c>
      <c r="AA1785">
        <f>42</f>
        <v>42</v>
      </c>
      <c r="AB1785">
        <f>12</f>
        <v>12</v>
      </c>
      <c r="AD1785">
        <f>6</f>
        <v>6</v>
      </c>
      <c r="AE1785" t="s">
        <v>1845</v>
      </c>
      <c r="AH1785" t="s">
        <v>157</v>
      </c>
    </row>
    <row r="1786" spans="1:34" x14ac:dyDescent="0.25">
      <c r="A1786" t="s">
        <v>4563</v>
      </c>
      <c r="B1786" t="s">
        <v>148</v>
      </c>
      <c r="C1786" s="1">
        <v>45852</v>
      </c>
      <c r="D1786" t="s">
        <v>317</v>
      </c>
      <c r="E1786" t="s">
        <v>318</v>
      </c>
      <c r="F1786" t="s">
        <v>847</v>
      </c>
      <c r="G1786" t="s">
        <v>4564</v>
      </c>
      <c r="H1786">
        <v>1762</v>
      </c>
      <c r="I1786" t="s">
        <v>4565</v>
      </c>
      <c r="J1786">
        <v>20</v>
      </c>
      <c r="K1786" t="s">
        <v>5254</v>
      </c>
      <c r="M1786" t="s">
        <v>4566</v>
      </c>
      <c r="N1786" t="s">
        <v>4567</v>
      </c>
      <c r="Q1786" t="s">
        <v>6401</v>
      </c>
      <c r="R1786">
        <f>1</f>
        <v>1</v>
      </c>
      <c r="S1786">
        <f>16.3</f>
        <v>16.3</v>
      </c>
      <c r="T1786">
        <f>7.1</f>
        <v>7.1</v>
      </c>
      <c r="U1786">
        <f>62</f>
        <v>62</v>
      </c>
      <c r="X1786">
        <f>0</f>
        <v>0</v>
      </c>
      <c r="Y1786">
        <f>3.63</f>
        <v>3.63</v>
      </c>
      <c r="Z1786">
        <f>0</f>
        <v>0</v>
      </c>
      <c r="AA1786">
        <f>6</f>
        <v>6</v>
      </c>
      <c r="AB1786">
        <f>0</f>
        <v>0</v>
      </c>
      <c r="AD1786">
        <f>0</f>
        <v>0</v>
      </c>
      <c r="AE1786">
        <f>0</f>
        <v>0</v>
      </c>
      <c r="AH1786" t="s">
        <v>157</v>
      </c>
    </row>
    <row r="1787" spans="1:34" x14ac:dyDescent="0.25">
      <c r="A1787" t="s">
        <v>4568</v>
      </c>
      <c r="B1787" t="s">
        <v>148</v>
      </c>
      <c r="C1787" s="1">
        <v>45859</v>
      </c>
      <c r="D1787" t="s">
        <v>317</v>
      </c>
      <c r="E1787" t="s">
        <v>318</v>
      </c>
      <c r="F1787" t="s">
        <v>4569</v>
      </c>
      <c r="G1787" t="s">
        <v>4570</v>
      </c>
      <c r="H1787">
        <v>1763</v>
      </c>
      <c r="I1787" t="s">
        <v>4571</v>
      </c>
      <c r="J1787">
        <v>1</v>
      </c>
      <c r="K1787" t="s">
        <v>5254</v>
      </c>
      <c r="M1787" t="s">
        <v>4572</v>
      </c>
      <c r="N1787" t="s">
        <v>5247</v>
      </c>
      <c r="Q1787" t="s">
        <v>6301</v>
      </c>
      <c r="R1787">
        <f>1</f>
        <v>1</v>
      </c>
      <c r="S1787">
        <f>12.3</f>
        <v>12.3</v>
      </c>
      <c r="T1787">
        <f>7.8</f>
        <v>7.8</v>
      </c>
      <c r="U1787">
        <f>181</f>
        <v>181</v>
      </c>
      <c r="X1787">
        <f>0</f>
        <v>0</v>
      </c>
      <c r="Y1787" t="s">
        <v>157</v>
      </c>
      <c r="Z1787">
        <f>0</f>
        <v>0</v>
      </c>
      <c r="AA1787">
        <f>0</f>
        <v>0</v>
      </c>
      <c r="AB1787">
        <f>0</f>
        <v>0</v>
      </c>
      <c r="AD1787">
        <f>0</f>
        <v>0</v>
      </c>
      <c r="AE1787">
        <f>0</f>
        <v>0</v>
      </c>
      <c r="AH1787" t="s">
        <v>157</v>
      </c>
    </row>
    <row r="1788" spans="1:34" x14ac:dyDescent="0.25">
      <c r="A1788" t="s">
        <v>4573</v>
      </c>
      <c r="B1788" t="s">
        <v>268</v>
      </c>
      <c r="C1788" s="1">
        <v>45867</v>
      </c>
      <c r="D1788" t="s">
        <v>242</v>
      </c>
      <c r="E1788" t="s">
        <v>243</v>
      </c>
      <c r="F1788" t="s">
        <v>6269</v>
      </c>
      <c r="G1788" t="s">
        <v>6270</v>
      </c>
      <c r="H1788">
        <v>1766</v>
      </c>
      <c r="I1788" t="s">
        <v>6271</v>
      </c>
      <c r="J1788">
        <v>1</v>
      </c>
      <c r="K1788" t="s">
        <v>5254</v>
      </c>
      <c r="M1788" t="s">
        <v>6271</v>
      </c>
      <c r="N1788" t="s">
        <v>4933</v>
      </c>
      <c r="R1788">
        <f>1</f>
        <v>1</v>
      </c>
      <c r="S1788">
        <f>17.3</f>
        <v>17.3</v>
      </c>
      <c r="T1788">
        <f>7.8</f>
        <v>7.8</v>
      </c>
      <c r="U1788">
        <f>458</f>
        <v>458</v>
      </c>
      <c r="X1788">
        <f>0</f>
        <v>0</v>
      </c>
      <c r="Y1788">
        <f>0.33</f>
        <v>0.33</v>
      </c>
      <c r="Z1788" t="s">
        <v>4574</v>
      </c>
      <c r="AA1788" t="s">
        <v>705</v>
      </c>
      <c r="AB1788">
        <f>207</f>
        <v>207</v>
      </c>
      <c r="AD1788" t="s">
        <v>1845</v>
      </c>
      <c r="AE1788" t="s">
        <v>1845</v>
      </c>
      <c r="AH1788" t="s">
        <v>157</v>
      </c>
    </row>
    <row r="1789" spans="1:34" x14ac:dyDescent="0.25">
      <c r="A1789" t="s">
        <v>4575</v>
      </c>
      <c r="B1789" t="s">
        <v>148</v>
      </c>
      <c r="C1789" s="1">
        <v>45790</v>
      </c>
      <c r="D1789" t="s">
        <v>317</v>
      </c>
      <c r="E1789" t="s">
        <v>318</v>
      </c>
      <c r="F1789" t="s">
        <v>4576</v>
      </c>
      <c r="G1789" t="s">
        <v>4576</v>
      </c>
      <c r="H1789">
        <v>1767</v>
      </c>
      <c r="I1789" t="s">
        <v>4576</v>
      </c>
      <c r="J1789">
        <v>40</v>
      </c>
      <c r="K1789" t="s">
        <v>5254</v>
      </c>
      <c r="M1789" t="s">
        <v>4577</v>
      </c>
      <c r="N1789" t="s">
        <v>4578</v>
      </c>
      <c r="Q1789" t="s">
        <v>6301</v>
      </c>
      <c r="R1789">
        <f>1</f>
        <v>1</v>
      </c>
      <c r="S1789">
        <f>12.4</f>
        <v>12.4</v>
      </c>
      <c r="T1789">
        <f>6.5</f>
        <v>6.5</v>
      </c>
      <c r="U1789">
        <f>36</f>
        <v>36</v>
      </c>
      <c r="X1789">
        <f>0</f>
        <v>0</v>
      </c>
      <c r="Y1789">
        <f>0.34</f>
        <v>0.34</v>
      </c>
      <c r="Z1789">
        <f>0</f>
        <v>0</v>
      </c>
      <c r="AA1789">
        <f>31</f>
        <v>31</v>
      </c>
      <c r="AB1789">
        <f>4</f>
        <v>4</v>
      </c>
      <c r="AD1789">
        <f>0</f>
        <v>0</v>
      </c>
      <c r="AE1789">
        <f>0</f>
        <v>0</v>
      </c>
      <c r="AH1789" t="s">
        <v>157</v>
      </c>
    </row>
    <row r="1790" spans="1:34" x14ac:dyDescent="0.25">
      <c r="A1790" t="s">
        <v>4579</v>
      </c>
      <c r="B1790" t="s">
        <v>268</v>
      </c>
      <c r="C1790" s="1">
        <v>45846</v>
      </c>
      <c r="D1790" t="s">
        <v>618</v>
      </c>
      <c r="E1790" t="s">
        <v>619</v>
      </c>
      <c r="F1790" t="s">
        <v>4580</v>
      </c>
      <c r="G1790" t="s">
        <v>4581</v>
      </c>
      <c r="H1790">
        <v>1768</v>
      </c>
      <c r="I1790" t="s">
        <v>4580</v>
      </c>
      <c r="J1790">
        <v>4</v>
      </c>
      <c r="K1790" t="s">
        <v>5254</v>
      </c>
      <c r="M1790" t="s">
        <v>4580</v>
      </c>
      <c r="N1790" t="s">
        <v>6863</v>
      </c>
      <c r="R1790">
        <f>1</f>
        <v>1</v>
      </c>
      <c r="S1790">
        <f>15.6</f>
        <v>15.6</v>
      </c>
      <c r="T1790">
        <f>7.8</f>
        <v>7.8</v>
      </c>
      <c r="U1790">
        <f>59</f>
        <v>59</v>
      </c>
      <c r="X1790">
        <f>0</f>
        <v>0</v>
      </c>
      <c r="Y1790">
        <f>0.1</f>
        <v>0.1</v>
      </c>
      <c r="Z1790">
        <f>23</f>
        <v>23</v>
      </c>
      <c r="AA1790" t="s">
        <v>705</v>
      </c>
      <c r="AB1790">
        <f>97</f>
        <v>97</v>
      </c>
      <c r="AD1790">
        <f>16</f>
        <v>16</v>
      </c>
      <c r="AE1790" t="s">
        <v>1845</v>
      </c>
      <c r="AH1790" t="s">
        <v>157</v>
      </c>
    </row>
    <row r="1791" spans="1:34" x14ac:dyDescent="0.25">
      <c r="A1791" t="s">
        <v>4582</v>
      </c>
      <c r="B1791" t="s">
        <v>268</v>
      </c>
      <c r="C1791" s="1">
        <v>45862</v>
      </c>
      <c r="D1791" t="s">
        <v>317</v>
      </c>
      <c r="E1791" t="s">
        <v>318</v>
      </c>
      <c r="F1791" t="s">
        <v>5248</v>
      </c>
      <c r="G1791" t="s">
        <v>6864</v>
      </c>
      <c r="H1791">
        <v>1771</v>
      </c>
      <c r="I1791" t="s">
        <v>6865</v>
      </c>
      <c r="J1791">
        <v>1</v>
      </c>
      <c r="K1791" t="s">
        <v>4778</v>
      </c>
      <c r="L1791" t="s">
        <v>5001</v>
      </c>
      <c r="M1791" t="s">
        <v>6866</v>
      </c>
      <c r="N1791" t="s">
        <v>5083</v>
      </c>
      <c r="Q1791" t="s">
        <v>6301</v>
      </c>
      <c r="R1791">
        <f>1</f>
        <v>1</v>
      </c>
      <c r="S1791">
        <f>16.7</f>
        <v>16.7</v>
      </c>
      <c r="T1791">
        <f>6.2</f>
        <v>6.2</v>
      </c>
      <c r="U1791">
        <f>17</f>
        <v>17</v>
      </c>
      <c r="X1791">
        <f>0</f>
        <v>0</v>
      </c>
      <c r="Y1791">
        <f>0.53</f>
        <v>0.53</v>
      </c>
      <c r="Z1791">
        <f>2</f>
        <v>2</v>
      </c>
      <c r="AA1791" t="s">
        <v>705</v>
      </c>
      <c r="AB1791" t="s">
        <v>705</v>
      </c>
      <c r="AD1791">
        <f>13</f>
        <v>13</v>
      </c>
      <c r="AE1791" t="s">
        <v>1845</v>
      </c>
      <c r="AH1791" t="s">
        <v>157</v>
      </c>
    </row>
    <row r="1792" spans="1:34" x14ac:dyDescent="0.25">
      <c r="A1792" t="s">
        <v>4583</v>
      </c>
      <c r="B1792" t="s">
        <v>148</v>
      </c>
      <c r="C1792" s="1">
        <v>45841</v>
      </c>
      <c r="D1792" t="s">
        <v>242</v>
      </c>
      <c r="E1792" t="s">
        <v>243</v>
      </c>
      <c r="F1792" t="s">
        <v>4584</v>
      </c>
      <c r="G1792" t="s">
        <v>4585</v>
      </c>
      <c r="H1792">
        <v>1773</v>
      </c>
      <c r="I1792" t="s">
        <v>4586</v>
      </c>
      <c r="J1792">
        <v>1</v>
      </c>
      <c r="K1792" t="s">
        <v>5254</v>
      </c>
      <c r="L1792" t="s">
        <v>4966</v>
      </c>
      <c r="M1792" t="s">
        <v>4586</v>
      </c>
      <c r="N1792" t="s">
        <v>6867</v>
      </c>
      <c r="R1792">
        <f>1</f>
        <v>1</v>
      </c>
      <c r="S1792">
        <f>14.9</f>
        <v>14.9</v>
      </c>
      <c r="T1792">
        <f>8</f>
        <v>8</v>
      </c>
      <c r="U1792">
        <f>280</f>
        <v>280</v>
      </c>
      <c r="X1792">
        <f>0</f>
        <v>0</v>
      </c>
      <c r="Y1792">
        <f>0.26</f>
        <v>0.26</v>
      </c>
      <c r="Z1792">
        <f>0</f>
        <v>0</v>
      </c>
      <c r="AA1792" t="s">
        <v>158</v>
      </c>
      <c r="AB1792" t="s">
        <v>158</v>
      </c>
      <c r="AD1792">
        <f>0</f>
        <v>0</v>
      </c>
      <c r="AE1792">
        <f>0</f>
        <v>0</v>
      </c>
      <c r="AH1792" t="s">
        <v>157</v>
      </c>
    </row>
    <row r="1793" spans="1:44" x14ac:dyDescent="0.25">
      <c r="A1793" t="s">
        <v>4587</v>
      </c>
      <c r="B1793" t="s">
        <v>148</v>
      </c>
      <c r="C1793" s="1">
        <v>45750</v>
      </c>
      <c r="D1793" t="s">
        <v>317</v>
      </c>
      <c r="E1793" t="s">
        <v>318</v>
      </c>
      <c r="F1793" t="s">
        <v>325</v>
      </c>
      <c r="G1793" t="s">
        <v>4588</v>
      </c>
      <c r="H1793">
        <v>1779</v>
      </c>
      <c r="I1793" t="s">
        <v>4589</v>
      </c>
      <c r="J1793">
        <v>20</v>
      </c>
      <c r="K1793" t="s">
        <v>5254</v>
      </c>
      <c r="M1793" t="s">
        <v>4590</v>
      </c>
      <c r="N1793" t="s">
        <v>4591</v>
      </c>
      <c r="Q1793" t="s">
        <v>329</v>
      </c>
      <c r="R1793">
        <f>1</f>
        <v>1</v>
      </c>
      <c r="S1793">
        <f>7.8</f>
        <v>7.8</v>
      </c>
      <c r="T1793">
        <f>7.6</f>
        <v>7.6</v>
      </c>
      <c r="U1793">
        <f>318</f>
        <v>318</v>
      </c>
      <c r="X1793">
        <f>0</f>
        <v>0</v>
      </c>
      <c r="Y1793" t="s">
        <v>157</v>
      </c>
      <c r="Z1793">
        <f>0</f>
        <v>0</v>
      </c>
      <c r="AA1793">
        <f>0</f>
        <v>0</v>
      </c>
      <c r="AB1793">
        <f>0</f>
        <v>0</v>
      </c>
      <c r="AD1793">
        <f>0</f>
        <v>0</v>
      </c>
      <c r="AE1793">
        <f>0</f>
        <v>0</v>
      </c>
      <c r="AH1793" t="s">
        <v>157</v>
      </c>
    </row>
    <row r="1794" spans="1:44" x14ac:dyDescent="0.25">
      <c r="A1794" t="s">
        <v>4592</v>
      </c>
      <c r="B1794" t="s">
        <v>148</v>
      </c>
      <c r="C1794" s="1">
        <v>45817</v>
      </c>
      <c r="D1794" t="s">
        <v>317</v>
      </c>
      <c r="E1794" t="s">
        <v>318</v>
      </c>
      <c r="F1794" t="s">
        <v>6272</v>
      </c>
      <c r="G1794" t="s">
        <v>4593</v>
      </c>
      <c r="H1794">
        <v>1780</v>
      </c>
      <c r="I1794" t="s">
        <v>4594</v>
      </c>
      <c r="J1794">
        <v>48</v>
      </c>
      <c r="K1794" t="s">
        <v>5254</v>
      </c>
      <c r="M1794" t="s">
        <v>5249</v>
      </c>
      <c r="N1794" t="s">
        <v>5250</v>
      </c>
      <c r="Q1794" t="s">
        <v>4970</v>
      </c>
      <c r="R1794">
        <f>1</f>
        <v>1</v>
      </c>
      <c r="S1794">
        <f>15</f>
        <v>15</v>
      </c>
      <c r="T1794">
        <f>6.5</f>
        <v>6.5</v>
      </c>
      <c r="U1794">
        <f>46</f>
        <v>46</v>
      </c>
      <c r="X1794">
        <f>0</f>
        <v>0</v>
      </c>
      <c r="Y1794">
        <f>0.22</f>
        <v>0.22</v>
      </c>
      <c r="Z1794">
        <f>0</f>
        <v>0</v>
      </c>
      <c r="AA1794">
        <f>18</f>
        <v>18</v>
      </c>
      <c r="AB1794">
        <f>0</f>
        <v>0</v>
      </c>
      <c r="AD1794">
        <f>0</f>
        <v>0</v>
      </c>
      <c r="AE1794">
        <f>0</f>
        <v>0</v>
      </c>
      <c r="AH1794" t="s">
        <v>157</v>
      </c>
    </row>
    <row r="1795" spans="1:44" x14ac:dyDescent="0.25">
      <c r="A1795" t="s">
        <v>4595</v>
      </c>
      <c r="B1795" t="s">
        <v>148</v>
      </c>
      <c r="C1795" s="1">
        <v>45856</v>
      </c>
      <c r="D1795" t="s">
        <v>317</v>
      </c>
      <c r="E1795" t="s">
        <v>318</v>
      </c>
      <c r="F1795" t="s">
        <v>4596</v>
      </c>
      <c r="G1795" t="s">
        <v>4597</v>
      </c>
      <c r="H1795">
        <v>1781</v>
      </c>
      <c r="I1795" t="s">
        <v>6273</v>
      </c>
      <c r="J1795">
        <v>76</v>
      </c>
      <c r="K1795" t="s">
        <v>5254</v>
      </c>
      <c r="M1795" t="s">
        <v>4598</v>
      </c>
      <c r="N1795" t="s">
        <v>6274</v>
      </c>
      <c r="Q1795" t="s">
        <v>1942</v>
      </c>
      <c r="R1795">
        <f>1</f>
        <v>1</v>
      </c>
      <c r="S1795">
        <f>19.4</f>
        <v>19.399999999999999</v>
      </c>
      <c r="T1795">
        <f>6.7</f>
        <v>6.7</v>
      </c>
      <c r="U1795">
        <f>34</f>
        <v>34</v>
      </c>
      <c r="X1795">
        <f>0</f>
        <v>0</v>
      </c>
      <c r="Y1795">
        <f>0.14</f>
        <v>0.14000000000000001</v>
      </c>
      <c r="Z1795">
        <f>0</f>
        <v>0</v>
      </c>
      <c r="AA1795">
        <f>1</f>
        <v>1</v>
      </c>
      <c r="AB1795">
        <f>1</f>
        <v>1</v>
      </c>
      <c r="AD1795">
        <f>0</f>
        <v>0</v>
      </c>
      <c r="AE1795">
        <f>0</f>
        <v>0</v>
      </c>
      <c r="AH1795" t="s">
        <v>157</v>
      </c>
    </row>
    <row r="1796" spans="1:44" x14ac:dyDescent="0.25">
      <c r="A1796" t="s">
        <v>4599</v>
      </c>
      <c r="B1796" t="s">
        <v>148</v>
      </c>
      <c r="C1796" s="1">
        <v>45841</v>
      </c>
      <c r="D1796" t="s">
        <v>269</v>
      </c>
      <c r="E1796" t="s">
        <v>270</v>
      </c>
      <c r="F1796" t="s">
        <v>6868</v>
      </c>
      <c r="G1796" t="s">
        <v>4600</v>
      </c>
      <c r="H1796">
        <v>1784</v>
      </c>
      <c r="I1796" t="s">
        <v>4601</v>
      </c>
      <c r="J1796">
        <v>1</v>
      </c>
      <c r="K1796" t="s">
        <v>4778</v>
      </c>
      <c r="M1796" t="s">
        <v>5251</v>
      </c>
      <c r="N1796" t="s">
        <v>4934</v>
      </c>
      <c r="R1796">
        <f>1</f>
        <v>1</v>
      </c>
      <c r="S1796">
        <f>15.9</f>
        <v>15.9</v>
      </c>
      <c r="T1796">
        <f>8.4</f>
        <v>8.4</v>
      </c>
      <c r="U1796">
        <f>52</f>
        <v>52</v>
      </c>
      <c r="X1796">
        <f>0</f>
        <v>0</v>
      </c>
      <c r="Y1796">
        <f>1.74</f>
        <v>1.74</v>
      </c>
      <c r="Z1796">
        <f>0</f>
        <v>0</v>
      </c>
      <c r="AA1796">
        <f>26</f>
        <v>26</v>
      </c>
      <c r="AB1796" t="s">
        <v>158</v>
      </c>
      <c r="AD1796">
        <f>0</f>
        <v>0</v>
      </c>
      <c r="AE1796">
        <f>0</f>
        <v>0</v>
      </c>
      <c r="AH1796" t="s">
        <v>166</v>
      </c>
    </row>
    <row r="1797" spans="1:44" x14ac:dyDescent="0.25">
      <c r="A1797" t="s">
        <v>4602</v>
      </c>
      <c r="B1797" t="s">
        <v>268</v>
      </c>
      <c r="C1797" s="1">
        <v>45828</v>
      </c>
      <c r="D1797" t="s">
        <v>317</v>
      </c>
      <c r="E1797" t="s">
        <v>318</v>
      </c>
      <c r="F1797" t="s">
        <v>4603</v>
      </c>
      <c r="G1797" t="s">
        <v>6869</v>
      </c>
      <c r="H1797">
        <v>1787</v>
      </c>
      <c r="I1797" t="s">
        <v>6870</v>
      </c>
      <c r="J1797">
        <v>1</v>
      </c>
      <c r="K1797" t="s">
        <v>4778</v>
      </c>
      <c r="L1797" t="s">
        <v>5001</v>
      </c>
      <c r="M1797" t="s">
        <v>6870</v>
      </c>
      <c r="N1797" t="s">
        <v>6871</v>
      </c>
      <c r="Q1797" t="s">
        <v>845</v>
      </c>
      <c r="R1797">
        <f>1</f>
        <v>1</v>
      </c>
      <c r="S1797">
        <f>13.2</f>
        <v>13.2</v>
      </c>
      <c r="T1797">
        <f>7.8</f>
        <v>7.8</v>
      </c>
      <c r="U1797">
        <f>203</f>
        <v>203</v>
      </c>
      <c r="X1797">
        <f>0</f>
        <v>0</v>
      </c>
      <c r="Y1797">
        <f>0.33</f>
        <v>0.33</v>
      </c>
      <c r="Z1797">
        <f>0</f>
        <v>0</v>
      </c>
      <c r="AA1797" t="s">
        <v>705</v>
      </c>
      <c r="AB1797">
        <f>74</f>
        <v>74</v>
      </c>
      <c r="AD1797">
        <f>0</f>
        <v>0</v>
      </c>
      <c r="AE1797">
        <f>0</f>
        <v>0</v>
      </c>
      <c r="AH1797" t="s">
        <v>157</v>
      </c>
    </row>
    <row r="1798" spans="1:44" x14ac:dyDescent="0.25">
      <c r="A1798" t="s">
        <v>4604</v>
      </c>
      <c r="B1798" t="s">
        <v>268</v>
      </c>
      <c r="C1798" s="1">
        <v>45832</v>
      </c>
      <c r="D1798" t="s">
        <v>317</v>
      </c>
      <c r="E1798" t="s">
        <v>318</v>
      </c>
      <c r="F1798" t="s">
        <v>6872</v>
      </c>
      <c r="G1798" t="s">
        <v>6873</v>
      </c>
      <c r="H1798">
        <v>1788</v>
      </c>
      <c r="I1798" t="s">
        <v>6872</v>
      </c>
      <c r="J1798">
        <v>4</v>
      </c>
      <c r="K1798" t="s">
        <v>5254</v>
      </c>
      <c r="M1798" t="s">
        <v>6872</v>
      </c>
      <c r="N1798" t="s">
        <v>6874</v>
      </c>
      <c r="Q1798" t="s">
        <v>6517</v>
      </c>
      <c r="R1798">
        <f>1</f>
        <v>1</v>
      </c>
      <c r="S1798">
        <f>16.3</f>
        <v>16.3</v>
      </c>
      <c r="T1798">
        <f>7.1</f>
        <v>7.1</v>
      </c>
      <c r="U1798">
        <f>108</f>
        <v>108</v>
      </c>
      <c r="X1798">
        <f>0</f>
        <v>0</v>
      </c>
      <c r="Y1798" t="s">
        <v>157</v>
      </c>
      <c r="Z1798">
        <f>3</f>
        <v>3</v>
      </c>
      <c r="AA1798" t="s">
        <v>705</v>
      </c>
      <c r="AB1798">
        <f>200</f>
        <v>200</v>
      </c>
      <c r="AD1798">
        <f>37</f>
        <v>37</v>
      </c>
      <c r="AE1798" t="s">
        <v>1845</v>
      </c>
      <c r="AH1798" t="s">
        <v>157</v>
      </c>
    </row>
    <row r="1799" spans="1:44" x14ac:dyDescent="0.25">
      <c r="A1799" t="s">
        <v>4605</v>
      </c>
      <c r="B1799" t="s">
        <v>148</v>
      </c>
      <c r="C1799" s="1">
        <v>45832</v>
      </c>
      <c r="D1799" t="s">
        <v>317</v>
      </c>
      <c r="E1799" t="s">
        <v>318</v>
      </c>
      <c r="F1799" t="s">
        <v>6872</v>
      </c>
      <c r="G1799" t="s">
        <v>6875</v>
      </c>
      <c r="H1799">
        <v>1789</v>
      </c>
      <c r="I1799" t="s">
        <v>6876</v>
      </c>
      <c r="J1799">
        <v>5</v>
      </c>
      <c r="K1799" t="s">
        <v>5254</v>
      </c>
      <c r="M1799" t="s">
        <v>6877</v>
      </c>
      <c r="N1799" t="s">
        <v>6878</v>
      </c>
      <c r="Q1799" t="s">
        <v>845</v>
      </c>
      <c r="R1799">
        <f>1</f>
        <v>1</v>
      </c>
      <c r="S1799">
        <f>15.1</f>
        <v>15.1</v>
      </c>
      <c r="T1799">
        <f>7.2</f>
        <v>7.2</v>
      </c>
      <c r="U1799">
        <f>79</f>
        <v>79</v>
      </c>
      <c r="X1799">
        <f>0</f>
        <v>0</v>
      </c>
      <c r="Y1799">
        <f>0.14</f>
        <v>0.14000000000000001</v>
      </c>
      <c r="Z1799">
        <f>0</f>
        <v>0</v>
      </c>
      <c r="AA1799">
        <f>5</f>
        <v>5</v>
      </c>
      <c r="AB1799">
        <f>2</f>
        <v>2</v>
      </c>
      <c r="AD1799">
        <f>0</f>
        <v>0</v>
      </c>
      <c r="AE1799">
        <f>0</f>
        <v>0</v>
      </c>
      <c r="AH1799" t="s">
        <v>157</v>
      </c>
    </row>
    <row r="1800" spans="1:44" x14ac:dyDescent="0.25">
      <c r="A1800" t="s">
        <v>4606</v>
      </c>
      <c r="B1800" t="s">
        <v>148</v>
      </c>
      <c r="C1800" s="1">
        <v>45889</v>
      </c>
      <c r="D1800" t="s">
        <v>317</v>
      </c>
      <c r="E1800" t="s">
        <v>318</v>
      </c>
      <c r="F1800" t="s">
        <v>6879</v>
      </c>
      <c r="G1800" t="s">
        <v>6275</v>
      </c>
      <c r="H1800">
        <v>1790</v>
      </c>
      <c r="I1800" t="s">
        <v>6276</v>
      </c>
      <c r="J1800">
        <v>1</v>
      </c>
      <c r="K1800" t="s">
        <v>4778</v>
      </c>
      <c r="L1800" t="s">
        <v>4607</v>
      </c>
      <c r="M1800" t="s">
        <v>6276</v>
      </c>
      <c r="N1800" t="s">
        <v>5084</v>
      </c>
      <c r="Q1800" t="s">
        <v>329</v>
      </c>
      <c r="R1800">
        <f>1</f>
        <v>1</v>
      </c>
      <c r="S1800">
        <f>15.7</f>
        <v>15.7</v>
      </c>
      <c r="T1800">
        <f>7.4</f>
        <v>7.4</v>
      </c>
      <c r="U1800">
        <f>33</f>
        <v>33</v>
      </c>
      <c r="X1800">
        <f>0</f>
        <v>0</v>
      </c>
      <c r="Y1800" t="s">
        <v>157</v>
      </c>
      <c r="Z1800">
        <f>0</f>
        <v>0</v>
      </c>
      <c r="AA1800">
        <f>3</f>
        <v>3</v>
      </c>
      <c r="AB1800">
        <f>0</f>
        <v>0</v>
      </c>
      <c r="AD1800">
        <f>0</f>
        <v>0</v>
      </c>
      <c r="AE1800">
        <f>0</f>
        <v>0</v>
      </c>
      <c r="AH1800" t="s">
        <v>157</v>
      </c>
    </row>
    <row r="1801" spans="1:44" x14ac:dyDescent="0.25">
      <c r="A1801" t="s">
        <v>4608</v>
      </c>
      <c r="B1801" t="s">
        <v>148</v>
      </c>
      <c r="C1801" s="1">
        <v>45842</v>
      </c>
      <c r="D1801" t="s">
        <v>317</v>
      </c>
      <c r="E1801" t="s">
        <v>318</v>
      </c>
      <c r="F1801" t="s">
        <v>6879</v>
      </c>
      <c r="G1801" t="s">
        <v>6275</v>
      </c>
      <c r="H1801">
        <v>1790</v>
      </c>
      <c r="I1801" t="s">
        <v>6276</v>
      </c>
      <c r="J1801">
        <v>1</v>
      </c>
      <c r="K1801" t="s">
        <v>4778</v>
      </c>
      <c r="L1801" t="s">
        <v>4607</v>
      </c>
      <c r="M1801" t="s">
        <v>6276</v>
      </c>
      <c r="N1801" t="s">
        <v>5084</v>
      </c>
      <c r="Q1801" t="s">
        <v>347</v>
      </c>
      <c r="R1801">
        <f>1</f>
        <v>1</v>
      </c>
      <c r="S1801">
        <f>15.6</f>
        <v>15.6</v>
      </c>
      <c r="T1801">
        <f>7.5</f>
        <v>7.5</v>
      </c>
      <c r="U1801">
        <f>33</f>
        <v>33</v>
      </c>
      <c r="X1801">
        <f>0</f>
        <v>0</v>
      </c>
      <c r="Y1801" t="s">
        <v>157</v>
      </c>
      <c r="Z1801">
        <f>0</f>
        <v>0</v>
      </c>
      <c r="AA1801">
        <f>7</f>
        <v>7</v>
      </c>
      <c r="AB1801">
        <f>10</f>
        <v>10</v>
      </c>
      <c r="AD1801">
        <f>0</f>
        <v>0</v>
      </c>
      <c r="AE1801">
        <f>0</f>
        <v>0</v>
      </c>
      <c r="AH1801" t="s">
        <v>157</v>
      </c>
    </row>
    <row r="1802" spans="1:44" x14ac:dyDescent="0.25">
      <c r="A1802" t="s">
        <v>4609</v>
      </c>
      <c r="B1802" t="s">
        <v>148</v>
      </c>
      <c r="C1802" s="1">
        <v>45828</v>
      </c>
      <c r="D1802" t="s">
        <v>317</v>
      </c>
      <c r="E1802" t="s">
        <v>318</v>
      </c>
      <c r="F1802" t="s">
        <v>4610</v>
      </c>
      <c r="G1802" t="s">
        <v>4611</v>
      </c>
      <c r="H1802">
        <v>1791</v>
      </c>
      <c r="I1802" t="s">
        <v>4612</v>
      </c>
      <c r="J1802">
        <v>45</v>
      </c>
      <c r="K1802" t="s">
        <v>5254</v>
      </c>
      <c r="L1802" t="s">
        <v>5001</v>
      </c>
      <c r="M1802" t="s">
        <v>6277</v>
      </c>
      <c r="N1802" t="s">
        <v>4613</v>
      </c>
      <c r="Q1802" t="s">
        <v>845</v>
      </c>
      <c r="R1802">
        <f>1</f>
        <v>1</v>
      </c>
      <c r="S1802">
        <f>17.3</f>
        <v>17.3</v>
      </c>
      <c r="T1802">
        <f>7.6</f>
        <v>7.6</v>
      </c>
      <c r="U1802">
        <f>300</f>
        <v>300</v>
      </c>
      <c r="X1802">
        <f>0</f>
        <v>0</v>
      </c>
      <c r="Y1802" t="s">
        <v>157</v>
      </c>
      <c r="Z1802">
        <f>0</f>
        <v>0</v>
      </c>
      <c r="AA1802">
        <f>0</f>
        <v>0</v>
      </c>
      <c r="AB1802">
        <f>0</f>
        <v>0</v>
      </c>
      <c r="AD1802">
        <f>0</f>
        <v>0</v>
      </c>
      <c r="AE1802">
        <f>0</f>
        <v>0</v>
      </c>
      <c r="AH1802" t="s">
        <v>157</v>
      </c>
    </row>
    <row r="1803" spans="1:44" x14ac:dyDescent="0.25">
      <c r="A1803" t="s">
        <v>4614</v>
      </c>
      <c r="B1803" t="s">
        <v>268</v>
      </c>
      <c r="C1803" s="1">
        <v>45772</v>
      </c>
      <c r="D1803" t="s">
        <v>317</v>
      </c>
      <c r="E1803" t="s">
        <v>318</v>
      </c>
      <c r="F1803" t="s">
        <v>319</v>
      </c>
      <c r="G1803" t="s">
        <v>4615</v>
      </c>
      <c r="H1803">
        <v>1792</v>
      </c>
      <c r="I1803" t="s">
        <v>4616</v>
      </c>
      <c r="J1803">
        <v>9</v>
      </c>
      <c r="K1803" t="s">
        <v>5254</v>
      </c>
      <c r="L1803" t="s">
        <v>4966</v>
      </c>
      <c r="M1803" t="s">
        <v>6278</v>
      </c>
      <c r="N1803" t="s">
        <v>4617</v>
      </c>
      <c r="Q1803" t="s">
        <v>845</v>
      </c>
      <c r="R1803">
        <f>1</f>
        <v>1</v>
      </c>
      <c r="S1803">
        <f>10.1</f>
        <v>10.1</v>
      </c>
      <c r="T1803">
        <f>7.8</f>
        <v>7.8</v>
      </c>
      <c r="U1803">
        <f>329</f>
        <v>329</v>
      </c>
      <c r="X1803">
        <f>0</f>
        <v>0</v>
      </c>
      <c r="Y1803" t="s">
        <v>157</v>
      </c>
      <c r="Z1803">
        <f>0</f>
        <v>0</v>
      </c>
      <c r="AA1803" t="s">
        <v>705</v>
      </c>
      <c r="AB1803" t="s">
        <v>705</v>
      </c>
      <c r="AD1803">
        <f>0</f>
        <v>0</v>
      </c>
      <c r="AE1803">
        <f>0</f>
        <v>0</v>
      </c>
      <c r="AH1803" t="s">
        <v>157</v>
      </c>
    </row>
    <row r="1804" spans="1:44" x14ac:dyDescent="0.25">
      <c r="A1804" t="s">
        <v>4618</v>
      </c>
      <c r="B1804" t="s">
        <v>148</v>
      </c>
      <c r="C1804" s="1">
        <v>45897</v>
      </c>
      <c r="D1804" t="s">
        <v>222</v>
      </c>
      <c r="E1804" t="s">
        <v>223</v>
      </c>
      <c r="F1804" t="s">
        <v>4723</v>
      </c>
      <c r="G1804" t="s">
        <v>949</v>
      </c>
      <c r="H1804">
        <v>1795</v>
      </c>
      <c r="I1804" t="s">
        <v>6880</v>
      </c>
      <c r="J1804">
        <v>197</v>
      </c>
      <c r="K1804" t="s">
        <v>5331</v>
      </c>
      <c r="M1804" t="s">
        <v>5760</v>
      </c>
      <c r="N1804" t="s">
        <v>4935</v>
      </c>
      <c r="O1804" t="s">
        <v>4619</v>
      </c>
      <c r="R1804">
        <f>1</f>
        <v>1</v>
      </c>
      <c r="S1804">
        <f>16.9</f>
        <v>16.899999999999999</v>
      </c>
      <c r="T1804">
        <f>8.1</f>
        <v>8.1</v>
      </c>
      <c r="U1804">
        <f>306</f>
        <v>306</v>
      </c>
      <c r="X1804">
        <f>1</f>
        <v>1</v>
      </c>
      <c r="Y1804">
        <f>0.04</f>
        <v>0.04</v>
      </c>
      <c r="Z1804">
        <f>0</f>
        <v>0</v>
      </c>
      <c r="AA1804">
        <f>0</f>
        <v>0</v>
      </c>
      <c r="AB1804">
        <f>0</f>
        <v>0</v>
      </c>
      <c r="AC1804">
        <f>0</f>
        <v>0</v>
      </c>
      <c r="AD1804">
        <f>0</f>
        <v>0</v>
      </c>
      <c r="AE1804">
        <f>0</f>
        <v>0</v>
      </c>
      <c r="AH1804" t="s">
        <v>166</v>
      </c>
      <c r="AI1804">
        <f>0.65</f>
        <v>0.65</v>
      </c>
      <c r="AL1804" t="s">
        <v>168</v>
      </c>
      <c r="AM1804" t="s">
        <v>164</v>
      </c>
      <c r="AN1804">
        <f>5.1</f>
        <v>5.0999999999999996</v>
      </c>
      <c r="AO1804">
        <f>0.1</f>
        <v>0.1</v>
      </c>
      <c r="AP1804">
        <f>2.6</f>
        <v>2.6</v>
      </c>
      <c r="AQ1804">
        <f>3</f>
        <v>3</v>
      </c>
      <c r="AR1804" t="s">
        <v>167</v>
      </c>
    </row>
    <row r="1805" spans="1:44" x14ac:dyDescent="0.25">
      <c r="A1805" t="s">
        <v>4620</v>
      </c>
      <c r="B1805" t="s">
        <v>148</v>
      </c>
      <c r="C1805" s="1">
        <v>45756</v>
      </c>
      <c r="D1805" t="s">
        <v>222</v>
      </c>
      <c r="E1805" t="s">
        <v>223</v>
      </c>
      <c r="F1805" t="s">
        <v>4723</v>
      </c>
      <c r="G1805" t="s">
        <v>949</v>
      </c>
      <c r="H1805">
        <v>1795</v>
      </c>
      <c r="I1805" t="s">
        <v>6880</v>
      </c>
      <c r="J1805">
        <v>197</v>
      </c>
      <c r="K1805" t="s">
        <v>5331</v>
      </c>
      <c r="M1805" t="s">
        <v>5760</v>
      </c>
      <c r="N1805" t="s">
        <v>4935</v>
      </c>
      <c r="O1805" t="s">
        <v>4619</v>
      </c>
      <c r="R1805">
        <f>1</f>
        <v>1</v>
      </c>
      <c r="S1805">
        <f>12.1</f>
        <v>12.1</v>
      </c>
      <c r="T1805">
        <f>8.2</f>
        <v>8.1999999999999993</v>
      </c>
      <c r="U1805">
        <f>267</f>
        <v>267</v>
      </c>
      <c r="X1805">
        <f>1</f>
        <v>1</v>
      </c>
      <c r="Y1805">
        <f>0.03</f>
        <v>0.03</v>
      </c>
      <c r="Z1805">
        <f>0</f>
        <v>0</v>
      </c>
      <c r="AA1805">
        <f>0</f>
        <v>0</v>
      </c>
      <c r="AB1805">
        <f>0</f>
        <v>0</v>
      </c>
      <c r="AC1805">
        <f>0</f>
        <v>0</v>
      </c>
      <c r="AD1805">
        <f>0</f>
        <v>0</v>
      </c>
      <c r="AE1805">
        <f>0</f>
        <v>0</v>
      </c>
      <c r="AH1805" t="s">
        <v>166</v>
      </c>
    </row>
    <row r="1806" spans="1:44" x14ac:dyDescent="0.25">
      <c r="A1806" t="s">
        <v>4621</v>
      </c>
      <c r="B1806" t="s">
        <v>148</v>
      </c>
      <c r="C1806" s="1">
        <v>45782</v>
      </c>
      <c r="D1806" t="s">
        <v>269</v>
      </c>
      <c r="E1806" t="s">
        <v>270</v>
      </c>
      <c r="F1806" t="s">
        <v>6279</v>
      </c>
      <c r="G1806" t="s">
        <v>4622</v>
      </c>
      <c r="H1806">
        <v>499</v>
      </c>
      <c r="I1806" t="s">
        <v>4622</v>
      </c>
      <c r="J1806">
        <v>49</v>
      </c>
      <c r="K1806" t="s">
        <v>5257</v>
      </c>
      <c r="L1806" t="s">
        <v>431</v>
      </c>
      <c r="M1806" t="s">
        <v>6280</v>
      </c>
      <c r="N1806" t="s">
        <v>4623</v>
      </c>
      <c r="O1806" t="s">
        <v>4624</v>
      </c>
      <c r="R1806">
        <f>1</f>
        <v>1</v>
      </c>
      <c r="S1806">
        <f>12.9</f>
        <v>12.9</v>
      </c>
      <c r="T1806">
        <f>7.6</f>
        <v>7.6</v>
      </c>
      <c r="U1806">
        <f>478</f>
        <v>478</v>
      </c>
      <c r="X1806">
        <f>0</f>
        <v>0</v>
      </c>
      <c r="Y1806">
        <f>0.16</f>
        <v>0.16</v>
      </c>
      <c r="Z1806">
        <f>0</f>
        <v>0</v>
      </c>
      <c r="AA1806" t="s">
        <v>158</v>
      </c>
      <c r="AB1806" t="s">
        <v>158</v>
      </c>
      <c r="AC1806">
        <f>0</f>
        <v>0</v>
      </c>
      <c r="AD1806">
        <f>0</f>
        <v>0</v>
      </c>
      <c r="AE1806">
        <f>0</f>
        <v>0</v>
      </c>
      <c r="AH1806" t="s">
        <v>166</v>
      </c>
    </row>
    <row r="1807" spans="1:44" x14ac:dyDescent="0.25">
      <c r="A1807" t="s">
        <v>4625</v>
      </c>
      <c r="B1807" t="s">
        <v>148</v>
      </c>
      <c r="C1807" s="1">
        <v>45741</v>
      </c>
      <c r="D1807" t="s">
        <v>175</v>
      </c>
      <c r="E1807" t="s">
        <v>176</v>
      </c>
      <c r="F1807" t="s">
        <v>1332</v>
      </c>
      <c r="G1807" t="s">
        <v>4626</v>
      </c>
      <c r="H1807">
        <v>572</v>
      </c>
      <c r="I1807" t="s">
        <v>4626</v>
      </c>
      <c r="J1807">
        <v>48</v>
      </c>
      <c r="K1807" t="s">
        <v>5257</v>
      </c>
      <c r="L1807" t="s">
        <v>180</v>
      </c>
      <c r="M1807" t="s">
        <v>4627</v>
      </c>
      <c r="N1807" t="s">
        <v>4628</v>
      </c>
      <c r="Q1807" t="s">
        <v>6518</v>
      </c>
      <c r="R1807">
        <f>1</f>
        <v>1</v>
      </c>
      <c r="S1807">
        <f>9.3</f>
        <v>9.3000000000000007</v>
      </c>
      <c r="T1807">
        <f>7.7</f>
        <v>7.7</v>
      </c>
      <c r="U1807">
        <f>585</f>
        <v>585</v>
      </c>
      <c r="X1807">
        <f>0</f>
        <v>0</v>
      </c>
      <c r="Y1807" t="s">
        <v>157</v>
      </c>
      <c r="Z1807">
        <f>0</f>
        <v>0</v>
      </c>
      <c r="AA1807" t="s">
        <v>158</v>
      </c>
      <c r="AB1807" t="s">
        <v>158</v>
      </c>
      <c r="AC1807">
        <f>0</f>
        <v>0</v>
      </c>
      <c r="AD1807">
        <f>0</f>
        <v>0</v>
      </c>
      <c r="AE1807">
        <f>0</f>
        <v>0</v>
      </c>
    </row>
    <row r="1808" spans="1:44" x14ac:dyDescent="0.25">
      <c r="A1808" t="s">
        <v>4629</v>
      </c>
      <c r="B1808" t="s">
        <v>268</v>
      </c>
      <c r="C1808" s="1">
        <v>45880</v>
      </c>
      <c r="D1808" t="s">
        <v>311</v>
      </c>
      <c r="E1808" t="s">
        <v>312</v>
      </c>
      <c r="F1808" t="s">
        <v>2047</v>
      </c>
      <c r="G1808" t="s">
        <v>4630</v>
      </c>
      <c r="H1808">
        <v>1542</v>
      </c>
      <c r="I1808" t="s">
        <v>4630</v>
      </c>
      <c r="J1808">
        <v>45</v>
      </c>
      <c r="K1808" t="s">
        <v>5257</v>
      </c>
      <c r="M1808" t="s">
        <v>4631</v>
      </c>
      <c r="N1808" t="s">
        <v>5085</v>
      </c>
      <c r="O1808" t="s">
        <v>4632</v>
      </c>
      <c r="R1808">
        <f>1</f>
        <v>1</v>
      </c>
      <c r="S1808">
        <f>16.9</f>
        <v>16.899999999999999</v>
      </c>
      <c r="T1808">
        <f>7.1</f>
        <v>7.1</v>
      </c>
      <c r="U1808">
        <f>67</f>
        <v>67</v>
      </c>
      <c r="X1808">
        <f>0</f>
        <v>0</v>
      </c>
      <c r="Y1808" t="s">
        <v>157</v>
      </c>
      <c r="Z1808">
        <f>0</f>
        <v>0</v>
      </c>
      <c r="AA1808" t="s">
        <v>158</v>
      </c>
      <c r="AB1808" t="s">
        <v>158</v>
      </c>
      <c r="AC1808">
        <f>0</f>
        <v>0</v>
      </c>
      <c r="AD1808">
        <f>0</f>
        <v>0</v>
      </c>
      <c r="AE1808">
        <f>2</f>
        <v>2</v>
      </c>
      <c r="AH1808" t="s">
        <v>157</v>
      </c>
    </row>
    <row r="1809" spans="1:44" x14ac:dyDescent="0.25">
      <c r="A1809" t="s">
        <v>4633</v>
      </c>
      <c r="B1809" t="s">
        <v>268</v>
      </c>
      <c r="C1809" s="1">
        <v>45821</v>
      </c>
      <c r="D1809" t="s">
        <v>175</v>
      </c>
      <c r="E1809" t="s">
        <v>176</v>
      </c>
      <c r="F1809" t="s">
        <v>1332</v>
      </c>
      <c r="G1809" t="s">
        <v>4634</v>
      </c>
      <c r="H1809">
        <v>576</v>
      </c>
      <c r="I1809" t="s">
        <v>4634</v>
      </c>
      <c r="J1809">
        <v>45</v>
      </c>
      <c r="K1809" t="s">
        <v>5257</v>
      </c>
      <c r="L1809" t="s">
        <v>180</v>
      </c>
      <c r="M1809" t="s">
        <v>4635</v>
      </c>
      <c r="N1809" t="s">
        <v>4636</v>
      </c>
      <c r="O1809" t="s">
        <v>4637</v>
      </c>
      <c r="Q1809" t="s">
        <v>6519</v>
      </c>
      <c r="R1809">
        <f>1</f>
        <v>1</v>
      </c>
      <c r="S1809">
        <f>16.2</f>
        <v>16.2</v>
      </c>
      <c r="T1809">
        <f>7.1</f>
        <v>7.1</v>
      </c>
      <c r="U1809">
        <f>55</f>
        <v>55</v>
      </c>
      <c r="X1809">
        <f>0</f>
        <v>0</v>
      </c>
      <c r="Y1809" t="s">
        <v>157</v>
      </c>
      <c r="Z1809">
        <f>0</f>
        <v>0</v>
      </c>
      <c r="AA1809">
        <f>60</f>
        <v>60</v>
      </c>
      <c r="AB1809">
        <f>24</f>
        <v>24</v>
      </c>
      <c r="AC1809">
        <f>0</f>
        <v>0</v>
      </c>
      <c r="AD1809">
        <f>45</f>
        <v>45</v>
      </c>
      <c r="AE1809">
        <f>26</f>
        <v>26</v>
      </c>
      <c r="AH1809" t="s">
        <v>157</v>
      </c>
    </row>
    <row r="1810" spans="1:44" x14ac:dyDescent="0.25">
      <c r="A1810" t="s">
        <v>4638</v>
      </c>
      <c r="B1810" t="s">
        <v>148</v>
      </c>
      <c r="C1810" s="1">
        <v>45856</v>
      </c>
      <c r="D1810" t="s">
        <v>317</v>
      </c>
      <c r="E1810" t="s">
        <v>318</v>
      </c>
      <c r="F1810" t="s">
        <v>360</v>
      </c>
      <c r="G1810" t="s">
        <v>4639</v>
      </c>
      <c r="H1810">
        <v>343</v>
      </c>
      <c r="I1810" t="s">
        <v>4639</v>
      </c>
      <c r="J1810">
        <v>51</v>
      </c>
      <c r="K1810" t="s">
        <v>5254</v>
      </c>
      <c r="L1810" t="s">
        <v>4948</v>
      </c>
      <c r="M1810" t="s">
        <v>4640</v>
      </c>
      <c r="N1810" t="s">
        <v>4641</v>
      </c>
      <c r="Q1810" t="s">
        <v>6520</v>
      </c>
      <c r="R1810">
        <f>1</f>
        <v>1</v>
      </c>
      <c r="S1810">
        <f>17.8</f>
        <v>17.8</v>
      </c>
      <c r="T1810">
        <f>8</f>
        <v>8</v>
      </c>
      <c r="U1810">
        <f>520</f>
        <v>520</v>
      </c>
      <c r="X1810">
        <f>0</f>
        <v>0</v>
      </c>
      <c r="Y1810">
        <f>0.14</f>
        <v>0.14000000000000001</v>
      </c>
      <c r="Z1810">
        <f>0</f>
        <v>0</v>
      </c>
      <c r="AA1810">
        <f>50</f>
        <v>50</v>
      </c>
      <c r="AB1810">
        <f>48</f>
        <v>48</v>
      </c>
      <c r="AD1810">
        <f>0</f>
        <v>0</v>
      </c>
      <c r="AE1810">
        <f>0</f>
        <v>0</v>
      </c>
      <c r="AH1810" t="s">
        <v>157</v>
      </c>
    </row>
    <row r="1811" spans="1:44" x14ac:dyDescent="0.25">
      <c r="A1811" t="s">
        <v>4642</v>
      </c>
      <c r="B1811" t="s">
        <v>148</v>
      </c>
      <c r="C1811" s="1">
        <v>45882</v>
      </c>
      <c r="D1811" t="s">
        <v>618</v>
      </c>
      <c r="E1811" t="s">
        <v>619</v>
      </c>
      <c r="F1811" t="s">
        <v>5022</v>
      </c>
      <c r="G1811" t="s">
        <v>5252</v>
      </c>
      <c r="H1811">
        <v>942</v>
      </c>
      <c r="I1811" t="s">
        <v>5253</v>
      </c>
      <c r="J1811">
        <v>43</v>
      </c>
      <c r="K1811" t="s">
        <v>5254</v>
      </c>
      <c r="L1811" t="s">
        <v>180</v>
      </c>
      <c r="M1811" t="s">
        <v>6281</v>
      </c>
      <c r="N1811" t="s">
        <v>5086</v>
      </c>
      <c r="O1811" t="s">
        <v>4643</v>
      </c>
      <c r="R1811">
        <f>1</f>
        <v>1</v>
      </c>
      <c r="S1811">
        <f>16.8</f>
        <v>16.8</v>
      </c>
      <c r="T1811">
        <f>7.5</f>
        <v>7.5</v>
      </c>
      <c r="U1811">
        <f>339</f>
        <v>339</v>
      </c>
      <c r="X1811">
        <f>0</f>
        <v>0</v>
      </c>
      <c r="Y1811" t="s">
        <v>157</v>
      </c>
      <c r="Z1811">
        <f>0</f>
        <v>0</v>
      </c>
      <c r="AA1811" t="s">
        <v>158</v>
      </c>
      <c r="AB1811" t="s">
        <v>158</v>
      </c>
      <c r="AD1811">
        <f>0</f>
        <v>0</v>
      </c>
      <c r="AE1811">
        <f>0</f>
        <v>0</v>
      </c>
      <c r="AH1811" t="s">
        <v>157</v>
      </c>
    </row>
    <row r="1812" spans="1:44" x14ac:dyDescent="0.25">
      <c r="A1812" t="s">
        <v>4644</v>
      </c>
      <c r="B1812" t="s">
        <v>148</v>
      </c>
      <c r="C1812" s="1">
        <v>45834</v>
      </c>
      <c r="D1812" t="s">
        <v>242</v>
      </c>
      <c r="E1812" t="s">
        <v>243</v>
      </c>
      <c r="F1812" t="s">
        <v>5284</v>
      </c>
      <c r="G1812" t="s">
        <v>4645</v>
      </c>
      <c r="H1812">
        <v>975</v>
      </c>
      <c r="I1812" t="s">
        <v>4645</v>
      </c>
      <c r="J1812">
        <v>40</v>
      </c>
      <c r="K1812" t="s">
        <v>5254</v>
      </c>
      <c r="L1812" t="s">
        <v>393</v>
      </c>
      <c r="M1812" t="s">
        <v>5761</v>
      </c>
      <c r="N1812" t="s">
        <v>4646</v>
      </c>
      <c r="O1812" t="s">
        <v>4647</v>
      </c>
      <c r="Q1812" t="s">
        <v>6365</v>
      </c>
      <c r="R1812">
        <f>1</f>
        <v>1</v>
      </c>
      <c r="S1812">
        <f>18.7</f>
        <v>18.7</v>
      </c>
      <c r="T1812">
        <f>7.4</f>
        <v>7.4</v>
      </c>
      <c r="U1812">
        <f>616</f>
        <v>616</v>
      </c>
      <c r="X1812">
        <f>0</f>
        <v>0</v>
      </c>
      <c r="Y1812" t="s">
        <v>157</v>
      </c>
      <c r="Z1812">
        <f>0</f>
        <v>0</v>
      </c>
      <c r="AA1812" t="s">
        <v>158</v>
      </c>
      <c r="AB1812" t="s">
        <v>158</v>
      </c>
      <c r="AD1812">
        <f>0</f>
        <v>0</v>
      </c>
      <c r="AE1812">
        <f>0</f>
        <v>0</v>
      </c>
      <c r="AH1812" t="s">
        <v>157</v>
      </c>
    </row>
    <row r="1813" spans="1:44" x14ac:dyDescent="0.25">
      <c r="A1813" t="s">
        <v>4648</v>
      </c>
      <c r="B1813" t="s">
        <v>268</v>
      </c>
      <c r="C1813" s="1">
        <v>45756</v>
      </c>
      <c r="D1813" t="s">
        <v>222</v>
      </c>
      <c r="E1813" t="s">
        <v>223</v>
      </c>
      <c r="F1813" t="s">
        <v>469</v>
      </c>
      <c r="G1813" t="s">
        <v>6881</v>
      </c>
      <c r="H1813">
        <v>282</v>
      </c>
      <c r="I1813" t="s">
        <v>6881</v>
      </c>
      <c r="J1813">
        <v>35</v>
      </c>
      <c r="K1813" t="s">
        <v>5257</v>
      </c>
      <c r="L1813" t="s">
        <v>393</v>
      </c>
      <c r="M1813" t="s">
        <v>5762</v>
      </c>
      <c r="N1813" t="s">
        <v>5763</v>
      </c>
      <c r="O1813" t="s">
        <v>4649</v>
      </c>
      <c r="R1813">
        <f>1</f>
        <v>1</v>
      </c>
      <c r="S1813">
        <f>8</f>
        <v>8</v>
      </c>
      <c r="T1813">
        <f>8</f>
        <v>8</v>
      </c>
      <c r="U1813">
        <f>351</f>
        <v>351</v>
      </c>
      <c r="X1813">
        <f>1</f>
        <v>1</v>
      </c>
      <c r="Y1813">
        <f>0.29</f>
        <v>0.28999999999999998</v>
      </c>
      <c r="Z1813">
        <f>0</f>
        <v>0</v>
      </c>
      <c r="AA1813">
        <f>14</f>
        <v>14</v>
      </c>
      <c r="AB1813">
        <f>8</f>
        <v>8</v>
      </c>
      <c r="AC1813">
        <f>0</f>
        <v>0</v>
      </c>
      <c r="AD1813">
        <f>2</f>
        <v>2</v>
      </c>
      <c r="AE1813">
        <f>42</f>
        <v>42</v>
      </c>
      <c r="AH1813" t="s">
        <v>166</v>
      </c>
    </row>
    <row r="1814" spans="1:44" x14ac:dyDescent="0.25">
      <c r="A1814" t="s">
        <v>4650</v>
      </c>
      <c r="B1814" t="s">
        <v>148</v>
      </c>
      <c r="C1814" s="1">
        <v>45726</v>
      </c>
      <c r="D1814" t="s">
        <v>269</v>
      </c>
      <c r="E1814" t="s">
        <v>270</v>
      </c>
      <c r="F1814" t="s">
        <v>4651</v>
      </c>
      <c r="G1814" t="s">
        <v>4652</v>
      </c>
      <c r="H1814">
        <v>498</v>
      </c>
      <c r="I1814" t="s">
        <v>4652</v>
      </c>
      <c r="J1814">
        <v>39</v>
      </c>
      <c r="K1814" t="s">
        <v>5257</v>
      </c>
      <c r="L1814" t="s">
        <v>180</v>
      </c>
      <c r="M1814" t="s">
        <v>4653</v>
      </c>
      <c r="N1814" t="s">
        <v>6282</v>
      </c>
      <c r="R1814">
        <f>1</f>
        <v>1</v>
      </c>
      <c r="S1814">
        <f>8.4</f>
        <v>8.4</v>
      </c>
      <c r="T1814">
        <f>7.9</f>
        <v>7.9</v>
      </c>
      <c r="U1814">
        <f>520</f>
        <v>520</v>
      </c>
      <c r="X1814">
        <f>0</f>
        <v>0</v>
      </c>
      <c r="Y1814">
        <f>0.08</f>
        <v>0.08</v>
      </c>
      <c r="Z1814">
        <f>0</f>
        <v>0</v>
      </c>
      <c r="AA1814" t="s">
        <v>158</v>
      </c>
      <c r="AB1814" t="s">
        <v>158</v>
      </c>
      <c r="AC1814">
        <f>0</f>
        <v>0</v>
      </c>
      <c r="AD1814">
        <f>0</f>
        <v>0</v>
      </c>
      <c r="AE1814">
        <f>0</f>
        <v>0</v>
      </c>
    </row>
    <row r="1815" spans="1:44" x14ac:dyDescent="0.25">
      <c r="A1815" t="s">
        <v>4654</v>
      </c>
      <c r="B1815" t="s">
        <v>268</v>
      </c>
      <c r="C1815" s="1">
        <v>45803</v>
      </c>
      <c r="D1815" t="s">
        <v>242</v>
      </c>
      <c r="E1815" t="s">
        <v>243</v>
      </c>
      <c r="F1815" t="s">
        <v>884</v>
      </c>
      <c r="G1815" t="s">
        <v>4655</v>
      </c>
      <c r="H1815">
        <v>1692</v>
      </c>
      <c r="I1815" t="s">
        <v>4656</v>
      </c>
      <c r="J1815">
        <v>26</v>
      </c>
      <c r="K1815" t="s">
        <v>5254</v>
      </c>
      <c r="L1815" t="s">
        <v>431</v>
      </c>
      <c r="M1815" t="s">
        <v>5764</v>
      </c>
      <c r="N1815" t="s">
        <v>4657</v>
      </c>
      <c r="O1815" t="s">
        <v>4658</v>
      </c>
      <c r="Q1815" t="s">
        <v>6521</v>
      </c>
      <c r="R1815">
        <f>1</f>
        <v>1</v>
      </c>
      <c r="S1815">
        <f>10.4</f>
        <v>10.4</v>
      </c>
      <c r="T1815">
        <f>8</f>
        <v>8</v>
      </c>
      <c r="U1815">
        <f>496</f>
        <v>496</v>
      </c>
      <c r="X1815">
        <f>0</f>
        <v>0</v>
      </c>
      <c r="Y1815">
        <f>0.92</f>
        <v>0.92</v>
      </c>
      <c r="Z1815">
        <f>0</f>
        <v>0</v>
      </c>
      <c r="AA1815" t="s">
        <v>158</v>
      </c>
      <c r="AB1815" t="s">
        <v>158</v>
      </c>
      <c r="AD1815">
        <f>0</f>
        <v>0</v>
      </c>
      <c r="AE1815">
        <f>13</f>
        <v>13</v>
      </c>
      <c r="AH1815" t="s">
        <v>157</v>
      </c>
    </row>
    <row r="1816" spans="1:44" x14ac:dyDescent="0.25">
      <c r="A1816" t="s">
        <v>4659</v>
      </c>
      <c r="B1816" t="s">
        <v>268</v>
      </c>
      <c r="C1816" s="1">
        <v>45789</v>
      </c>
      <c r="D1816" t="s">
        <v>242</v>
      </c>
      <c r="E1816" t="s">
        <v>243</v>
      </c>
      <c r="F1816" t="s">
        <v>5284</v>
      </c>
      <c r="G1816" t="s">
        <v>4660</v>
      </c>
      <c r="H1816">
        <v>1329</v>
      </c>
      <c r="I1816" t="s">
        <v>4660</v>
      </c>
      <c r="J1816">
        <v>25</v>
      </c>
      <c r="K1816" t="s">
        <v>5254</v>
      </c>
      <c r="L1816" t="s">
        <v>4724</v>
      </c>
      <c r="M1816" t="s">
        <v>5765</v>
      </c>
      <c r="N1816" t="s">
        <v>4661</v>
      </c>
      <c r="O1816" t="s">
        <v>4662</v>
      </c>
      <c r="R1816">
        <f>1</f>
        <v>1</v>
      </c>
      <c r="S1816">
        <f>13.1</f>
        <v>13.1</v>
      </c>
      <c r="T1816">
        <f>7.1</f>
        <v>7.1</v>
      </c>
      <c r="U1816">
        <f>541</f>
        <v>541</v>
      </c>
      <c r="X1816">
        <f>0</f>
        <v>0</v>
      </c>
      <c r="Y1816">
        <f>0.9</f>
        <v>0.9</v>
      </c>
      <c r="Z1816" t="s">
        <v>4663</v>
      </c>
      <c r="AA1816">
        <f>62</f>
        <v>62</v>
      </c>
      <c r="AB1816">
        <f>33</f>
        <v>33</v>
      </c>
      <c r="AD1816">
        <f>13</f>
        <v>13</v>
      </c>
      <c r="AE1816" t="s">
        <v>1845</v>
      </c>
      <c r="AH1816" t="s">
        <v>157</v>
      </c>
    </row>
    <row r="1817" spans="1:44" x14ac:dyDescent="0.25">
      <c r="A1817" t="s">
        <v>4664</v>
      </c>
      <c r="B1817" t="s">
        <v>148</v>
      </c>
      <c r="C1817" s="1">
        <v>45832</v>
      </c>
      <c r="D1817" t="s">
        <v>222</v>
      </c>
      <c r="E1817" t="s">
        <v>223</v>
      </c>
      <c r="F1817" t="s">
        <v>469</v>
      </c>
      <c r="G1817" t="s">
        <v>6882</v>
      </c>
      <c r="H1817">
        <v>1681</v>
      </c>
      <c r="I1817" t="s">
        <v>6882</v>
      </c>
      <c r="J1817">
        <v>13</v>
      </c>
      <c r="K1817" t="s">
        <v>5257</v>
      </c>
      <c r="L1817" t="s">
        <v>431</v>
      </c>
      <c r="M1817" t="s">
        <v>5766</v>
      </c>
      <c r="N1817" t="s">
        <v>5767</v>
      </c>
      <c r="O1817" t="s">
        <v>4665</v>
      </c>
      <c r="R1817">
        <f>1</f>
        <v>1</v>
      </c>
      <c r="S1817">
        <f>17.7</f>
        <v>17.7</v>
      </c>
      <c r="T1817">
        <f>8</f>
        <v>8</v>
      </c>
      <c r="U1817">
        <f>209</f>
        <v>209</v>
      </c>
      <c r="X1817">
        <f>1</f>
        <v>1</v>
      </c>
      <c r="Y1817">
        <f>0.2</f>
        <v>0.2</v>
      </c>
      <c r="Z1817">
        <f>0</f>
        <v>0</v>
      </c>
      <c r="AA1817">
        <f>1</f>
        <v>1</v>
      </c>
      <c r="AB1817">
        <f>0</f>
        <v>0</v>
      </c>
      <c r="AC1817">
        <f>0</f>
        <v>0</v>
      </c>
      <c r="AD1817">
        <f>0</f>
        <v>0</v>
      </c>
      <c r="AE1817">
        <f>0</f>
        <v>0</v>
      </c>
      <c r="AH1817" t="s">
        <v>166</v>
      </c>
    </row>
    <row r="1818" spans="1:44" x14ac:dyDescent="0.25">
      <c r="A1818" t="s">
        <v>4666</v>
      </c>
      <c r="B1818" t="s">
        <v>148</v>
      </c>
      <c r="C1818" s="1">
        <v>45825</v>
      </c>
      <c r="D1818" t="s">
        <v>317</v>
      </c>
      <c r="E1818" t="s">
        <v>318</v>
      </c>
      <c r="F1818" t="s">
        <v>360</v>
      </c>
      <c r="G1818" t="s">
        <v>4667</v>
      </c>
      <c r="H1818">
        <v>1815</v>
      </c>
      <c r="I1818" t="s">
        <v>4668</v>
      </c>
      <c r="J1818">
        <v>1899</v>
      </c>
      <c r="K1818" t="s">
        <v>5257</v>
      </c>
      <c r="L1818" t="s">
        <v>5087</v>
      </c>
      <c r="M1818" t="s">
        <v>6283</v>
      </c>
      <c r="N1818" t="s">
        <v>4669</v>
      </c>
      <c r="Q1818" t="s">
        <v>845</v>
      </c>
      <c r="R1818">
        <f>1</f>
        <v>1</v>
      </c>
      <c r="S1818">
        <f>19.1</f>
        <v>19.100000000000001</v>
      </c>
      <c r="T1818">
        <f>7.7</f>
        <v>7.7</v>
      </c>
      <c r="U1818">
        <f>399</f>
        <v>399</v>
      </c>
      <c r="X1818">
        <f>0</f>
        <v>0</v>
      </c>
      <c r="Y1818" t="s">
        <v>157</v>
      </c>
      <c r="Z1818">
        <f>0</f>
        <v>0</v>
      </c>
      <c r="AA1818">
        <f>2</f>
        <v>2</v>
      </c>
      <c r="AB1818">
        <f>0</f>
        <v>0</v>
      </c>
      <c r="AD1818">
        <f>0</f>
        <v>0</v>
      </c>
      <c r="AE1818">
        <f>0</f>
        <v>0</v>
      </c>
      <c r="AH1818" t="s">
        <v>157</v>
      </c>
      <c r="AI1818" t="s">
        <v>167</v>
      </c>
      <c r="AL1818" t="s">
        <v>168</v>
      </c>
      <c r="AM1818" t="s">
        <v>216</v>
      </c>
      <c r="AN1818">
        <f>15</f>
        <v>15</v>
      </c>
      <c r="AO1818">
        <f>0.3</f>
        <v>0.3</v>
      </c>
      <c r="AP1818">
        <f>11</f>
        <v>11</v>
      </c>
      <c r="AQ1818">
        <f>7.4</f>
        <v>7.4</v>
      </c>
      <c r="AR1818" t="s">
        <v>167</v>
      </c>
    </row>
    <row r="1819" spans="1:44" x14ac:dyDescent="0.25">
      <c r="A1819" t="s">
        <v>4670</v>
      </c>
      <c r="B1819" t="s">
        <v>148</v>
      </c>
      <c r="C1819" s="1">
        <v>45750</v>
      </c>
      <c r="D1819" t="s">
        <v>317</v>
      </c>
      <c r="E1819" t="s">
        <v>318</v>
      </c>
      <c r="F1819" t="s">
        <v>360</v>
      </c>
      <c r="G1819" t="s">
        <v>4667</v>
      </c>
      <c r="H1819">
        <v>1815</v>
      </c>
      <c r="I1819" t="s">
        <v>4668</v>
      </c>
      <c r="J1819">
        <v>1899</v>
      </c>
      <c r="K1819" t="s">
        <v>5257</v>
      </c>
      <c r="L1819" t="s">
        <v>5087</v>
      </c>
      <c r="M1819" t="s">
        <v>6283</v>
      </c>
      <c r="N1819" t="s">
        <v>4669</v>
      </c>
      <c r="Q1819" t="s">
        <v>329</v>
      </c>
      <c r="R1819">
        <f>1</f>
        <v>1</v>
      </c>
      <c r="S1819">
        <f>11.1</f>
        <v>11.1</v>
      </c>
      <c r="T1819">
        <f>7.9</f>
        <v>7.9</v>
      </c>
      <c r="U1819">
        <f>296</f>
        <v>296</v>
      </c>
      <c r="X1819">
        <f>0</f>
        <v>0</v>
      </c>
      <c r="Y1819" t="s">
        <v>157</v>
      </c>
      <c r="Z1819">
        <f>0</f>
        <v>0</v>
      </c>
      <c r="AA1819">
        <f>0</f>
        <v>0</v>
      </c>
      <c r="AB1819">
        <f>0</f>
        <v>0</v>
      </c>
      <c r="AD1819">
        <f>0</f>
        <v>0</v>
      </c>
      <c r="AE1819">
        <f>0</f>
        <v>0</v>
      </c>
      <c r="AH1819" t="s">
        <v>157</v>
      </c>
    </row>
    <row r="1820" spans="1:44" x14ac:dyDescent="0.25">
      <c r="A1820" t="s">
        <v>4671</v>
      </c>
      <c r="B1820" t="s">
        <v>148</v>
      </c>
      <c r="C1820" s="1">
        <v>45890</v>
      </c>
      <c r="D1820" t="s">
        <v>222</v>
      </c>
      <c r="E1820" t="s">
        <v>223</v>
      </c>
      <c r="F1820" t="s">
        <v>4938</v>
      </c>
      <c r="G1820" t="s">
        <v>4672</v>
      </c>
      <c r="H1820">
        <v>1820</v>
      </c>
      <c r="I1820" t="s">
        <v>4673</v>
      </c>
      <c r="J1820">
        <v>2277</v>
      </c>
      <c r="K1820" t="s">
        <v>5257</v>
      </c>
      <c r="L1820" t="s">
        <v>393</v>
      </c>
      <c r="M1820" t="s">
        <v>6883</v>
      </c>
      <c r="N1820" t="s">
        <v>4674</v>
      </c>
      <c r="O1820" t="s">
        <v>4675</v>
      </c>
      <c r="Q1820" t="s">
        <v>5297</v>
      </c>
      <c r="R1820">
        <f>1</f>
        <v>1</v>
      </c>
      <c r="S1820">
        <f>21.2</f>
        <v>21.2</v>
      </c>
      <c r="T1820">
        <f>8.1</f>
        <v>8.1</v>
      </c>
      <c r="U1820">
        <f>310</f>
        <v>310</v>
      </c>
      <c r="X1820">
        <f>1</f>
        <v>1</v>
      </c>
      <c r="Y1820">
        <f>0.12</f>
        <v>0.12</v>
      </c>
      <c r="Z1820">
        <f>0</f>
        <v>0</v>
      </c>
      <c r="AA1820">
        <f>0</f>
        <v>0</v>
      </c>
      <c r="AB1820">
        <f>0</f>
        <v>0</v>
      </c>
      <c r="AC1820">
        <f>0</f>
        <v>0</v>
      </c>
      <c r="AD1820">
        <f>0</f>
        <v>0</v>
      </c>
      <c r="AE1820">
        <f>0</f>
        <v>0</v>
      </c>
      <c r="AH1820" t="s">
        <v>166</v>
      </c>
    </row>
    <row r="1821" spans="1:44" x14ac:dyDescent="0.25">
      <c r="A1821" t="s">
        <v>4676</v>
      </c>
      <c r="B1821" t="s">
        <v>148</v>
      </c>
      <c r="C1821" s="1">
        <v>45789</v>
      </c>
      <c r="D1821" t="s">
        <v>222</v>
      </c>
      <c r="E1821" t="s">
        <v>223</v>
      </c>
      <c r="F1821" t="s">
        <v>4938</v>
      </c>
      <c r="G1821" t="s">
        <v>4672</v>
      </c>
      <c r="H1821">
        <v>1820</v>
      </c>
      <c r="I1821" t="s">
        <v>4673</v>
      </c>
      <c r="J1821">
        <v>2277</v>
      </c>
      <c r="K1821" t="s">
        <v>5257</v>
      </c>
      <c r="L1821" t="s">
        <v>393</v>
      </c>
      <c r="M1821" t="s">
        <v>6883</v>
      </c>
      <c r="N1821" t="s">
        <v>4674</v>
      </c>
      <c r="O1821" t="s">
        <v>4675</v>
      </c>
      <c r="Q1821" t="s">
        <v>6298</v>
      </c>
      <c r="R1821">
        <f>1</f>
        <v>1</v>
      </c>
      <c r="S1821">
        <f>14</f>
        <v>14</v>
      </c>
      <c r="T1821">
        <f>8.4</f>
        <v>8.4</v>
      </c>
      <c r="U1821">
        <f>302</f>
        <v>302</v>
      </c>
      <c r="X1821">
        <f>1</f>
        <v>1</v>
      </c>
      <c r="Y1821">
        <f>0.11</f>
        <v>0.11</v>
      </c>
      <c r="Z1821">
        <f>0</f>
        <v>0</v>
      </c>
      <c r="AA1821">
        <f>0</f>
        <v>0</v>
      </c>
      <c r="AB1821">
        <f>0</f>
        <v>0</v>
      </c>
      <c r="AC1821">
        <f>0</f>
        <v>0</v>
      </c>
      <c r="AD1821">
        <f>0</f>
        <v>0</v>
      </c>
      <c r="AE1821">
        <f>0</f>
        <v>0</v>
      </c>
      <c r="AH1821" t="s">
        <v>166</v>
      </c>
      <c r="AI1821">
        <f>0.66</f>
        <v>0.66</v>
      </c>
      <c r="AL1821" t="s">
        <v>168</v>
      </c>
      <c r="AM1821" t="s">
        <v>164</v>
      </c>
      <c r="AN1821">
        <f>5.2</f>
        <v>5.2</v>
      </c>
      <c r="AO1821">
        <f>0.1</f>
        <v>0.1</v>
      </c>
      <c r="AP1821">
        <f>3.2</f>
        <v>3.2</v>
      </c>
      <c r="AQ1821">
        <f>6.3</f>
        <v>6.3</v>
      </c>
      <c r="AR1821" t="s">
        <v>167</v>
      </c>
    </row>
    <row r="1822" spans="1:44" x14ac:dyDescent="0.25">
      <c r="A1822" t="s">
        <v>4677</v>
      </c>
      <c r="B1822" t="s">
        <v>148</v>
      </c>
      <c r="C1822" s="1">
        <v>45754</v>
      </c>
      <c r="D1822" t="s">
        <v>242</v>
      </c>
      <c r="E1822" t="s">
        <v>243</v>
      </c>
      <c r="F1822" t="s">
        <v>6756</v>
      </c>
      <c r="G1822" t="s">
        <v>4678</v>
      </c>
      <c r="H1822">
        <v>863</v>
      </c>
      <c r="I1822" t="s">
        <v>4678</v>
      </c>
      <c r="J1822">
        <v>65</v>
      </c>
      <c r="K1822" t="s">
        <v>5254</v>
      </c>
      <c r="L1822" t="s">
        <v>393</v>
      </c>
      <c r="M1822" t="s">
        <v>5768</v>
      </c>
      <c r="N1822" t="s">
        <v>4679</v>
      </c>
      <c r="O1822" t="s">
        <v>4680</v>
      </c>
      <c r="Q1822" t="s">
        <v>6340</v>
      </c>
      <c r="R1822">
        <f>1</f>
        <v>1</v>
      </c>
      <c r="S1822">
        <f>11.4</f>
        <v>11.4</v>
      </c>
      <c r="T1822">
        <f>7.2</f>
        <v>7.2</v>
      </c>
      <c r="U1822">
        <f>466</f>
        <v>466</v>
      </c>
      <c r="X1822">
        <f>0</f>
        <v>0</v>
      </c>
      <c r="Y1822" t="s">
        <v>157</v>
      </c>
      <c r="Z1822">
        <f>0</f>
        <v>0</v>
      </c>
      <c r="AA1822" t="s">
        <v>158</v>
      </c>
      <c r="AB1822" t="s">
        <v>158</v>
      </c>
      <c r="AD1822">
        <f>0</f>
        <v>0</v>
      </c>
      <c r="AE1822">
        <f>0</f>
        <v>0</v>
      </c>
      <c r="AH1822" t="s">
        <v>157</v>
      </c>
    </row>
    <row r="1823" spans="1:44" x14ac:dyDescent="0.25">
      <c r="A1823" t="s">
        <v>4681</v>
      </c>
      <c r="B1823" t="s">
        <v>268</v>
      </c>
      <c r="C1823" s="1">
        <v>45740</v>
      </c>
      <c r="D1823" t="s">
        <v>222</v>
      </c>
      <c r="E1823" t="s">
        <v>223</v>
      </c>
      <c r="F1823" t="s">
        <v>4682</v>
      </c>
      <c r="G1823" t="s">
        <v>6884</v>
      </c>
      <c r="H1823">
        <v>1822</v>
      </c>
      <c r="I1823" t="s">
        <v>6884</v>
      </c>
      <c r="J1823">
        <v>2</v>
      </c>
      <c r="K1823" t="s">
        <v>5257</v>
      </c>
      <c r="L1823" t="s">
        <v>4966</v>
      </c>
      <c r="M1823" t="s">
        <v>6884</v>
      </c>
      <c r="N1823" t="s">
        <v>6284</v>
      </c>
      <c r="Q1823" t="s">
        <v>6298</v>
      </c>
      <c r="R1823">
        <f>1</f>
        <v>1</v>
      </c>
      <c r="S1823">
        <f>9.3</f>
        <v>9.3000000000000007</v>
      </c>
      <c r="T1823">
        <f>7.8</f>
        <v>7.8</v>
      </c>
      <c r="U1823">
        <f>319</f>
        <v>319</v>
      </c>
      <c r="X1823">
        <f>1</f>
        <v>1</v>
      </c>
      <c r="Y1823">
        <f>0.06</f>
        <v>0.06</v>
      </c>
      <c r="Z1823">
        <f>0</f>
        <v>0</v>
      </c>
      <c r="AA1823">
        <f>22</f>
        <v>22</v>
      </c>
      <c r="AB1823">
        <f>3</f>
        <v>3</v>
      </c>
      <c r="AC1823">
        <f>5</f>
        <v>5</v>
      </c>
      <c r="AD1823">
        <f>0</f>
        <v>0</v>
      </c>
      <c r="AE1823">
        <f>0</f>
        <v>0</v>
      </c>
      <c r="AH1823" t="s">
        <v>166</v>
      </c>
    </row>
    <row r="1824" spans="1:44" x14ac:dyDescent="0.25">
      <c r="A1824" t="s">
        <v>4683</v>
      </c>
      <c r="B1824" t="s">
        <v>268</v>
      </c>
      <c r="C1824" s="1">
        <v>45789</v>
      </c>
      <c r="D1824" t="s">
        <v>618</v>
      </c>
      <c r="E1824" t="s">
        <v>619</v>
      </c>
      <c r="F1824" t="s">
        <v>6885</v>
      </c>
      <c r="G1824" t="s">
        <v>4684</v>
      </c>
      <c r="H1824">
        <v>1823</v>
      </c>
      <c r="I1824" t="s">
        <v>6285</v>
      </c>
      <c r="J1824">
        <v>57</v>
      </c>
      <c r="K1824" t="s">
        <v>5254</v>
      </c>
      <c r="M1824" t="s">
        <v>6286</v>
      </c>
      <c r="N1824" t="s">
        <v>6287</v>
      </c>
      <c r="R1824">
        <f>1</f>
        <v>1</v>
      </c>
      <c r="S1824">
        <f>10.7</f>
        <v>10.7</v>
      </c>
      <c r="T1824">
        <f>7.3</f>
        <v>7.3</v>
      </c>
      <c r="U1824">
        <f>364</f>
        <v>364</v>
      </c>
      <c r="X1824">
        <f>0</f>
        <v>0</v>
      </c>
      <c r="Y1824">
        <f>0.1</f>
        <v>0.1</v>
      </c>
      <c r="Z1824">
        <f>0</f>
        <v>0</v>
      </c>
      <c r="AA1824">
        <f>22</f>
        <v>22</v>
      </c>
      <c r="AB1824" t="s">
        <v>158</v>
      </c>
      <c r="AD1824">
        <f>0</f>
        <v>0</v>
      </c>
      <c r="AE1824">
        <f>1</f>
        <v>1</v>
      </c>
      <c r="AH1824" t="s">
        <v>157</v>
      </c>
    </row>
    <row r="1825" spans="1:34" x14ac:dyDescent="0.25">
      <c r="A1825" t="s">
        <v>4685</v>
      </c>
      <c r="B1825" t="s">
        <v>148</v>
      </c>
      <c r="C1825" s="1">
        <v>45894</v>
      </c>
      <c r="D1825" t="s">
        <v>311</v>
      </c>
      <c r="E1825" t="s">
        <v>312</v>
      </c>
      <c r="F1825" t="s">
        <v>424</v>
      </c>
      <c r="G1825" t="s">
        <v>425</v>
      </c>
      <c r="H1825">
        <v>1640</v>
      </c>
      <c r="I1825" t="s">
        <v>4686</v>
      </c>
      <c r="J1825">
        <v>1</v>
      </c>
      <c r="K1825" t="s">
        <v>5257</v>
      </c>
      <c r="L1825" t="s">
        <v>431</v>
      </c>
      <c r="M1825" t="s">
        <v>5769</v>
      </c>
      <c r="N1825" t="s">
        <v>4687</v>
      </c>
      <c r="O1825" t="s">
        <v>4688</v>
      </c>
      <c r="R1825">
        <f>1</f>
        <v>1</v>
      </c>
      <c r="S1825">
        <f>19.4</f>
        <v>19.399999999999999</v>
      </c>
      <c r="T1825">
        <f>7.3</f>
        <v>7.3</v>
      </c>
      <c r="U1825">
        <f>437</f>
        <v>437</v>
      </c>
      <c r="X1825">
        <f>0</f>
        <v>0</v>
      </c>
      <c r="Y1825" t="s">
        <v>157</v>
      </c>
      <c r="Z1825">
        <f>0</f>
        <v>0</v>
      </c>
      <c r="AA1825" t="s">
        <v>158</v>
      </c>
      <c r="AB1825" t="s">
        <v>158</v>
      </c>
      <c r="AC1825">
        <f>0</f>
        <v>0</v>
      </c>
      <c r="AD1825">
        <f>0</f>
        <v>0</v>
      </c>
      <c r="AE1825">
        <f>0</f>
        <v>0</v>
      </c>
      <c r="AH1825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Preglednica_rezultatov(14)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Primož Tič</dc:creator>
  <cp:lastModifiedBy>Primož Tič</cp:lastModifiedBy>
  <dcterms:created xsi:type="dcterms:W3CDTF">2025-10-03T06:51:09Z</dcterms:created>
  <dcterms:modified xsi:type="dcterms:W3CDTF">2025-10-03T06:56:34Z</dcterms:modified>
</cp:coreProperties>
</file>